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\Documents\Manuel\PUCP\Curso Contabilidad y Finanzas\2024-2\Evaluaciones\Calificadas\PC05\"/>
    </mc:Choice>
  </mc:AlternateContent>
  <xr:revisionPtr revIDLastSave="0" documentId="13_ncr:1_{D3A436E3-9E72-4F58-B942-B7EFFB69E627}" xr6:coauthVersionLast="47" xr6:coauthVersionMax="47" xr10:uidLastSave="{00000000-0000-0000-0000-000000000000}"/>
  <bookViews>
    <workbookView xWindow="-108" yWindow="-108" windowWidth="23256" windowHeight="12456" firstSheet="1" activeTab="5" xr2:uid="{4B573A61-06F9-44BF-9B1D-7E7E2896D619}"/>
  </bookViews>
  <sheets>
    <sheet name="Costos Oct" sheetId="5" r:id="rId1"/>
    <sheet name="Costos Nov" sheetId="7" r:id="rId2"/>
    <sheet name="Kardex Nov Dic" sheetId="9" r:id="rId3"/>
    <sheet name="Asientos Costos Oct" sheetId="6" r:id="rId4"/>
    <sheet name="Asientos Costos Nov" sheetId="8" r:id="rId5"/>
    <sheet name="Asientos Inv Nov Di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7" l="1"/>
  <c r="F18" i="7"/>
  <c r="K25" i="10"/>
  <c r="K23" i="10" s="1"/>
  <c r="J21" i="10" s="1"/>
  <c r="K10" i="10"/>
  <c r="F35" i="9"/>
  <c r="E35" i="9"/>
  <c r="E7" i="9"/>
  <c r="F7" i="9"/>
  <c r="K8" i="10"/>
  <c r="J6" i="10" s="1"/>
  <c r="O51" i="9"/>
  <c r="O45" i="9"/>
  <c r="O23" i="9"/>
  <c r="O17" i="9"/>
  <c r="F52" i="9"/>
  <c r="F51" i="9"/>
  <c r="L48" i="9"/>
  <c r="C48" i="9"/>
  <c r="I48" i="9" s="1"/>
  <c r="B48" i="9"/>
  <c r="F45" i="9"/>
  <c r="B43" i="9"/>
  <c r="D33" i="9"/>
  <c r="G33" i="9" s="1"/>
  <c r="D32" i="9"/>
  <c r="G32" i="9" s="1"/>
  <c r="F24" i="9"/>
  <c r="F23" i="9"/>
  <c r="B20" i="9"/>
  <c r="F17" i="9"/>
  <c r="B15" i="9"/>
  <c r="D5" i="9"/>
  <c r="L20" i="9" s="1"/>
  <c r="D4" i="9"/>
  <c r="L15" i="9" s="1"/>
  <c r="C4" i="9"/>
  <c r="G23" i="9" s="1"/>
  <c r="Z28" i="9"/>
  <c r="Z27" i="9" s="1"/>
  <c r="L43" i="9" l="1"/>
  <c r="C43" i="9"/>
  <c r="I43" i="9" s="1"/>
  <c r="I45" i="9" s="1"/>
  <c r="I47" i="9" s="1"/>
  <c r="I49" i="9" s="1"/>
  <c r="I52" i="9"/>
  <c r="I54" i="9" s="1"/>
  <c r="O56" i="9"/>
  <c r="F56" i="9"/>
  <c r="L56" i="9"/>
  <c r="P17" i="9"/>
  <c r="G4" i="9"/>
  <c r="M15" i="9"/>
  <c r="N15" i="9" s="1"/>
  <c r="G5" i="9"/>
  <c r="C20" i="9"/>
  <c r="C15" i="9"/>
  <c r="D15" i="9"/>
  <c r="G17" i="9"/>
  <c r="H17" i="9" s="1"/>
  <c r="L28" i="9"/>
  <c r="O28" i="9"/>
  <c r="R15" i="9"/>
  <c r="C56" i="9" l="1"/>
  <c r="R43" i="9"/>
  <c r="R45" i="9" s="1"/>
  <c r="R48" i="9" s="1"/>
  <c r="R51" i="9" s="1"/>
  <c r="R54" i="9" s="1"/>
  <c r="I51" i="9"/>
  <c r="R17" i="9"/>
  <c r="R20" i="9" s="1"/>
  <c r="R23" i="9" s="1"/>
  <c r="R26" i="9" s="1"/>
  <c r="C28" i="9"/>
  <c r="I20" i="9"/>
  <c r="I15" i="9"/>
  <c r="Z22" i="9"/>
  <c r="E15" i="9"/>
  <c r="K15" i="9" s="1"/>
  <c r="T15" i="9"/>
  <c r="I24" i="9" l="1"/>
  <c r="I26" i="9" s="1"/>
  <c r="K17" i="9"/>
  <c r="K19" i="9" s="1"/>
  <c r="I17" i="9"/>
  <c r="I19" i="9" s="1"/>
  <c r="S15" i="9"/>
  <c r="Q17" i="9"/>
  <c r="J15" i="9"/>
  <c r="Y15" i="9"/>
  <c r="H23" i="9"/>
  <c r="F28" i="9"/>
  <c r="K23" i="9" l="1"/>
  <c r="J17" i="9"/>
  <c r="I21" i="9"/>
  <c r="I23" i="9"/>
  <c r="J19" i="9"/>
  <c r="T17" i="9"/>
  <c r="Y30" i="9"/>
  <c r="Z31" i="9" s="1"/>
  <c r="S17" i="9" l="1"/>
  <c r="J70" i="8" l="1"/>
  <c r="K71" i="8" s="1"/>
  <c r="J69" i="8"/>
  <c r="J63" i="8"/>
  <c r="K65" i="8" s="1"/>
  <c r="J58" i="8"/>
  <c r="J57" i="8"/>
  <c r="J49" i="8"/>
  <c r="J51" i="8" s="1"/>
  <c r="K53" i="8" s="1"/>
  <c r="J16" i="8"/>
  <c r="J15" i="8"/>
  <c r="K10" i="8"/>
  <c r="J8" i="8"/>
  <c r="J7" i="8"/>
  <c r="I21" i="7"/>
  <c r="I20" i="7"/>
  <c r="I15" i="7"/>
  <c r="I12" i="7"/>
  <c r="I11" i="7"/>
  <c r="I10" i="7"/>
  <c r="I9" i="7"/>
  <c r="K59" i="8"/>
  <c r="K11" i="8"/>
  <c r="J75" i="6"/>
  <c r="J70" i="6"/>
  <c r="J69" i="6"/>
  <c r="K65" i="6"/>
  <c r="J63" i="6"/>
  <c r="J49" i="6"/>
  <c r="J8" i="6"/>
  <c r="K11" i="6" s="1"/>
  <c r="I10" i="5"/>
  <c r="I12" i="5"/>
  <c r="I9" i="5"/>
  <c r="J30" i="6"/>
  <c r="J29" i="6"/>
  <c r="J21" i="6"/>
  <c r="J58" i="6"/>
  <c r="J57" i="6"/>
  <c r="J44" i="6"/>
  <c r="J43" i="6"/>
  <c r="J35" i="6"/>
  <c r="J37" i="6" s="1"/>
  <c r="I22" i="5"/>
  <c r="I21" i="5"/>
  <c r="I20" i="5"/>
  <c r="I19" i="5"/>
  <c r="I18" i="5"/>
  <c r="J15" i="6"/>
  <c r="H6" i="7"/>
  <c r="H25" i="7" s="1"/>
  <c r="G6" i="7"/>
  <c r="G25" i="7" s="1"/>
  <c r="G26" i="5"/>
  <c r="H14" i="5"/>
  <c r="G14" i="5"/>
  <c r="G19" i="7"/>
  <c r="J43" i="8" s="1"/>
  <c r="F11" i="7"/>
  <c r="H11" i="7" s="1"/>
  <c r="H20" i="7"/>
  <c r="G20" i="7"/>
  <c r="E18" i="7"/>
  <c r="H18" i="7" s="1"/>
  <c r="J30" i="8" s="1"/>
  <c r="D18" i="7"/>
  <c r="G18" i="7" s="1"/>
  <c r="H12" i="7"/>
  <c r="G12" i="7"/>
  <c r="H10" i="7"/>
  <c r="G10" i="7"/>
  <c r="H9" i="7"/>
  <c r="G9" i="7"/>
  <c r="H25" i="5"/>
  <c r="G25" i="5"/>
  <c r="E18" i="5"/>
  <c r="H18" i="5" s="1"/>
  <c r="D18" i="5"/>
  <c r="G18" i="5" s="1"/>
  <c r="E21" i="5"/>
  <c r="H21" i="5" s="1"/>
  <c r="D21" i="5"/>
  <c r="G21" i="5" s="1"/>
  <c r="H12" i="5"/>
  <c r="G12" i="5"/>
  <c r="G11" i="5"/>
  <c r="H11" i="5"/>
  <c r="I11" i="5" s="1"/>
  <c r="J7" i="6" s="1"/>
  <c r="K10" i="6" s="1"/>
  <c r="H10" i="5"/>
  <c r="G10" i="5"/>
  <c r="H9" i="5"/>
  <c r="G9" i="5"/>
  <c r="H20" i="5"/>
  <c r="G20" i="5"/>
  <c r="H19" i="5"/>
  <c r="G19" i="5"/>
  <c r="I18" i="7" l="1"/>
  <c r="J21" i="8" s="1"/>
  <c r="K25" i="8" s="1"/>
  <c r="J29" i="8"/>
  <c r="K31" i="8" s="1"/>
  <c r="K17" i="8"/>
  <c r="J75" i="8"/>
  <c r="K71" i="6"/>
  <c r="E21" i="7"/>
  <c r="H21" i="7" s="1"/>
  <c r="H14" i="7"/>
  <c r="D21" i="7"/>
  <c r="G21" i="7" s="1"/>
  <c r="G14" i="7"/>
  <c r="H19" i="7"/>
  <c r="G11" i="7"/>
  <c r="G13" i="7" s="1"/>
  <c r="G15" i="7" s="1"/>
  <c r="H13" i="7"/>
  <c r="H15" i="7" s="1"/>
  <c r="G22" i="7"/>
  <c r="G22" i="5"/>
  <c r="H22" i="5"/>
  <c r="G13" i="5"/>
  <c r="G15" i="5" s="1"/>
  <c r="G24" i="5" s="1"/>
  <c r="H13" i="5"/>
  <c r="K25" i="6"/>
  <c r="K31" i="6"/>
  <c r="K59" i="6"/>
  <c r="H22" i="7" l="1"/>
  <c r="J44" i="8"/>
  <c r="I19" i="7"/>
  <c r="J35" i="8" s="1"/>
  <c r="J37" i="8" s="1"/>
  <c r="K39" i="8" s="1"/>
  <c r="I22" i="7"/>
  <c r="H24" i="7"/>
  <c r="H26" i="7" s="1"/>
  <c r="C33" i="9" s="1"/>
  <c r="G24" i="7"/>
  <c r="H15" i="5"/>
  <c r="K45" i="6"/>
  <c r="K39" i="6"/>
  <c r="K45" i="8" l="1"/>
  <c r="J76" i="8"/>
  <c r="K78" i="8" s="1"/>
  <c r="G52" i="9"/>
  <c r="H52" i="9" s="1"/>
  <c r="D48" i="9"/>
  <c r="E48" i="9" s="1"/>
  <c r="K48" i="9" s="1"/>
  <c r="J48" i="9" s="1"/>
  <c r="M48" i="9"/>
  <c r="N48" i="9" s="1"/>
  <c r="H24" i="5"/>
  <c r="I15" i="5"/>
  <c r="J16" i="6"/>
  <c r="J76" i="6" s="1"/>
  <c r="K78" i="6" s="1"/>
  <c r="G26" i="7"/>
  <c r="C5" i="9" s="1"/>
  <c r="I24" i="7"/>
  <c r="K17" i="6"/>
  <c r="J51" i="6"/>
  <c r="K53" i="6" s="1"/>
  <c r="G24" i="9" l="1"/>
  <c r="H24" i="9" s="1"/>
  <c r="M20" i="9"/>
  <c r="N20" i="9" s="1"/>
  <c r="D20" i="9"/>
  <c r="E20" i="9" s="1"/>
  <c r="K52" i="9"/>
  <c r="H26" i="5"/>
  <c r="C32" i="9" s="1"/>
  <c r="I24" i="5"/>
  <c r="K54" i="9" l="1"/>
  <c r="J54" i="9" s="1"/>
  <c r="J52" i="9"/>
  <c r="K20" i="9"/>
  <c r="E28" i="9"/>
  <c r="N28" i="9"/>
  <c r="T20" i="9"/>
  <c r="S20" i="9" s="1"/>
  <c r="P23" i="9" s="1"/>
  <c r="Q23" i="9" s="1"/>
  <c r="H28" i="9"/>
  <c r="D43" i="9"/>
  <c r="E43" i="9" s="1"/>
  <c r="G45" i="9"/>
  <c r="H45" i="9" s="1"/>
  <c r="G51" i="9"/>
  <c r="H51" i="9" s="1"/>
  <c r="M43" i="9"/>
  <c r="N43" i="9" s="1"/>
  <c r="P45" i="9"/>
  <c r="Q45" i="9" s="1"/>
  <c r="J20" i="9" l="1"/>
  <c r="K21" i="9"/>
  <c r="K24" i="9"/>
  <c r="T23" i="9"/>
  <c r="Q28" i="9"/>
  <c r="J14" i="10"/>
  <c r="K16" i="10" s="1"/>
  <c r="N56" i="9"/>
  <c r="T43" i="9"/>
  <c r="H56" i="9"/>
  <c r="K43" i="9"/>
  <c r="E56" i="9"/>
  <c r="T26" i="9" l="1"/>
  <c r="S23" i="9"/>
  <c r="S26" i="9" s="1"/>
  <c r="K26" i="9"/>
  <c r="J26" i="9" s="1"/>
  <c r="J24" i="9"/>
  <c r="J43" i="9"/>
  <c r="K45" i="9"/>
  <c r="T45" i="9"/>
  <c r="S43" i="9"/>
  <c r="T48" i="9" l="1"/>
  <c r="S48" i="9" s="1"/>
  <c r="P51" i="9" s="1"/>
  <c r="Q51" i="9" s="1"/>
  <c r="S45" i="9"/>
  <c r="J45" i="9"/>
  <c r="K47" i="9"/>
  <c r="K49" i="9" l="1"/>
  <c r="J47" i="9"/>
  <c r="K51" i="9"/>
  <c r="T51" i="9"/>
  <c r="J29" i="10"/>
  <c r="K31" i="10" s="1"/>
  <c r="Q56" i="9"/>
  <c r="T54" i="9" l="1"/>
  <c r="S51" i="9"/>
  <c r="S54" i="9" s="1"/>
</calcChain>
</file>

<file path=xl/sharedStrings.xml><?xml version="1.0" encoding="utf-8"?>
<sst xmlns="http://schemas.openxmlformats.org/spreadsheetml/2006/main" count="391" uniqueCount="111">
  <si>
    <t>Total</t>
  </si>
  <si>
    <t>Asientos contables</t>
  </si>
  <si>
    <t>Debe</t>
  </si>
  <si>
    <t>Haber</t>
  </si>
  <si>
    <t>Fecha</t>
  </si>
  <si>
    <t>Detalle</t>
  </si>
  <si>
    <t>Descripción</t>
  </si>
  <si>
    <t>Cuentas por pagar comerciales</t>
  </si>
  <si>
    <t>Facturas por pagar</t>
  </si>
  <si>
    <t>Cuenta</t>
  </si>
  <si>
    <t>Asiento N°</t>
  </si>
  <si>
    <t>Tributos por pagar</t>
  </si>
  <si>
    <t>Impuesto general a las ventas</t>
  </si>
  <si>
    <t xml:space="preserve">Primera compra </t>
  </si>
  <si>
    <t>Variación de inventarios</t>
  </si>
  <si>
    <t>Materías primas</t>
  </si>
  <si>
    <t>Costo de producción</t>
  </si>
  <si>
    <t>Gastos de servicios prestados por terceros</t>
  </si>
  <si>
    <t>Servicios básicos</t>
  </si>
  <si>
    <t>Alquileres</t>
  </si>
  <si>
    <t>Productos terminados</t>
  </si>
  <si>
    <t>Variación de la producción almacenada</t>
  </si>
  <si>
    <t>Variación de productos terminados</t>
  </si>
  <si>
    <t>Concepto</t>
  </si>
  <si>
    <t>% Asignación de costos</t>
  </si>
  <si>
    <t>Cantidad producida</t>
  </si>
  <si>
    <t>Costo total</t>
  </si>
  <si>
    <t>Cargas imputables a centro de costos</t>
  </si>
  <si>
    <t>Por el registro del recibo de servicios públicos</t>
  </si>
  <si>
    <t>Por el ingreso de productos terminados al almacén</t>
  </si>
  <si>
    <t>Harina</t>
  </si>
  <si>
    <t>Huevos</t>
  </si>
  <si>
    <t>Materiales auxiliares</t>
  </si>
  <si>
    <t>Panetón 900 gr</t>
  </si>
  <si>
    <t>Turrón 500 gr</t>
  </si>
  <si>
    <t>Kilo</t>
  </si>
  <si>
    <t>Unidad</t>
  </si>
  <si>
    <t>azucar</t>
  </si>
  <si>
    <t>kilo</t>
  </si>
  <si>
    <t>S/</t>
  </si>
  <si>
    <t>Matería prima directa</t>
  </si>
  <si>
    <t>Base / Unidad de medida</t>
  </si>
  <si>
    <t>Costos Indirectos Fijos</t>
  </si>
  <si>
    <t>Operarios</t>
  </si>
  <si>
    <t>C.U.</t>
  </si>
  <si>
    <t>Tipo de Costos</t>
  </si>
  <si>
    <t>Mano de obra directa fija</t>
  </si>
  <si>
    <t>Mano de obra indirecta fija</t>
  </si>
  <si>
    <t>Costos Fijos</t>
  </si>
  <si>
    <t>Costos  Variables</t>
  </si>
  <si>
    <t>Horas de cocción</t>
  </si>
  <si>
    <t>Energía electríca y gas</t>
  </si>
  <si>
    <t>Alquiler de local</t>
  </si>
  <si>
    <t>Depreciación</t>
  </si>
  <si>
    <t>Unidades producidas</t>
  </si>
  <si>
    <t>Mano de obra directa variable</t>
  </si>
  <si>
    <t>Alquiler de almacén</t>
  </si>
  <si>
    <t>Costo Unitaro Total</t>
  </si>
  <si>
    <t>Por día de trabajo</t>
  </si>
  <si>
    <t>Costo variable total</t>
  </si>
  <si>
    <t>Panetones</t>
  </si>
  <si>
    <t>Otros servicios prestados por terceros</t>
  </si>
  <si>
    <t>Turrones</t>
  </si>
  <si>
    <t>Por la salida de materias primas y materiales auxiliares a producción</t>
  </si>
  <si>
    <t>Por la asignación de las materias primas y materiales auxiliares al costo de producción</t>
  </si>
  <si>
    <t xml:space="preserve">Por el registro del recibo por honorario del  operario </t>
  </si>
  <si>
    <t xml:space="preserve">Por la asignación del costo del operario </t>
  </si>
  <si>
    <t>Por la asignación del  costo de servicios públicos</t>
  </si>
  <si>
    <t>Por la asignación del costo de alquiler del local de elaboración de los productos</t>
  </si>
  <si>
    <t>Por el registro de la factura por el alquiler del local de elaboración de los productos</t>
  </si>
  <si>
    <t>Espacio utilizado para elaborar los productos</t>
  </si>
  <si>
    <t>Productos terminados Panetones</t>
  </si>
  <si>
    <t>Productos terminados Turrones</t>
  </si>
  <si>
    <t>Depreciación de propiedad, planta y equipo</t>
  </si>
  <si>
    <t>Valuación y deterioro de activos y provisiones</t>
  </si>
  <si>
    <t>Depreciación y amortización acumulados</t>
  </si>
  <si>
    <t>Depreciación acumulada de propiedad, planta y equipo</t>
  </si>
  <si>
    <t>Cantidad</t>
  </si>
  <si>
    <t>Venta 1</t>
  </si>
  <si>
    <t>Venta 2</t>
  </si>
  <si>
    <t>Stock</t>
  </si>
  <si>
    <t>Método PEPS</t>
  </si>
  <si>
    <t>Método Promedio Ponderado</t>
  </si>
  <si>
    <t>Entradas</t>
  </si>
  <si>
    <t>Salidas</t>
  </si>
  <si>
    <t>Costo
Unitario</t>
  </si>
  <si>
    <t>Costo
Total</t>
  </si>
  <si>
    <t>compra</t>
  </si>
  <si>
    <t>Primera venta</t>
  </si>
  <si>
    <t>Segunda venta</t>
  </si>
  <si>
    <t>IGV</t>
  </si>
  <si>
    <t>Ventas</t>
  </si>
  <si>
    <t>Costo de ventas</t>
  </si>
  <si>
    <t>Cuentas por cobrar comerciales</t>
  </si>
  <si>
    <t>Facturas por cobrar</t>
  </si>
  <si>
    <t>Por la factura de la primera venta</t>
  </si>
  <si>
    <t>Por el costo de la primera venta</t>
  </si>
  <si>
    <t>Por la factura de la segunda venta</t>
  </si>
  <si>
    <t>Por el costo de la segunda venta</t>
  </si>
  <si>
    <t>1/10/2024</t>
  </si>
  <si>
    <t>Producción Octubre</t>
  </si>
  <si>
    <t>Producción Noviembre</t>
  </si>
  <si>
    <t>15/11/2024</t>
  </si>
  <si>
    <t>30/11/2024</t>
  </si>
  <si>
    <t>15/12/2024</t>
  </si>
  <si>
    <t>31/12/2024</t>
  </si>
  <si>
    <t>Saldo inicial de mes</t>
  </si>
  <si>
    <t>C. U.</t>
  </si>
  <si>
    <t>Precio de venta</t>
  </si>
  <si>
    <t>Venta</t>
  </si>
  <si>
    <t>Operario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</si>
</sst>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1" applyNumberFormat="1" applyFont="1" applyFill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43" fontId="3" fillId="0" borderId="0" xfId="1" applyFont="1"/>
    <xf numFmtId="9" fontId="0" fillId="0" borderId="0" xfId="2" applyFont="1" applyFill="1"/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0" xfId="1" applyFont="1" applyFill="1"/>
    <xf numFmtId="164" fontId="0" fillId="2" borderId="0" xfId="1" applyNumberFormat="1" applyFont="1" applyFill="1"/>
    <xf numFmtId="43" fontId="1" fillId="0" borderId="0" xfId="1" applyFont="1"/>
    <xf numFmtId="43" fontId="0" fillId="2" borderId="0" xfId="1" applyFont="1" applyFill="1"/>
    <xf numFmtId="43" fontId="3" fillId="0" borderId="0" xfId="0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43" fontId="3" fillId="0" borderId="0" xfId="1" applyFont="1" applyAlignment="1">
      <alignment horizontal="center"/>
    </xf>
    <xf numFmtId="0" fontId="3" fillId="3" borderId="0" xfId="0" applyFont="1" applyFill="1"/>
    <xf numFmtId="1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3" fillId="4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1" applyNumberFormat="1" applyFont="1" applyBorder="1"/>
    <xf numFmtId="43" fontId="0" fillId="0" borderId="5" xfId="0" applyNumberFormat="1" applyBorder="1"/>
    <xf numFmtId="14" fontId="0" fillId="0" borderId="4" xfId="0" applyNumberFormat="1" applyBorder="1" applyAlignment="1">
      <alignment horizontal="center"/>
    </xf>
    <xf numFmtId="165" fontId="0" fillId="0" borderId="0" xfId="1" applyNumberFormat="1" applyFont="1"/>
    <xf numFmtId="43" fontId="3" fillId="0" borderId="0" xfId="1" applyFont="1" applyBorder="1"/>
    <xf numFmtId="43" fontId="3" fillId="0" borderId="0" xfId="1" applyFont="1" applyBorder="1" applyAlignment="1">
      <alignment horizontal="center"/>
    </xf>
    <xf numFmtId="43" fontId="0" fillId="0" borderId="0" xfId="1" applyFont="1" applyFill="1" applyBorder="1"/>
    <xf numFmtId="164" fontId="0" fillId="0" borderId="0" xfId="1" applyNumberFormat="1" applyFont="1" applyFill="1" applyBorder="1"/>
    <xf numFmtId="43" fontId="3" fillId="0" borderId="0" xfId="1" applyFont="1" applyFill="1" applyBorder="1"/>
    <xf numFmtId="43" fontId="5" fillId="0" borderId="0" xfId="1" applyFont="1" applyFill="1" applyBorder="1"/>
    <xf numFmtId="49" fontId="3" fillId="0" borderId="23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/>
    <xf numFmtId="43" fontId="0" fillId="0" borderId="29" xfId="1" applyFont="1" applyFill="1" applyBorder="1"/>
    <xf numFmtId="43" fontId="0" fillId="0" borderId="28" xfId="1" applyFont="1" applyFill="1" applyBorder="1"/>
    <xf numFmtId="0" fontId="0" fillId="0" borderId="18" xfId="0" applyBorder="1"/>
    <xf numFmtId="43" fontId="0" fillId="0" borderId="17" xfId="1" applyFont="1" applyFill="1" applyBorder="1"/>
    <xf numFmtId="43" fontId="0" fillId="0" borderId="18" xfId="0" applyNumberFormat="1" applyBorder="1"/>
    <xf numFmtId="0" fontId="0" fillId="0" borderId="25" xfId="0" applyBorder="1"/>
    <xf numFmtId="43" fontId="0" fillId="0" borderId="27" xfId="1" applyFont="1" applyFill="1" applyBorder="1"/>
    <xf numFmtId="43" fontId="0" fillId="0" borderId="30" xfId="1" applyFont="1" applyFill="1" applyBorder="1"/>
    <xf numFmtId="164" fontId="0" fillId="0" borderId="26" xfId="1" applyNumberFormat="1" applyFont="1" applyFill="1" applyBorder="1"/>
    <xf numFmtId="164" fontId="0" fillId="0" borderId="18" xfId="1" applyNumberFormat="1" applyFont="1" applyFill="1" applyBorder="1"/>
    <xf numFmtId="43" fontId="5" fillId="0" borderId="17" xfId="1" applyFont="1" applyFill="1" applyBorder="1"/>
    <xf numFmtId="164" fontId="3" fillId="0" borderId="18" xfId="1" applyNumberFormat="1" applyFont="1" applyFill="1" applyBorder="1"/>
    <xf numFmtId="43" fontId="3" fillId="0" borderId="17" xfId="1" applyFont="1" applyFill="1" applyBorder="1"/>
    <xf numFmtId="164" fontId="0" fillId="0" borderId="25" xfId="1" applyNumberFormat="1" applyFont="1" applyFill="1" applyBorder="1"/>
    <xf numFmtId="164" fontId="3" fillId="0" borderId="26" xfId="1" applyNumberFormat="1" applyFont="1" applyFill="1" applyBorder="1"/>
    <xf numFmtId="43" fontId="3" fillId="0" borderId="29" xfId="1" applyFont="1" applyFill="1" applyBorder="1"/>
    <xf numFmtId="164" fontId="3" fillId="0" borderId="28" xfId="1" applyNumberFormat="1" applyFont="1" applyFill="1" applyBorder="1"/>
    <xf numFmtId="164" fontId="0" fillId="0" borderId="17" xfId="1" applyNumberFormat="1" applyFont="1" applyFill="1" applyBorder="1"/>
    <xf numFmtId="43" fontId="0" fillId="0" borderId="17" xfId="1" applyFont="1" applyBorder="1"/>
    <xf numFmtId="164" fontId="0" fillId="0" borderId="18" xfId="0" applyNumberFormat="1" applyBorder="1"/>
    <xf numFmtId="164" fontId="0" fillId="0" borderId="30" xfId="1" applyNumberFormat="1" applyFont="1" applyFill="1" applyBorder="1"/>
    <xf numFmtId="164" fontId="0" fillId="0" borderId="25" xfId="1" applyNumberFormat="1" applyFont="1" applyBorder="1"/>
    <xf numFmtId="43" fontId="0" fillId="0" borderId="30" xfId="1" applyFont="1" applyBorder="1"/>
    <xf numFmtId="164" fontId="0" fillId="0" borderId="28" xfId="1" applyNumberFormat="1" applyFont="1" applyFill="1" applyBorder="1"/>
    <xf numFmtId="0" fontId="5" fillId="0" borderId="18" xfId="0" applyFont="1" applyBorder="1"/>
    <xf numFmtId="164" fontId="0" fillId="0" borderId="29" xfId="1" applyNumberFormat="1" applyFont="1" applyFill="1" applyBorder="1"/>
    <xf numFmtId="164" fontId="5" fillId="0" borderId="18" xfId="1" applyNumberFormat="1" applyFont="1" applyFill="1" applyBorder="1"/>
    <xf numFmtId="164" fontId="1" fillId="0" borderId="0" xfId="1" applyNumberFormat="1" applyFont="1"/>
    <xf numFmtId="165" fontId="0" fillId="2" borderId="0" xfId="1" applyNumberFormat="1" applyFont="1" applyFill="1"/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F442-B654-49AE-8E00-26F7D20DF7C6}">
  <dimension ref="A1:I27"/>
  <sheetViews>
    <sheetView topLeftCell="A3" workbookViewId="0">
      <selection activeCell="D19" sqref="D19"/>
    </sheetView>
  </sheetViews>
  <sheetFormatPr baseColWidth="10" defaultColWidth="11.44140625" defaultRowHeight="14.4" x14ac:dyDescent="0.3"/>
  <cols>
    <col min="1" max="1" width="28.33203125" customWidth="1"/>
    <col min="2" max="2" width="28.33203125" bestFit="1" customWidth="1"/>
    <col min="3" max="3" width="31" bestFit="1" customWidth="1"/>
    <col min="4" max="5" width="12.88671875" bestFit="1" customWidth="1"/>
    <col min="6" max="6" width="6.88671875" bestFit="1" customWidth="1"/>
    <col min="7" max="7" width="12.88671875" style="16" bestFit="1" customWidth="1"/>
    <col min="8" max="8" width="12.77734375" style="16" bestFit="1" customWidth="1"/>
  </cols>
  <sheetData>
    <row r="1" spans="1:9" x14ac:dyDescent="0.3">
      <c r="F1" s="1"/>
      <c r="G1" s="17"/>
      <c r="H1" s="17"/>
      <c r="I1" s="1"/>
    </row>
    <row r="2" spans="1:9" x14ac:dyDescent="0.3">
      <c r="F2" s="1"/>
    </row>
    <row r="3" spans="1:9" x14ac:dyDescent="0.3">
      <c r="A3" s="7"/>
      <c r="B3" s="7"/>
      <c r="C3" s="7"/>
      <c r="D3" s="7"/>
      <c r="E3" s="7"/>
      <c r="F3" s="8"/>
      <c r="G3" s="17"/>
      <c r="H3" s="17"/>
      <c r="I3" s="9"/>
    </row>
    <row r="4" spans="1:9" x14ac:dyDescent="0.3">
      <c r="A4" s="12" t="s">
        <v>45</v>
      </c>
      <c r="B4" s="12" t="s">
        <v>23</v>
      </c>
      <c r="C4" s="12" t="s">
        <v>41</v>
      </c>
      <c r="D4" t="s">
        <v>33</v>
      </c>
      <c r="E4" t="s">
        <v>34</v>
      </c>
      <c r="F4" s="13" t="s">
        <v>0</v>
      </c>
      <c r="G4" s="16" t="s">
        <v>33</v>
      </c>
      <c r="H4" s="16" t="s">
        <v>34</v>
      </c>
      <c r="I4" s="1"/>
    </row>
    <row r="5" spans="1:9" x14ac:dyDescent="0.3">
      <c r="A5" s="12"/>
      <c r="B5" s="12"/>
      <c r="C5" s="12"/>
      <c r="F5" s="13"/>
      <c r="I5" s="1"/>
    </row>
    <row r="6" spans="1:9" x14ac:dyDescent="0.3">
      <c r="C6" s="7" t="s">
        <v>25</v>
      </c>
      <c r="G6" s="18">
        <v>100</v>
      </c>
      <c r="H6" s="18">
        <v>150</v>
      </c>
    </row>
    <row r="7" spans="1:9" x14ac:dyDescent="0.3">
      <c r="A7" s="12"/>
      <c r="B7" s="12"/>
      <c r="C7" s="7"/>
      <c r="D7" s="7"/>
      <c r="E7" s="7"/>
      <c r="F7" s="7" t="s">
        <v>44</v>
      </c>
      <c r="I7" s="1"/>
    </row>
    <row r="8" spans="1:9" x14ac:dyDescent="0.3">
      <c r="A8" s="12"/>
      <c r="B8" s="12"/>
      <c r="D8" t="s">
        <v>33</v>
      </c>
      <c r="E8" t="s">
        <v>34</v>
      </c>
      <c r="F8" t="s">
        <v>39</v>
      </c>
      <c r="G8" s="16" t="s">
        <v>33</v>
      </c>
      <c r="H8" s="16" t="s">
        <v>34</v>
      </c>
      <c r="I8" s="1"/>
    </row>
    <row r="9" spans="1:9" x14ac:dyDescent="0.3">
      <c r="A9" t="s">
        <v>40</v>
      </c>
      <c r="B9" t="s">
        <v>30</v>
      </c>
      <c r="C9" t="s">
        <v>35</v>
      </c>
      <c r="D9" s="16">
        <v>1</v>
      </c>
      <c r="E9" s="16">
        <v>0.75</v>
      </c>
      <c r="F9" s="16">
        <v>7.6</v>
      </c>
      <c r="G9" s="16">
        <f t="shared" ref="G9:H12" si="0">D9*$F9</f>
        <v>7.6</v>
      </c>
      <c r="H9" s="16">
        <f t="shared" si="0"/>
        <v>5.6999999999999993</v>
      </c>
      <c r="I9" s="23">
        <f>G9*$G$6+H9*$H$6</f>
        <v>1615</v>
      </c>
    </row>
    <row r="10" spans="1:9" x14ac:dyDescent="0.3">
      <c r="A10" t="s">
        <v>40</v>
      </c>
      <c r="B10" t="s">
        <v>31</v>
      </c>
      <c r="C10" t="s">
        <v>36</v>
      </c>
      <c r="D10" s="16">
        <v>12</v>
      </c>
      <c r="E10" s="16">
        <v>6</v>
      </c>
      <c r="F10" s="16">
        <v>0.5</v>
      </c>
      <c r="G10" s="16">
        <f t="shared" si="0"/>
        <v>6</v>
      </c>
      <c r="H10" s="16">
        <f t="shared" si="0"/>
        <v>3</v>
      </c>
      <c r="I10" s="23">
        <f t="shared" ref="I10:I12" si="1">G10*$G$6+H10*$H$6</f>
        <v>1050</v>
      </c>
    </row>
    <row r="11" spans="1:9" x14ac:dyDescent="0.3">
      <c r="A11" t="s">
        <v>40</v>
      </c>
      <c r="B11" t="s">
        <v>37</v>
      </c>
      <c r="C11" t="s">
        <v>38</v>
      </c>
      <c r="D11" s="16">
        <v>0.25</v>
      </c>
      <c r="E11" s="16">
        <v>0.5</v>
      </c>
      <c r="F11" s="16">
        <v>5</v>
      </c>
      <c r="G11" s="16">
        <f t="shared" si="0"/>
        <v>1.25</v>
      </c>
      <c r="H11" s="16">
        <f t="shared" si="0"/>
        <v>2.5</v>
      </c>
      <c r="I11" s="23">
        <f t="shared" si="1"/>
        <v>500</v>
      </c>
    </row>
    <row r="12" spans="1:9" x14ac:dyDescent="0.3">
      <c r="A12" t="s">
        <v>32</v>
      </c>
      <c r="B12" s="12"/>
      <c r="D12" s="16">
        <v>2</v>
      </c>
      <c r="E12" s="16">
        <v>1</v>
      </c>
      <c r="F12" s="16">
        <v>2</v>
      </c>
      <c r="G12" s="16">
        <f t="shared" si="0"/>
        <v>4</v>
      </c>
      <c r="H12" s="16">
        <f t="shared" si="0"/>
        <v>2</v>
      </c>
      <c r="I12" s="23">
        <f t="shared" si="1"/>
        <v>700</v>
      </c>
    </row>
    <row r="13" spans="1:9" x14ac:dyDescent="0.3">
      <c r="A13" s="5" t="s">
        <v>49</v>
      </c>
      <c r="B13" s="12"/>
      <c r="E13" s="16"/>
      <c r="F13" s="16"/>
      <c r="G13" s="14">
        <f>SUM(G9:G12)</f>
        <v>18.850000000000001</v>
      </c>
      <c r="H13" s="14">
        <f>SUM(H9:H12)</f>
        <v>13.2</v>
      </c>
      <c r="I13" s="1"/>
    </row>
    <row r="14" spans="1:9" x14ac:dyDescent="0.3">
      <c r="A14" t="s">
        <v>25</v>
      </c>
      <c r="D14" s="7"/>
      <c r="E14" s="7"/>
      <c r="G14" s="17">
        <f>G6</f>
        <v>100</v>
      </c>
      <c r="H14" s="17">
        <f>H6</f>
        <v>150</v>
      </c>
      <c r="I14" s="1"/>
    </row>
    <row r="15" spans="1:9" x14ac:dyDescent="0.3">
      <c r="A15" s="5" t="s">
        <v>59</v>
      </c>
      <c r="B15" s="12"/>
      <c r="E15" s="16"/>
      <c r="F15" s="16"/>
      <c r="G15" s="14">
        <f>G13*G14</f>
        <v>1885.0000000000002</v>
      </c>
      <c r="H15" s="14">
        <f>H13*H14</f>
        <v>1980</v>
      </c>
      <c r="I15" s="22">
        <f>G15+H15</f>
        <v>3865</v>
      </c>
    </row>
    <row r="16" spans="1:9" x14ac:dyDescent="0.3">
      <c r="C16" s="11"/>
      <c r="D16" s="11"/>
      <c r="E16" s="11"/>
      <c r="F16" s="11"/>
    </row>
    <row r="17" spans="1:9" x14ac:dyDescent="0.3">
      <c r="C17" s="11"/>
      <c r="D17" s="96" t="s">
        <v>24</v>
      </c>
      <c r="E17" s="96"/>
      <c r="F17" s="11"/>
    </row>
    <row r="18" spans="1:9" x14ac:dyDescent="0.3">
      <c r="A18" t="s">
        <v>55</v>
      </c>
      <c r="B18" t="s">
        <v>110</v>
      </c>
      <c r="C18" s="11" t="s">
        <v>58</v>
      </c>
      <c r="D18" s="15">
        <f>3/5</f>
        <v>0.6</v>
      </c>
      <c r="E18" s="15">
        <f>2/5</f>
        <v>0.4</v>
      </c>
      <c r="F18" s="11">
        <v>1000</v>
      </c>
      <c r="G18" s="18">
        <f>F18*D18</f>
        <v>600</v>
      </c>
      <c r="H18" s="18">
        <f>F18*E18</f>
        <v>400</v>
      </c>
      <c r="I18" s="23">
        <f>G18+H18</f>
        <v>1000</v>
      </c>
    </row>
    <row r="19" spans="1:9" x14ac:dyDescent="0.3">
      <c r="A19" t="s">
        <v>42</v>
      </c>
      <c r="B19" t="s">
        <v>51</v>
      </c>
      <c r="C19" s="11" t="s">
        <v>50</v>
      </c>
      <c r="D19" s="15">
        <v>0.55000000000000004</v>
      </c>
      <c r="E19" s="15">
        <v>0.45</v>
      </c>
      <c r="F19" s="11">
        <v>2000</v>
      </c>
      <c r="G19" s="18">
        <f>F19*D19</f>
        <v>1100</v>
      </c>
      <c r="H19" s="18">
        <f>F19*E19</f>
        <v>900</v>
      </c>
      <c r="I19" s="23">
        <f>G19+H19</f>
        <v>2000</v>
      </c>
    </row>
    <row r="20" spans="1:9" x14ac:dyDescent="0.3">
      <c r="A20" t="s">
        <v>46</v>
      </c>
      <c r="B20" t="s">
        <v>52</v>
      </c>
      <c r="C20" s="11" t="s">
        <v>70</v>
      </c>
      <c r="D20" s="15">
        <v>0.7</v>
      </c>
      <c r="E20" s="15">
        <v>0.3</v>
      </c>
      <c r="F20" s="11">
        <v>3000</v>
      </c>
      <c r="G20" s="18">
        <f>F20*D20</f>
        <v>2100</v>
      </c>
      <c r="H20" s="18">
        <f>F20*E20</f>
        <v>900</v>
      </c>
      <c r="I20" s="23">
        <f>G20+H20</f>
        <v>3000</v>
      </c>
    </row>
    <row r="21" spans="1:9" x14ac:dyDescent="0.3">
      <c r="A21" t="s">
        <v>47</v>
      </c>
      <c r="B21" t="s">
        <v>53</v>
      </c>
      <c r="C21" s="11" t="s">
        <v>54</v>
      </c>
      <c r="D21" s="15">
        <f>G6/(G6+H6)</f>
        <v>0.4</v>
      </c>
      <c r="E21" s="15">
        <f>H6/(G6+H6)</f>
        <v>0.6</v>
      </c>
      <c r="F21" s="11">
        <v>800</v>
      </c>
      <c r="G21" s="18">
        <f>F21*D21</f>
        <v>320</v>
      </c>
      <c r="H21" s="18">
        <f>F21*E21</f>
        <v>480</v>
      </c>
      <c r="I21" s="23">
        <f>G21+H21</f>
        <v>800</v>
      </c>
    </row>
    <row r="22" spans="1:9" x14ac:dyDescent="0.3">
      <c r="A22" s="5" t="s">
        <v>48</v>
      </c>
      <c r="C22" s="7"/>
      <c r="D22" s="7"/>
      <c r="E22" s="7"/>
      <c r="F22" s="7"/>
      <c r="G22" s="14">
        <f>SUM(G18:G21)</f>
        <v>4120</v>
      </c>
      <c r="H22" s="14">
        <f>SUM(H18:H21)</f>
        <v>2680</v>
      </c>
      <c r="I22" s="22">
        <f>G22+H22</f>
        <v>6800</v>
      </c>
    </row>
    <row r="23" spans="1:9" x14ac:dyDescent="0.3">
      <c r="A23" s="5"/>
      <c r="C23" s="7"/>
      <c r="D23" s="7"/>
      <c r="E23" s="7"/>
      <c r="F23" s="7"/>
      <c r="G23" s="14"/>
      <c r="H23" s="14"/>
      <c r="I23" s="2"/>
    </row>
    <row r="24" spans="1:9" x14ac:dyDescent="0.3">
      <c r="A24" s="5" t="s">
        <v>26</v>
      </c>
      <c r="C24" s="7"/>
      <c r="D24" s="7"/>
      <c r="E24" s="7"/>
      <c r="F24" s="7"/>
      <c r="G24" s="14">
        <f>G15+G22</f>
        <v>6005</v>
      </c>
      <c r="H24" s="14">
        <f>H15+H22</f>
        <v>4660</v>
      </c>
      <c r="I24" s="22">
        <f>G24+H24</f>
        <v>10665</v>
      </c>
    </row>
    <row r="25" spans="1:9" x14ac:dyDescent="0.3">
      <c r="A25" t="s">
        <v>25</v>
      </c>
      <c r="D25" s="7"/>
      <c r="E25" s="7"/>
      <c r="G25" s="17">
        <f>G6</f>
        <v>100</v>
      </c>
      <c r="H25" s="17">
        <f>H6</f>
        <v>150</v>
      </c>
      <c r="I25" s="23"/>
    </row>
    <row r="26" spans="1:9" x14ac:dyDescent="0.3">
      <c r="A26" s="5" t="s">
        <v>57</v>
      </c>
      <c r="D26" s="12"/>
      <c r="E26" s="12"/>
      <c r="F26" s="12"/>
      <c r="G26" s="14">
        <f>G24/G25</f>
        <v>60.05</v>
      </c>
      <c r="H26" s="14">
        <f>H24/H25</f>
        <v>31.066666666666666</v>
      </c>
    </row>
    <row r="27" spans="1:9" x14ac:dyDescent="0.3">
      <c r="C27" s="7"/>
      <c r="D27" s="7"/>
      <c r="E27" s="7"/>
      <c r="F27" s="7"/>
    </row>
  </sheetData>
  <mergeCells count="1"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608E-974F-4D1A-AC00-886C14E22897}">
  <dimension ref="A1:I26"/>
  <sheetViews>
    <sheetView topLeftCell="A4" workbookViewId="0">
      <selection activeCell="C13" sqref="C13"/>
    </sheetView>
  </sheetViews>
  <sheetFormatPr baseColWidth="10" defaultColWidth="11.44140625" defaultRowHeight="14.4" x14ac:dyDescent="0.3"/>
  <cols>
    <col min="1" max="1" width="28.33203125" customWidth="1"/>
    <col min="2" max="2" width="28.33203125" bestFit="1" customWidth="1"/>
    <col min="3" max="3" width="31" bestFit="1" customWidth="1"/>
    <col min="4" max="5" width="12.88671875" bestFit="1" customWidth="1"/>
    <col min="6" max="6" width="6.88671875" bestFit="1" customWidth="1"/>
    <col min="7" max="7" width="12.88671875" style="16" bestFit="1" customWidth="1"/>
    <col min="8" max="8" width="12.77734375" style="16" bestFit="1" customWidth="1"/>
  </cols>
  <sheetData>
    <row r="1" spans="1:9" x14ac:dyDescent="0.3">
      <c r="F1" s="1"/>
      <c r="G1" s="17"/>
      <c r="H1" s="17"/>
      <c r="I1" s="1"/>
    </row>
    <row r="2" spans="1:9" x14ac:dyDescent="0.3">
      <c r="F2" s="1"/>
    </row>
    <row r="3" spans="1:9" x14ac:dyDescent="0.3">
      <c r="A3" s="7"/>
      <c r="B3" s="7"/>
      <c r="C3" s="7"/>
      <c r="D3" s="7"/>
      <c r="E3" s="7"/>
      <c r="F3" s="8"/>
      <c r="G3" s="17"/>
      <c r="H3" s="17"/>
      <c r="I3" s="9"/>
    </row>
    <row r="4" spans="1:9" x14ac:dyDescent="0.3">
      <c r="A4" s="12" t="s">
        <v>45</v>
      </c>
      <c r="B4" s="12" t="s">
        <v>23</v>
      </c>
      <c r="C4" s="12" t="s">
        <v>41</v>
      </c>
      <c r="D4" t="s">
        <v>33</v>
      </c>
      <c r="E4" t="s">
        <v>34</v>
      </c>
      <c r="F4" s="13" t="s">
        <v>0</v>
      </c>
      <c r="G4" s="16" t="s">
        <v>33</v>
      </c>
      <c r="H4" s="16" t="s">
        <v>34</v>
      </c>
      <c r="I4" s="3"/>
    </row>
    <row r="5" spans="1:9" x14ac:dyDescent="0.3">
      <c r="A5" s="12"/>
      <c r="B5" s="12"/>
      <c r="C5" s="12"/>
      <c r="F5" s="13"/>
      <c r="I5" s="3"/>
    </row>
    <row r="6" spans="1:9" x14ac:dyDescent="0.3">
      <c r="C6" s="7" t="s">
        <v>25</v>
      </c>
      <c r="G6" s="21">
        <f>100*1.1</f>
        <v>110.00000000000001</v>
      </c>
      <c r="H6" s="21">
        <f>150*1.1</f>
        <v>165</v>
      </c>
    </row>
    <row r="7" spans="1:9" x14ac:dyDescent="0.3">
      <c r="A7" s="12"/>
      <c r="B7" s="12"/>
      <c r="C7" s="7"/>
      <c r="D7" s="7"/>
      <c r="E7" s="7"/>
      <c r="F7" s="7" t="s">
        <v>44</v>
      </c>
      <c r="I7" s="3"/>
    </row>
    <row r="8" spans="1:9" x14ac:dyDescent="0.3">
      <c r="A8" s="12"/>
      <c r="B8" s="12"/>
      <c r="D8" t="s">
        <v>33</v>
      </c>
      <c r="E8" t="s">
        <v>34</v>
      </c>
      <c r="F8" t="s">
        <v>39</v>
      </c>
      <c r="G8" s="16" t="s">
        <v>33</v>
      </c>
      <c r="H8" s="16" t="s">
        <v>34</v>
      </c>
      <c r="I8" s="3"/>
    </row>
    <row r="9" spans="1:9" x14ac:dyDescent="0.3">
      <c r="A9" t="s">
        <v>40</v>
      </c>
      <c r="B9" t="s">
        <v>30</v>
      </c>
      <c r="C9" t="s">
        <v>35</v>
      </c>
      <c r="D9" s="16">
        <v>1</v>
      </c>
      <c r="E9" s="16">
        <v>0.75</v>
      </c>
      <c r="F9" s="50">
        <v>7.6</v>
      </c>
      <c r="G9" s="16">
        <f t="shared" ref="G9:H12" si="0">D9*$F9</f>
        <v>7.6</v>
      </c>
      <c r="H9" s="16">
        <f t="shared" si="0"/>
        <v>5.6999999999999993</v>
      </c>
      <c r="I9" s="23">
        <f>G9*$G$6+H9*$H$6</f>
        <v>1776.5</v>
      </c>
    </row>
    <row r="10" spans="1:9" x14ac:dyDescent="0.3">
      <c r="A10" t="s">
        <v>40</v>
      </c>
      <c r="B10" t="s">
        <v>31</v>
      </c>
      <c r="C10" t="s">
        <v>36</v>
      </c>
      <c r="D10" s="16">
        <v>12</v>
      </c>
      <c r="E10" s="16">
        <v>6</v>
      </c>
      <c r="F10" s="50">
        <v>0.5</v>
      </c>
      <c r="G10" s="16">
        <f t="shared" si="0"/>
        <v>6</v>
      </c>
      <c r="H10" s="16">
        <f t="shared" si="0"/>
        <v>3</v>
      </c>
      <c r="I10" s="23">
        <f t="shared" ref="I10:I12" si="1">G10*$G$6+H10*$H$6</f>
        <v>1155</v>
      </c>
    </row>
    <row r="11" spans="1:9" x14ac:dyDescent="0.3">
      <c r="A11" t="s">
        <v>40</v>
      </c>
      <c r="B11" t="s">
        <v>37</v>
      </c>
      <c r="C11" t="s">
        <v>38</v>
      </c>
      <c r="D11" s="16">
        <v>0.25</v>
      </c>
      <c r="E11" s="16">
        <v>0.45</v>
      </c>
      <c r="F11" s="95">
        <f>5*1.2</f>
        <v>6</v>
      </c>
      <c r="G11" s="16">
        <f t="shared" si="0"/>
        <v>1.5</v>
      </c>
      <c r="H11" s="16">
        <f t="shared" si="0"/>
        <v>2.7</v>
      </c>
      <c r="I11" s="23">
        <f t="shared" si="1"/>
        <v>610.50000000000011</v>
      </c>
    </row>
    <row r="12" spans="1:9" x14ac:dyDescent="0.3">
      <c r="A12" t="s">
        <v>32</v>
      </c>
      <c r="B12" s="12"/>
      <c r="D12" s="16">
        <v>2</v>
      </c>
      <c r="E12" s="16">
        <v>1</v>
      </c>
      <c r="F12" s="50">
        <v>2</v>
      </c>
      <c r="G12" s="16">
        <f t="shared" si="0"/>
        <v>4</v>
      </c>
      <c r="H12" s="16">
        <f t="shared" si="0"/>
        <v>2</v>
      </c>
      <c r="I12" s="23">
        <f t="shared" si="1"/>
        <v>770</v>
      </c>
    </row>
    <row r="13" spans="1:9" x14ac:dyDescent="0.3">
      <c r="A13" s="5" t="s">
        <v>49</v>
      </c>
      <c r="B13" s="12"/>
      <c r="E13" s="16"/>
      <c r="F13" s="16"/>
      <c r="G13" s="14">
        <f>SUM(G9:G12)</f>
        <v>19.100000000000001</v>
      </c>
      <c r="H13" s="14">
        <f>SUM(H9:H12)</f>
        <v>13.399999999999999</v>
      </c>
      <c r="I13" s="3"/>
    </row>
    <row r="14" spans="1:9" x14ac:dyDescent="0.3">
      <c r="A14" t="s">
        <v>25</v>
      </c>
      <c r="B14" s="12"/>
      <c r="E14" s="16"/>
      <c r="F14" s="16"/>
      <c r="G14" s="20">
        <f>G6</f>
        <v>110.00000000000001</v>
      </c>
      <c r="H14" s="20">
        <f>H6</f>
        <v>165</v>
      </c>
      <c r="I14" s="3"/>
    </row>
    <row r="15" spans="1:9" x14ac:dyDescent="0.3">
      <c r="A15" s="5" t="s">
        <v>59</v>
      </c>
      <c r="B15" s="12"/>
      <c r="E15" s="16"/>
      <c r="F15" s="16"/>
      <c r="G15" s="14">
        <f>G13*G14</f>
        <v>2101.0000000000005</v>
      </c>
      <c r="H15" s="14">
        <f>H13*H14</f>
        <v>2210.9999999999995</v>
      </c>
      <c r="I15" s="22">
        <f>G15+H15</f>
        <v>4312</v>
      </c>
    </row>
    <row r="16" spans="1:9" x14ac:dyDescent="0.3">
      <c r="C16" s="11"/>
      <c r="D16" s="11"/>
      <c r="E16" s="11"/>
      <c r="F16" s="11"/>
    </row>
    <row r="17" spans="1:9" x14ac:dyDescent="0.3">
      <c r="C17" s="11"/>
      <c r="D17" s="96" t="s">
        <v>24</v>
      </c>
      <c r="E17" s="96"/>
      <c r="F17" s="11"/>
    </row>
    <row r="18" spans="1:9" x14ac:dyDescent="0.3">
      <c r="A18" t="s">
        <v>55</v>
      </c>
      <c r="B18" t="s">
        <v>43</v>
      </c>
      <c r="C18" s="11" t="s">
        <v>58</v>
      </c>
      <c r="D18" s="15">
        <f>3/5</f>
        <v>0.6</v>
      </c>
      <c r="E18" s="15">
        <f>2/5</f>
        <v>0.4</v>
      </c>
      <c r="F18" s="19">
        <f>1000*1.1</f>
        <v>1100</v>
      </c>
      <c r="G18" s="18">
        <f>F18*D18</f>
        <v>660</v>
      </c>
      <c r="H18" s="18">
        <f>F18*E18</f>
        <v>440</v>
      </c>
      <c r="I18" s="23">
        <f>G18+H18</f>
        <v>1100</v>
      </c>
    </row>
    <row r="19" spans="1:9" x14ac:dyDescent="0.3">
      <c r="A19" t="s">
        <v>42</v>
      </c>
      <c r="B19" t="s">
        <v>51</v>
      </c>
      <c r="C19" s="11" t="s">
        <v>50</v>
      </c>
      <c r="D19" s="15">
        <v>0.55000000000000004</v>
      </c>
      <c r="E19" s="15">
        <v>0.45</v>
      </c>
      <c r="F19" s="19">
        <f>2000*1.1</f>
        <v>2200</v>
      </c>
      <c r="G19" s="18">
        <f>F19*D19</f>
        <v>1210</v>
      </c>
      <c r="H19" s="18">
        <f>F19*E19</f>
        <v>990</v>
      </c>
      <c r="I19" s="23">
        <f>G19+H19</f>
        <v>2200</v>
      </c>
    </row>
    <row r="20" spans="1:9" x14ac:dyDescent="0.3">
      <c r="A20" t="s">
        <v>46</v>
      </c>
      <c r="B20" t="s">
        <v>56</v>
      </c>
      <c r="C20" s="11" t="s">
        <v>70</v>
      </c>
      <c r="D20" s="15">
        <v>0.7</v>
      </c>
      <c r="E20" s="15">
        <v>0.3</v>
      </c>
      <c r="F20" s="11">
        <v>3000</v>
      </c>
      <c r="G20" s="18">
        <f>F20*D20</f>
        <v>2100</v>
      </c>
      <c r="H20" s="18">
        <f>F20*E20</f>
        <v>900</v>
      </c>
      <c r="I20" s="23">
        <f>G20+H20</f>
        <v>3000</v>
      </c>
    </row>
    <row r="21" spans="1:9" x14ac:dyDescent="0.3">
      <c r="A21" t="s">
        <v>47</v>
      </c>
      <c r="B21" t="s">
        <v>53</v>
      </c>
      <c r="C21" s="11" t="s">
        <v>54</v>
      </c>
      <c r="D21" s="15">
        <f>G6/(G6+H6)</f>
        <v>0.40000000000000008</v>
      </c>
      <c r="E21" s="15">
        <f>H6/(G6+H6)</f>
        <v>0.6</v>
      </c>
      <c r="F21" s="11">
        <v>800</v>
      </c>
      <c r="G21" s="18">
        <f>F21*D21</f>
        <v>320.00000000000006</v>
      </c>
      <c r="H21" s="18">
        <f>F21*E21</f>
        <v>480</v>
      </c>
      <c r="I21" s="23">
        <f>G21+H21</f>
        <v>800</v>
      </c>
    </row>
    <row r="22" spans="1:9" x14ac:dyDescent="0.3">
      <c r="A22" s="5" t="s">
        <v>48</v>
      </c>
      <c r="C22" s="7"/>
      <c r="D22" s="7"/>
      <c r="E22" s="7"/>
      <c r="F22" s="7"/>
      <c r="G22" s="14">
        <f>SUM(G18:G21)</f>
        <v>4290</v>
      </c>
      <c r="H22" s="14">
        <f>SUM(H18:H21)</f>
        <v>2810</v>
      </c>
      <c r="I22" s="22">
        <f>G22+H22</f>
        <v>7100</v>
      </c>
    </row>
    <row r="23" spans="1:9" x14ac:dyDescent="0.3">
      <c r="A23" s="5"/>
      <c r="C23" s="7"/>
      <c r="D23" s="7"/>
      <c r="E23" s="7"/>
      <c r="F23" s="7"/>
      <c r="G23" s="14"/>
      <c r="H23" s="14"/>
      <c r="I23" s="2"/>
    </row>
    <row r="24" spans="1:9" x14ac:dyDescent="0.3">
      <c r="A24" s="5" t="s">
        <v>26</v>
      </c>
      <c r="C24" s="7"/>
      <c r="D24" s="7"/>
      <c r="E24" s="7"/>
      <c r="F24" s="7"/>
      <c r="G24" s="14">
        <f>G15+G22</f>
        <v>6391</v>
      </c>
      <c r="H24" s="14">
        <f>H15+H22</f>
        <v>5021</v>
      </c>
      <c r="I24" s="22">
        <f>G24+H24</f>
        <v>11412</v>
      </c>
    </row>
    <row r="25" spans="1:9" x14ac:dyDescent="0.3">
      <c r="A25" t="s">
        <v>25</v>
      </c>
      <c r="D25" s="7"/>
      <c r="E25" s="7"/>
      <c r="G25" s="17">
        <f>G6</f>
        <v>110.00000000000001</v>
      </c>
      <c r="H25" s="17">
        <f>H6</f>
        <v>165</v>
      </c>
      <c r="I25" s="9"/>
    </row>
    <row r="26" spans="1:9" x14ac:dyDescent="0.3">
      <c r="A26" s="5" t="s">
        <v>57</v>
      </c>
      <c r="D26" s="12"/>
      <c r="E26" s="12"/>
      <c r="F26" s="12"/>
      <c r="G26" s="14">
        <f>G24/G25</f>
        <v>58.099999999999994</v>
      </c>
      <c r="H26" s="14">
        <f>H24/H25</f>
        <v>30.43030303030303</v>
      </c>
    </row>
  </sheetData>
  <mergeCells count="1">
    <mergeCell ref="D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759-E4EB-42F0-B7E8-6737F8944600}">
  <dimension ref="A1:Z56"/>
  <sheetViews>
    <sheetView topLeftCell="A31" zoomScale="90" zoomScaleNormal="90" workbookViewId="0">
      <selection activeCell="B15" sqref="B15"/>
    </sheetView>
  </sheetViews>
  <sheetFormatPr baseColWidth="10" defaultColWidth="11.44140625" defaultRowHeight="14.4" x14ac:dyDescent="0.3"/>
  <cols>
    <col min="1" max="1" width="18.109375" bestFit="1" customWidth="1"/>
    <col min="2" max="2" width="20.44140625" bestFit="1" customWidth="1"/>
    <col min="3" max="3" width="10.109375" bestFit="1" customWidth="1"/>
    <col min="4" max="4" width="8.88671875" bestFit="1" customWidth="1"/>
    <col min="5" max="6" width="11.5546875" bestFit="1" customWidth="1"/>
    <col min="7" max="7" width="10.44140625" bestFit="1" customWidth="1"/>
    <col min="8" max="8" width="11.33203125" bestFit="1" customWidth="1"/>
    <col min="9" max="9" width="8.6640625" bestFit="1" customWidth="1"/>
    <col min="10" max="11" width="10" bestFit="1" customWidth="1"/>
    <col min="12" max="12" width="8.77734375" bestFit="1" customWidth="1"/>
    <col min="13" max="13" width="7.88671875" bestFit="1" customWidth="1"/>
    <col min="14" max="14" width="11.33203125" bestFit="1" customWidth="1"/>
    <col min="15" max="15" width="8.77734375" bestFit="1" customWidth="1"/>
    <col min="16" max="16" width="7.88671875" style="1" bestFit="1" customWidth="1"/>
    <col min="17" max="17" width="11.33203125" bestFit="1" customWidth="1"/>
    <col min="18" max="18" width="8.88671875" style="1" bestFit="1" customWidth="1"/>
    <col min="19" max="19" width="7.88671875" bestFit="1" customWidth="1"/>
    <col min="20" max="20" width="11.109375" bestFit="1" customWidth="1"/>
  </cols>
  <sheetData>
    <row r="1" spans="1:25" x14ac:dyDescent="0.3">
      <c r="A1" s="5"/>
    </row>
    <row r="2" spans="1:25" ht="15" thickBot="1" x14ac:dyDescent="0.35">
      <c r="A2" s="25" t="s">
        <v>60</v>
      </c>
      <c r="B2" s="1"/>
      <c r="C2" s="1"/>
      <c r="D2" s="1"/>
      <c r="E2" s="26">
        <v>45611</v>
      </c>
      <c r="F2" s="26">
        <v>45641</v>
      </c>
      <c r="G2" s="1"/>
    </row>
    <row r="3" spans="1:25" x14ac:dyDescent="0.3">
      <c r="A3" s="27" t="s">
        <v>4</v>
      </c>
      <c r="B3" s="28" t="s">
        <v>5</v>
      </c>
      <c r="C3" s="28" t="s">
        <v>107</v>
      </c>
      <c r="D3" s="28" t="s">
        <v>77</v>
      </c>
      <c r="E3" s="28" t="s">
        <v>78</v>
      </c>
      <c r="F3" s="29" t="s">
        <v>79</v>
      </c>
      <c r="G3" s="1" t="s">
        <v>80</v>
      </c>
    </row>
    <row r="4" spans="1:25" x14ac:dyDescent="0.3">
      <c r="A4" s="49">
        <v>45596</v>
      </c>
      <c r="B4" s="30" t="s">
        <v>100</v>
      </c>
      <c r="C4" s="48">
        <f>'Costos Oct'!G26</f>
        <v>60.05</v>
      </c>
      <c r="D4" s="48">
        <f>'Costos Oct'!G25</f>
        <v>100</v>
      </c>
      <c r="E4" s="31">
        <v>-80</v>
      </c>
      <c r="F4" s="32">
        <v>-20</v>
      </c>
      <c r="G4" s="12">
        <f>SUM(D4:F4)</f>
        <v>0</v>
      </c>
    </row>
    <row r="5" spans="1:25" x14ac:dyDescent="0.3">
      <c r="A5" s="49">
        <v>45626</v>
      </c>
      <c r="B5" s="30" t="s">
        <v>101</v>
      </c>
      <c r="C5" s="48">
        <f>'Costos Nov'!G26</f>
        <v>58.099999999999994</v>
      </c>
      <c r="D5" s="48">
        <f>'Costos Nov'!G25</f>
        <v>110.00000000000001</v>
      </c>
      <c r="E5" s="31"/>
      <c r="F5" s="32">
        <v>-90</v>
      </c>
      <c r="G5" s="94">
        <f>SUM(D5:F5)</f>
        <v>20.000000000000014</v>
      </c>
    </row>
    <row r="6" spans="1:25" ht="15" thickBot="1" x14ac:dyDescent="0.35">
      <c r="A6" s="33"/>
      <c r="B6" s="34" t="s">
        <v>108</v>
      </c>
      <c r="C6" s="35"/>
      <c r="D6" s="34" t="s">
        <v>39</v>
      </c>
      <c r="E6" s="35">
        <v>70</v>
      </c>
      <c r="F6" s="36">
        <v>75</v>
      </c>
      <c r="G6" s="12"/>
    </row>
    <row r="7" spans="1:25" x14ac:dyDescent="0.3">
      <c r="A7" s="6"/>
      <c r="B7" s="1" t="s">
        <v>109</v>
      </c>
      <c r="C7" s="5"/>
      <c r="D7" s="5"/>
      <c r="E7" s="7">
        <f>E4*-E6</f>
        <v>5600</v>
      </c>
      <c r="F7" s="7">
        <f>F6*-(F4+F5)</f>
        <v>8250</v>
      </c>
      <c r="G7" s="12"/>
    </row>
    <row r="8" spans="1:25" ht="15" thickBot="1" x14ac:dyDescent="0.35">
      <c r="A8" s="5"/>
    </row>
    <row r="9" spans="1:25" x14ac:dyDescent="0.3">
      <c r="A9" s="37"/>
      <c r="B9" s="38"/>
      <c r="C9" s="105" t="s">
        <v>81</v>
      </c>
      <c r="D9" s="105"/>
      <c r="E9" s="105"/>
      <c r="F9" s="105"/>
      <c r="G9" s="105"/>
      <c r="H9" s="105"/>
      <c r="I9" s="105"/>
      <c r="J9" s="105"/>
      <c r="K9" s="106"/>
      <c r="L9" s="99" t="s">
        <v>82</v>
      </c>
      <c r="M9" s="97"/>
      <c r="N9" s="97"/>
      <c r="O9" s="97"/>
      <c r="P9" s="97"/>
      <c r="Q9" s="97"/>
      <c r="R9" s="97"/>
      <c r="S9" s="97"/>
      <c r="T9" s="98"/>
    </row>
    <row r="10" spans="1:25" s="4" customFormat="1" x14ac:dyDescent="0.3">
      <c r="A10" s="39"/>
      <c r="B10" s="40"/>
      <c r="C10" s="100" t="s">
        <v>83</v>
      </c>
      <c r="D10" s="100"/>
      <c r="E10" s="101"/>
      <c r="F10" s="102" t="s">
        <v>84</v>
      </c>
      <c r="G10" s="100"/>
      <c r="H10" s="101"/>
      <c r="I10" s="102" t="s">
        <v>80</v>
      </c>
      <c r="J10" s="100"/>
      <c r="K10" s="103"/>
      <c r="L10" s="104" t="s">
        <v>83</v>
      </c>
      <c r="M10" s="100"/>
      <c r="N10" s="101"/>
      <c r="O10" s="102" t="s">
        <v>84</v>
      </c>
      <c r="P10" s="100"/>
      <c r="Q10" s="101"/>
      <c r="R10" s="102" t="s">
        <v>80</v>
      </c>
      <c r="S10" s="100"/>
      <c r="T10" s="103"/>
    </row>
    <row r="11" spans="1:25" ht="29.4" thickBot="1" x14ac:dyDescent="0.35">
      <c r="A11" s="41" t="s">
        <v>4</v>
      </c>
      <c r="B11" s="42" t="s">
        <v>5</v>
      </c>
      <c r="C11" s="43" t="s">
        <v>77</v>
      </c>
      <c r="D11" s="44" t="s">
        <v>85</v>
      </c>
      <c r="E11" s="44" t="s">
        <v>86</v>
      </c>
      <c r="F11" s="44" t="s">
        <v>77</v>
      </c>
      <c r="G11" s="44" t="s">
        <v>85</v>
      </c>
      <c r="H11" s="44" t="s">
        <v>86</v>
      </c>
      <c r="I11" s="44" t="s">
        <v>77</v>
      </c>
      <c r="J11" s="44" t="s">
        <v>85</v>
      </c>
      <c r="K11" s="42" t="s">
        <v>86</v>
      </c>
      <c r="L11" s="45" t="s">
        <v>77</v>
      </c>
      <c r="M11" s="44" t="s">
        <v>85</v>
      </c>
      <c r="N11" s="44" t="s">
        <v>86</v>
      </c>
      <c r="O11" s="44" t="s">
        <v>77</v>
      </c>
      <c r="P11" s="44" t="s">
        <v>85</v>
      </c>
      <c r="Q11" s="44" t="s">
        <v>86</v>
      </c>
      <c r="R11" s="44" t="s">
        <v>77</v>
      </c>
      <c r="S11" s="44" t="s">
        <v>85</v>
      </c>
      <c r="T11" s="42" t="s">
        <v>86</v>
      </c>
    </row>
    <row r="12" spans="1:25" x14ac:dyDescent="0.3">
      <c r="A12" s="1"/>
      <c r="B12" s="46"/>
      <c r="C12" s="46"/>
      <c r="D12" s="46" t="s">
        <v>39</v>
      </c>
      <c r="E12" s="46" t="s">
        <v>39</v>
      </c>
      <c r="F12" s="46" t="s">
        <v>39</v>
      </c>
      <c r="G12" s="46" t="s">
        <v>39</v>
      </c>
      <c r="H12" s="46" t="s">
        <v>39</v>
      </c>
      <c r="I12" s="46" t="s">
        <v>39</v>
      </c>
      <c r="J12" s="46" t="s">
        <v>39</v>
      </c>
      <c r="K12" s="46" t="s">
        <v>39</v>
      </c>
      <c r="L12" s="46"/>
      <c r="M12" s="46"/>
      <c r="N12" s="46"/>
      <c r="O12" s="46"/>
      <c r="P12" s="46"/>
      <c r="Q12" s="46"/>
      <c r="R12" s="46" t="s">
        <v>39</v>
      </c>
      <c r="S12" s="46" t="s">
        <v>39</v>
      </c>
      <c r="T12" s="46" t="s">
        <v>39</v>
      </c>
    </row>
    <row r="13" spans="1:25" x14ac:dyDescent="0.3">
      <c r="A13" s="57" t="s">
        <v>99</v>
      </c>
      <c r="B13" s="62" t="s">
        <v>106</v>
      </c>
      <c r="C13" s="66"/>
      <c r="D13" s="67"/>
      <c r="E13" s="68"/>
      <c r="F13" s="75"/>
      <c r="G13" s="67"/>
      <c r="H13" s="68"/>
      <c r="I13" s="81">
        <v>0</v>
      </c>
      <c r="J13" s="82"/>
      <c r="K13" s="83">
        <v>0</v>
      </c>
      <c r="L13" s="66"/>
      <c r="M13" s="67"/>
      <c r="N13" s="90"/>
      <c r="O13" s="75">
        <v>0</v>
      </c>
      <c r="P13" s="92"/>
      <c r="Q13" s="90">
        <v>0</v>
      </c>
      <c r="R13" s="75">
        <v>0</v>
      </c>
      <c r="S13" s="67"/>
      <c r="T13" s="90">
        <v>0</v>
      </c>
    </row>
    <row r="14" spans="1:25" x14ac:dyDescent="0.3">
      <c r="A14" s="58"/>
      <c r="B14" s="63"/>
      <c r="C14" s="69"/>
      <c r="D14" s="53"/>
      <c r="E14" s="70"/>
      <c r="F14" s="76"/>
      <c r="G14" s="53"/>
      <c r="H14" s="70"/>
      <c r="I14" s="76"/>
      <c r="J14" s="53"/>
      <c r="K14" s="84"/>
      <c r="L14" s="69"/>
      <c r="M14" s="53"/>
      <c r="N14" s="84"/>
      <c r="O14" s="76"/>
      <c r="P14" s="54"/>
      <c r="Q14" s="84"/>
      <c r="R14" s="76"/>
      <c r="S14" s="53"/>
      <c r="T14" s="84"/>
    </row>
    <row r="15" spans="1:25" x14ac:dyDescent="0.3">
      <c r="A15" s="59">
        <v>45596</v>
      </c>
      <c r="B15" s="64" t="str">
        <f>B4</f>
        <v>Producción Octubre</v>
      </c>
      <c r="C15" s="71">
        <f>D4</f>
        <v>100</v>
      </c>
      <c r="D15" s="53">
        <f>C4</f>
        <v>60.05</v>
      </c>
      <c r="E15" s="70">
        <f>C15*D15</f>
        <v>6005</v>
      </c>
      <c r="F15" s="76">
        <v>0</v>
      </c>
      <c r="G15" s="53"/>
      <c r="H15" s="70">
        <v>0</v>
      </c>
      <c r="I15" s="76">
        <f>C15-F15+I13</f>
        <v>100</v>
      </c>
      <c r="J15" s="53">
        <f>K15/I15</f>
        <v>60.05</v>
      </c>
      <c r="K15" s="70">
        <f>E15-H15+K13</f>
        <v>6005</v>
      </c>
      <c r="L15" s="69">
        <f>D4</f>
        <v>100</v>
      </c>
      <c r="M15" s="53">
        <f>C4</f>
        <v>60.05</v>
      </c>
      <c r="N15" s="70">
        <f>L15*M15</f>
        <v>6005</v>
      </c>
      <c r="O15" s="76">
        <v>0</v>
      </c>
      <c r="P15" s="53"/>
      <c r="Q15" s="70">
        <v>0</v>
      </c>
      <c r="R15" s="76">
        <f>L15-O15+R13</f>
        <v>100</v>
      </c>
      <c r="S15" s="53">
        <f>T15/R15</f>
        <v>60.05</v>
      </c>
      <c r="T15" s="70">
        <f>N15-Q15+T13</f>
        <v>6005</v>
      </c>
      <c r="V15">
        <v>60</v>
      </c>
      <c r="W15" t="s">
        <v>87</v>
      </c>
      <c r="Y15" s="2">
        <f>E15</f>
        <v>6005</v>
      </c>
    </row>
    <row r="16" spans="1:25" x14ac:dyDescent="0.3">
      <c r="A16" s="59"/>
      <c r="B16" s="64"/>
      <c r="C16" s="71"/>
      <c r="D16" s="53"/>
      <c r="E16" s="70"/>
      <c r="F16" s="76"/>
      <c r="G16" s="53"/>
      <c r="H16" s="70"/>
      <c r="I16" s="76"/>
      <c r="J16" s="53"/>
      <c r="K16" s="70"/>
      <c r="L16" s="69"/>
      <c r="M16" s="53"/>
      <c r="N16" s="70"/>
      <c r="O16" s="76"/>
      <c r="P16" s="53"/>
      <c r="Q16" s="70"/>
      <c r="R16" s="76"/>
      <c r="S16" s="53"/>
      <c r="T16" s="70"/>
      <c r="Y16" s="2"/>
    </row>
    <row r="17" spans="1:26" x14ac:dyDescent="0.3">
      <c r="A17" s="60" t="s">
        <v>102</v>
      </c>
      <c r="B17" s="64" t="s">
        <v>88</v>
      </c>
      <c r="C17" s="69"/>
      <c r="D17" s="53"/>
      <c r="E17" s="70"/>
      <c r="F17" s="76">
        <f>E4</f>
        <v>-80</v>
      </c>
      <c r="G17" s="56">
        <f>C4</f>
        <v>60.05</v>
      </c>
      <c r="H17" s="77">
        <f>F17*G17</f>
        <v>-4804</v>
      </c>
      <c r="I17" s="76">
        <f>I15+F17+C17</f>
        <v>20</v>
      </c>
      <c r="J17" s="53">
        <f>K17/I17</f>
        <v>60.05</v>
      </c>
      <c r="K17" s="70">
        <f>K15+H17+E17</f>
        <v>1201</v>
      </c>
      <c r="L17" s="91"/>
      <c r="M17" s="56"/>
      <c r="N17" s="77"/>
      <c r="O17" s="93">
        <f>E4</f>
        <v>-80</v>
      </c>
      <c r="P17" s="56">
        <f>C4</f>
        <v>60.05</v>
      </c>
      <c r="Q17" s="70">
        <f>O17*P17</f>
        <v>-4804</v>
      </c>
      <c r="R17" s="76">
        <f>R15+O17+L17</f>
        <v>20</v>
      </c>
      <c r="S17" s="53">
        <f>T17/R17</f>
        <v>60.05</v>
      </c>
      <c r="T17" s="70">
        <f>T15+Q17+N17</f>
        <v>1201</v>
      </c>
    </row>
    <row r="18" spans="1:26" x14ac:dyDescent="0.3">
      <c r="A18" s="60"/>
      <c r="B18" s="64"/>
      <c r="C18" s="69"/>
      <c r="D18" s="53"/>
      <c r="E18" s="70"/>
      <c r="F18" s="76"/>
      <c r="G18" s="56"/>
      <c r="H18" s="77"/>
      <c r="I18" s="76"/>
      <c r="J18" s="53"/>
      <c r="K18" s="70"/>
      <c r="L18" s="91"/>
      <c r="M18" s="56"/>
      <c r="N18" s="77"/>
      <c r="O18" s="93"/>
      <c r="P18" s="56"/>
      <c r="Q18" s="70"/>
      <c r="R18" s="76"/>
      <c r="S18" s="53"/>
      <c r="T18" s="70"/>
    </row>
    <row r="19" spans="1:26" x14ac:dyDescent="0.3">
      <c r="A19" s="60"/>
      <c r="B19" s="64"/>
      <c r="C19" s="69"/>
      <c r="D19" s="53"/>
      <c r="E19" s="70"/>
      <c r="F19" s="76"/>
      <c r="G19" s="56"/>
      <c r="H19" s="77"/>
      <c r="I19" s="76">
        <f>I17</f>
        <v>20</v>
      </c>
      <c r="J19" s="53">
        <f>K19/I19</f>
        <v>60.05</v>
      </c>
      <c r="K19" s="70">
        <f>K17</f>
        <v>1201</v>
      </c>
      <c r="L19" s="91"/>
      <c r="M19" s="56"/>
      <c r="N19" s="77"/>
      <c r="O19" s="93"/>
      <c r="P19" s="56"/>
      <c r="Q19" s="70"/>
      <c r="R19" s="76"/>
      <c r="S19" s="53"/>
      <c r="T19" s="70"/>
    </row>
    <row r="20" spans="1:26" x14ac:dyDescent="0.3">
      <c r="A20" s="58" t="s">
        <v>103</v>
      </c>
      <c r="B20" s="64" t="str">
        <f>B5</f>
        <v>Producción Noviembre</v>
      </c>
      <c r="C20" s="71">
        <f>D5</f>
        <v>110.00000000000001</v>
      </c>
      <c r="D20" s="53">
        <f>C5</f>
        <v>58.099999999999994</v>
      </c>
      <c r="E20" s="70">
        <f>C20*D20</f>
        <v>6391</v>
      </c>
      <c r="F20" s="76"/>
      <c r="G20" s="53"/>
      <c r="H20" s="70"/>
      <c r="I20" s="88">
        <f>C20+F20</f>
        <v>110.00000000000001</v>
      </c>
      <c r="J20" s="73">
        <f>K20/I20</f>
        <v>58.099999999999994</v>
      </c>
      <c r="K20" s="89">
        <f>E20+H20</f>
        <v>6391</v>
      </c>
      <c r="L20" s="71">
        <f>D5</f>
        <v>110.00000000000001</v>
      </c>
      <c r="M20" s="53">
        <f>C5</f>
        <v>58.099999999999994</v>
      </c>
      <c r="N20" s="70">
        <f>L20*M20</f>
        <v>6391</v>
      </c>
      <c r="O20" s="76"/>
      <c r="P20" s="53"/>
      <c r="Q20" s="70"/>
      <c r="R20" s="76">
        <f>L20+O20+R17</f>
        <v>130</v>
      </c>
      <c r="S20" s="53">
        <f>T20/R20</f>
        <v>58.4</v>
      </c>
      <c r="T20" s="70">
        <f>T17+Q20+N20</f>
        <v>7592</v>
      </c>
    </row>
    <row r="21" spans="1:26" x14ac:dyDescent="0.3">
      <c r="A21" s="58"/>
      <c r="B21" s="64"/>
      <c r="C21" s="71"/>
      <c r="D21" s="53"/>
      <c r="E21" s="70"/>
      <c r="F21" s="76"/>
      <c r="G21" s="53"/>
      <c r="H21" s="70"/>
      <c r="I21" s="86">
        <f>I19+I20</f>
        <v>130</v>
      </c>
      <c r="K21" s="85">
        <f>K19+K20</f>
        <v>7592</v>
      </c>
      <c r="L21" s="71"/>
      <c r="M21" s="53"/>
      <c r="N21" s="70"/>
      <c r="O21" s="76"/>
      <c r="P21" s="53"/>
      <c r="Q21" s="70"/>
      <c r="R21" s="76"/>
      <c r="S21" s="53"/>
      <c r="T21" s="70"/>
    </row>
    <row r="22" spans="1:26" x14ac:dyDescent="0.3">
      <c r="A22" s="60"/>
      <c r="B22" s="64"/>
      <c r="C22" s="69"/>
      <c r="D22" s="53"/>
      <c r="E22" s="70"/>
      <c r="F22" s="76"/>
      <c r="G22" s="53"/>
      <c r="H22" s="70"/>
      <c r="I22" s="76"/>
      <c r="J22" s="53"/>
      <c r="K22" s="70"/>
      <c r="L22" s="69"/>
      <c r="M22" s="53"/>
      <c r="N22" s="70"/>
      <c r="O22" s="76"/>
      <c r="P22" s="53"/>
      <c r="Q22" s="70"/>
      <c r="R22" s="76"/>
      <c r="S22" s="53"/>
      <c r="T22" s="70"/>
      <c r="V22">
        <v>61</v>
      </c>
      <c r="Z22" s="2" t="e">
        <f>#REF!</f>
        <v>#REF!</v>
      </c>
    </row>
    <row r="23" spans="1:26" x14ac:dyDescent="0.3">
      <c r="A23" s="60" t="s">
        <v>104</v>
      </c>
      <c r="B23" s="64" t="s">
        <v>89</v>
      </c>
      <c r="C23" s="69"/>
      <c r="D23" s="53"/>
      <c r="E23" s="70"/>
      <c r="F23" s="76">
        <f>F4</f>
        <v>-20</v>
      </c>
      <c r="G23" s="53">
        <f>C4</f>
        <v>60.05</v>
      </c>
      <c r="H23" s="70">
        <f>F23*G23</f>
        <v>-1201</v>
      </c>
      <c r="I23" s="76">
        <f>F23+I19</f>
        <v>0</v>
      </c>
      <c r="J23" s="53"/>
      <c r="K23" s="70">
        <f>H23+K19</f>
        <v>0</v>
      </c>
      <c r="L23" s="69"/>
      <c r="M23" s="53"/>
      <c r="N23" s="70"/>
      <c r="O23" s="76">
        <f>F4+F5</f>
        <v>-110</v>
      </c>
      <c r="P23" s="53">
        <f>S20</f>
        <v>58.4</v>
      </c>
      <c r="Q23" s="70">
        <f>O23*P23</f>
        <v>-6424</v>
      </c>
      <c r="R23" s="76">
        <f>L23+O23+R20</f>
        <v>20</v>
      </c>
      <c r="S23" s="53">
        <f>T23/R23</f>
        <v>58.4</v>
      </c>
      <c r="T23" s="70">
        <f>N23+Q23+T20</f>
        <v>1168</v>
      </c>
    </row>
    <row r="24" spans="1:26" x14ac:dyDescent="0.3">
      <c r="A24" s="60"/>
      <c r="B24" s="64"/>
      <c r="C24" s="69"/>
      <c r="D24" s="53"/>
      <c r="E24" s="70"/>
      <c r="F24" s="76">
        <f>F5</f>
        <v>-90</v>
      </c>
      <c r="G24" s="53">
        <f>C5</f>
        <v>58.099999999999994</v>
      </c>
      <c r="H24" s="70">
        <f>F24*G24</f>
        <v>-5228.9999999999991</v>
      </c>
      <c r="I24" s="76">
        <f>F24+I20</f>
        <v>20.000000000000014</v>
      </c>
      <c r="J24" s="53">
        <f>K24/I24</f>
        <v>58.1</v>
      </c>
      <c r="K24" s="70">
        <f>H24+K20</f>
        <v>1162.0000000000009</v>
      </c>
      <c r="L24" s="69"/>
      <c r="M24" s="53"/>
      <c r="N24" s="70"/>
      <c r="O24" s="76"/>
      <c r="P24" s="53"/>
      <c r="Q24" s="70"/>
      <c r="R24" s="76"/>
      <c r="S24" s="53"/>
      <c r="T24" s="70"/>
    </row>
    <row r="25" spans="1:26" x14ac:dyDescent="0.3">
      <c r="A25" s="60"/>
      <c r="B25" s="64"/>
      <c r="C25" s="69"/>
      <c r="D25" s="53"/>
      <c r="E25" s="70"/>
      <c r="F25" s="78"/>
      <c r="G25" s="53"/>
      <c r="H25" s="79"/>
      <c r="I25" s="78"/>
      <c r="J25" s="53"/>
      <c r="K25" s="79"/>
      <c r="L25" s="69"/>
      <c r="M25" s="53"/>
      <c r="N25" s="70"/>
      <c r="O25" s="76"/>
      <c r="P25" s="53"/>
      <c r="Q25" s="70"/>
      <c r="R25" s="76"/>
      <c r="S25" s="53"/>
      <c r="T25" s="70"/>
    </row>
    <row r="26" spans="1:26" x14ac:dyDescent="0.3">
      <c r="A26" s="58" t="s">
        <v>105</v>
      </c>
      <c r="B26" s="64"/>
      <c r="C26" s="69"/>
      <c r="D26" s="53"/>
      <c r="E26" s="70"/>
      <c r="F26" s="78"/>
      <c r="G26" s="53"/>
      <c r="H26" s="79"/>
      <c r="I26" s="78">
        <f>I24</f>
        <v>20.000000000000014</v>
      </c>
      <c r="J26" s="55">
        <f>K26/I26</f>
        <v>58.1</v>
      </c>
      <c r="K26" s="79">
        <f>K24</f>
        <v>1162.0000000000009</v>
      </c>
      <c r="L26" s="69"/>
      <c r="M26" s="53"/>
      <c r="N26" s="70"/>
      <c r="O26" s="76"/>
      <c r="P26" s="53"/>
      <c r="Q26" s="70"/>
      <c r="R26" s="78">
        <f>R23</f>
        <v>20</v>
      </c>
      <c r="S26" s="55">
        <f>S23</f>
        <v>58.4</v>
      </c>
      <c r="T26" s="79">
        <f>T23</f>
        <v>1168</v>
      </c>
    </row>
    <row r="27" spans="1:26" x14ac:dyDescent="0.3">
      <c r="A27" s="61"/>
      <c r="B27" s="65"/>
      <c r="C27" s="72"/>
      <c r="D27" s="73"/>
      <c r="E27" s="74"/>
      <c r="F27" s="80"/>
      <c r="G27" s="73"/>
      <c r="H27" s="74"/>
      <c r="I27" s="80"/>
      <c r="J27" s="73"/>
      <c r="K27" s="87"/>
      <c r="L27" s="72"/>
      <c r="M27" s="73"/>
      <c r="N27" s="74"/>
      <c r="O27" s="80"/>
      <c r="P27" s="73"/>
      <c r="Q27" s="74"/>
      <c r="R27" s="80"/>
      <c r="S27" s="73"/>
      <c r="T27" s="74"/>
      <c r="V27">
        <v>4011</v>
      </c>
      <c r="W27" t="s">
        <v>90</v>
      </c>
      <c r="Z27">
        <f>Z28*0.18</f>
        <v>18720</v>
      </c>
    </row>
    <row r="28" spans="1:26" x14ac:dyDescent="0.3">
      <c r="A28" s="5"/>
      <c r="B28" s="3"/>
      <c r="C28" s="51">
        <f>SUM(C13:C27)</f>
        <v>210</v>
      </c>
      <c r="D28" s="51"/>
      <c r="E28" s="51">
        <f>SUM(E13:E27)</f>
        <v>12396</v>
      </c>
      <c r="F28" s="51">
        <f>SUM(F13:F27)</f>
        <v>-190</v>
      </c>
      <c r="G28" s="51"/>
      <c r="H28" s="51">
        <f>SUM(H13:H27)</f>
        <v>-11234</v>
      </c>
      <c r="I28" s="51"/>
      <c r="J28" s="51"/>
      <c r="K28" s="51"/>
      <c r="L28" s="51">
        <f>SUM(L13:L27)</f>
        <v>210</v>
      </c>
      <c r="M28" s="51"/>
      <c r="N28" s="51">
        <f>SUM(N13:N27)</f>
        <v>12396</v>
      </c>
      <c r="O28" s="51">
        <f>SUM(O13:O27)</f>
        <v>-190</v>
      </c>
      <c r="P28" s="52"/>
      <c r="Q28" s="51">
        <f>SUM(Q13:Q27)</f>
        <v>-11228</v>
      </c>
      <c r="R28" s="47"/>
      <c r="S28" s="47"/>
      <c r="T28" s="47"/>
      <c r="V28">
        <v>70</v>
      </c>
      <c r="W28" t="s">
        <v>91</v>
      </c>
      <c r="Z28">
        <f>13*8000</f>
        <v>104000</v>
      </c>
    </row>
    <row r="29" spans="1:26" x14ac:dyDescent="0.3">
      <c r="E29" s="26">
        <v>45611</v>
      </c>
      <c r="F29" s="26">
        <v>45641</v>
      </c>
    </row>
    <row r="30" spans="1:26" ht="15" thickBot="1" x14ac:dyDescent="0.35">
      <c r="A30" s="25" t="s">
        <v>62</v>
      </c>
      <c r="B30" s="1"/>
      <c r="C30" s="1"/>
      <c r="D30" s="1"/>
      <c r="G30" s="1"/>
      <c r="V30">
        <v>69</v>
      </c>
      <c r="W30" t="s">
        <v>92</v>
      </c>
      <c r="Y30" s="2">
        <f>Q17</f>
        <v>-4804</v>
      </c>
    </row>
    <row r="31" spans="1:26" x14ac:dyDescent="0.3">
      <c r="A31" s="27" t="s">
        <v>4</v>
      </c>
      <c r="B31" s="28" t="s">
        <v>5</v>
      </c>
      <c r="C31" s="28" t="s">
        <v>107</v>
      </c>
      <c r="D31" s="28" t="s">
        <v>77</v>
      </c>
      <c r="E31" s="28" t="s">
        <v>78</v>
      </c>
      <c r="F31" s="29" t="s">
        <v>79</v>
      </c>
      <c r="G31" s="1" t="s">
        <v>80</v>
      </c>
      <c r="V31">
        <v>20</v>
      </c>
      <c r="Z31" s="2">
        <f>Y30</f>
        <v>-4804</v>
      </c>
    </row>
    <row r="32" spans="1:26" x14ac:dyDescent="0.3">
      <c r="A32" s="49">
        <v>45596</v>
      </c>
      <c r="B32" s="30" t="s">
        <v>100</v>
      </c>
      <c r="C32" s="48">
        <f>'Costos Oct'!H26</f>
        <v>31.066666666666666</v>
      </c>
      <c r="D32" s="48">
        <f>'Costos Oct'!H25</f>
        <v>150</v>
      </c>
      <c r="E32" s="31">
        <v>-120</v>
      </c>
      <c r="F32" s="32">
        <v>-30</v>
      </c>
      <c r="G32" s="12">
        <f>SUM(D32:F32)</f>
        <v>0</v>
      </c>
    </row>
    <row r="33" spans="1:20" x14ac:dyDescent="0.3">
      <c r="A33" s="49">
        <v>45626</v>
      </c>
      <c r="B33" s="30" t="s">
        <v>101</v>
      </c>
      <c r="C33" s="48">
        <f>'Costos Nov'!H26</f>
        <v>30.43030303030303</v>
      </c>
      <c r="D33" s="48">
        <f>'Costos Nov'!H25</f>
        <v>165</v>
      </c>
      <c r="E33" s="31"/>
      <c r="F33" s="32">
        <v>-135</v>
      </c>
      <c r="G33" s="94">
        <f>SUM(D33:F33)</f>
        <v>30</v>
      </c>
    </row>
    <row r="34" spans="1:20" ht="15" thickBot="1" x14ac:dyDescent="0.35">
      <c r="A34" s="33"/>
      <c r="B34" s="34" t="s">
        <v>108</v>
      </c>
      <c r="C34" s="35"/>
      <c r="D34" s="34" t="s">
        <v>39</v>
      </c>
      <c r="E34" s="35">
        <v>40</v>
      </c>
      <c r="F34" s="36">
        <v>45</v>
      </c>
      <c r="G34" s="12"/>
    </row>
    <row r="35" spans="1:20" x14ac:dyDescent="0.3">
      <c r="A35" s="6"/>
      <c r="B35" s="1" t="s">
        <v>109</v>
      </c>
      <c r="C35" s="5"/>
      <c r="D35" s="5"/>
      <c r="E35" s="7">
        <f>E32*-E34</f>
        <v>4800</v>
      </c>
      <c r="F35" s="7">
        <f>F34*-(F32+F33)</f>
        <v>7425</v>
      </c>
      <c r="G35" s="12"/>
    </row>
    <row r="36" spans="1:20" ht="15" thickBot="1" x14ac:dyDescent="0.35">
      <c r="A36" s="5"/>
    </row>
    <row r="37" spans="1:20" x14ac:dyDescent="0.3">
      <c r="A37" s="37"/>
      <c r="B37" s="38"/>
      <c r="C37" s="97" t="s">
        <v>81</v>
      </c>
      <c r="D37" s="97"/>
      <c r="E37" s="97"/>
      <c r="F37" s="97"/>
      <c r="G37" s="97"/>
      <c r="H37" s="97"/>
      <c r="I37" s="97"/>
      <c r="J37" s="97"/>
      <c r="K37" s="98"/>
      <c r="L37" s="99" t="s">
        <v>82</v>
      </c>
      <c r="M37" s="97"/>
      <c r="N37" s="97"/>
      <c r="O37" s="97"/>
      <c r="P37" s="97"/>
      <c r="Q37" s="97"/>
      <c r="R37" s="97"/>
      <c r="S37" s="97"/>
      <c r="T37" s="98"/>
    </row>
    <row r="38" spans="1:20" s="4" customFormat="1" x14ac:dyDescent="0.3">
      <c r="A38" s="39"/>
      <c r="B38" s="40"/>
      <c r="C38" s="100" t="s">
        <v>83</v>
      </c>
      <c r="D38" s="100"/>
      <c r="E38" s="101"/>
      <c r="F38" s="102" t="s">
        <v>84</v>
      </c>
      <c r="G38" s="100"/>
      <c r="H38" s="101"/>
      <c r="I38" s="102" t="s">
        <v>80</v>
      </c>
      <c r="J38" s="100"/>
      <c r="K38" s="103"/>
      <c r="L38" s="104" t="s">
        <v>83</v>
      </c>
      <c r="M38" s="100"/>
      <c r="N38" s="101"/>
      <c r="O38" s="102" t="s">
        <v>84</v>
      </c>
      <c r="P38" s="100"/>
      <c r="Q38" s="101"/>
      <c r="R38" s="102" t="s">
        <v>80</v>
      </c>
      <c r="S38" s="100"/>
      <c r="T38" s="103"/>
    </row>
    <row r="39" spans="1:20" ht="29.4" thickBot="1" x14ac:dyDescent="0.35">
      <c r="A39" s="41" t="s">
        <v>4</v>
      </c>
      <c r="B39" s="42" t="s">
        <v>5</v>
      </c>
      <c r="C39" s="43" t="s">
        <v>77</v>
      </c>
      <c r="D39" s="44" t="s">
        <v>85</v>
      </c>
      <c r="E39" s="44" t="s">
        <v>86</v>
      </c>
      <c r="F39" s="44" t="s">
        <v>77</v>
      </c>
      <c r="G39" s="44" t="s">
        <v>85</v>
      </c>
      <c r="H39" s="44" t="s">
        <v>86</v>
      </c>
      <c r="I39" s="44" t="s">
        <v>77</v>
      </c>
      <c r="J39" s="44" t="s">
        <v>85</v>
      </c>
      <c r="K39" s="42" t="s">
        <v>86</v>
      </c>
      <c r="L39" s="45" t="s">
        <v>77</v>
      </c>
      <c r="M39" s="44" t="s">
        <v>85</v>
      </c>
      <c r="N39" s="44" t="s">
        <v>86</v>
      </c>
      <c r="O39" s="44" t="s">
        <v>77</v>
      </c>
      <c r="P39" s="44" t="s">
        <v>85</v>
      </c>
      <c r="Q39" s="44" t="s">
        <v>86</v>
      </c>
      <c r="R39" s="44" t="s">
        <v>77</v>
      </c>
      <c r="S39" s="44" t="s">
        <v>85</v>
      </c>
      <c r="T39" s="42" t="s">
        <v>86</v>
      </c>
    </row>
    <row r="40" spans="1:20" x14ac:dyDescent="0.3">
      <c r="A40" s="1"/>
      <c r="B40" s="46"/>
      <c r="C40" s="46"/>
      <c r="D40" s="46" t="s">
        <v>39</v>
      </c>
      <c r="E40" s="46" t="s">
        <v>39</v>
      </c>
      <c r="F40" s="46" t="s">
        <v>39</v>
      </c>
      <c r="G40" s="46" t="s">
        <v>39</v>
      </c>
      <c r="H40" s="46" t="s">
        <v>39</v>
      </c>
      <c r="I40" s="46" t="s">
        <v>39</v>
      </c>
      <c r="J40" s="46" t="s">
        <v>39</v>
      </c>
      <c r="K40" s="46" t="s">
        <v>39</v>
      </c>
      <c r="L40" s="46"/>
      <c r="M40" s="46"/>
      <c r="N40" s="46"/>
      <c r="O40" s="46"/>
      <c r="P40" s="46"/>
      <c r="Q40" s="46"/>
      <c r="R40" s="46" t="s">
        <v>39</v>
      </c>
      <c r="S40" s="46" t="s">
        <v>39</v>
      </c>
      <c r="T40" s="46" t="s">
        <v>39</v>
      </c>
    </row>
    <row r="41" spans="1:20" x14ac:dyDescent="0.3">
      <c r="A41" s="57" t="s">
        <v>99</v>
      </c>
      <c r="B41" s="62" t="s">
        <v>106</v>
      </c>
      <c r="C41" s="66"/>
      <c r="D41" s="67"/>
      <c r="E41" s="68"/>
      <c r="F41" s="75"/>
      <c r="G41" s="67"/>
      <c r="H41" s="68"/>
      <c r="I41" s="81">
        <v>0</v>
      </c>
      <c r="J41" s="82"/>
      <c r="K41" s="83">
        <v>0</v>
      </c>
      <c r="L41" s="66"/>
      <c r="M41" s="67"/>
      <c r="N41" s="90"/>
      <c r="O41" s="75">
        <v>0</v>
      </c>
      <c r="P41" s="92"/>
      <c r="Q41" s="90">
        <v>0</v>
      </c>
      <c r="R41" s="75">
        <v>0</v>
      </c>
      <c r="S41" s="67"/>
      <c r="T41" s="90">
        <v>0</v>
      </c>
    </row>
    <row r="42" spans="1:20" x14ac:dyDescent="0.3">
      <c r="A42" s="58"/>
      <c r="B42" s="63"/>
      <c r="C42" s="69"/>
      <c r="D42" s="53"/>
      <c r="E42" s="70"/>
      <c r="F42" s="76"/>
      <c r="G42" s="53"/>
      <c r="H42" s="70"/>
      <c r="I42" s="76"/>
      <c r="J42" s="53"/>
      <c r="K42" s="84"/>
      <c r="L42" s="69"/>
      <c r="M42" s="53"/>
      <c r="N42" s="84"/>
      <c r="O42" s="76"/>
      <c r="P42" s="54"/>
      <c r="Q42" s="84"/>
      <c r="R42" s="76"/>
      <c r="S42" s="53"/>
      <c r="T42" s="84"/>
    </row>
    <row r="43" spans="1:20" x14ac:dyDescent="0.3">
      <c r="A43" s="59">
        <v>45596</v>
      </c>
      <c r="B43" s="64" t="str">
        <f>B32</f>
        <v>Producción Octubre</v>
      </c>
      <c r="C43" s="71">
        <f>D32</f>
        <v>150</v>
      </c>
      <c r="D43" s="53">
        <f>C32</f>
        <v>31.066666666666666</v>
      </c>
      <c r="E43" s="70">
        <f>C43*D43</f>
        <v>4660</v>
      </c>
      <c r="F43" s="76">
        <v>0</v>
      </c>
      <c r="G43" s="53"/>
      <c r="H43" s="70">
        <v>0</v>
      </c>
      <c r="I43" s="76">
        <f>C43-F43+I41</f>
        <v>150</v>
      </c>
      <c r="J43" s="53">
        <f>K43/I43</f>
        <v>31.066666666666666</v>
      </c>
      <c r="K43" s="70">
        <f>E43-H43+K41</f>
        <v>4660</v>
      </c>
      <c r="L43" s="69">
        <f>D32</f>
        <v>150</v>
      </c>
      <c r="M43" s="53">
        <f>C32</f>
        <v>31.066666666666666</v>
      </c>
      <c r="N43" s="70">
        <f>L43*M43</f>
        <v>4660</v>
      </c>
      <c r="O43" s="76">
        <v>0</v>
      </c>
      <c r="P43" s="53"/>
      <c r="Q43" s="70">
        <v>0</v>
      </c>
      <c r="R43" s="76">
        <f>L43-O43+R41</f>
        <v>150</v>
      </c>
      <c r="S43" s="53">
        <f>T43/R43</f>
        <v>31.066666666666666</v>
      </c>
      <c r="T43" s="70">
        <f>N43-Q43+T41</f>
        <v>4660</v>
      </c>
    </row>
    <row r="44" spans="1:20" x14ac:dyDescent="0.3">
      <c r="A44" s="59"/>
      <c r="B44" s="64"/>
      <c r="C44" s="71"/>
      <c r="D44" s="53"/>
      <c r="E44" s="70"/>
      <c r="F44" s="76"/>
      <c r="G44" s="53"/>
      <c r="H44" s="70"/>
      <c r="I44" s="76"/>
      <c r="J44" s="53"/>
      <c r="K44" s="70"/>
      <c r="L44" s="69"/>
      <c r="M44" s="53"/>
      <c r="N44" s="70"/>
      <c r="O44" s="76"/>
      <c r="P44" s="53"/>
      <c r="Q44" s="70"/>
      <c r="R44" s="76"/>
      <c r="S44" s="53"/>
      <c r="T44" s="70"/>
    </row>
    <row r="45" spans="1:20" x14ac:dyDescent="0.3">
      <c r="A45" s="60" t="s">
        <v>102</v>
      </c>
      <c r="B45" s="64" t="s">
        <v>88</v>
      </c>
      <c r="C45" s="69"/>
      <c r="D45" s="53"/>
      <c r="E45" s="70"/>
      <c r="F45" s="76">
        <f>E32</f>
        <v>-120</v>
      </c>
      <c r="G45" s="56">
        <f>C32</f>
        <v>31.066666666666666</v>
      </c>
      <c r="H45" s="77">
        <f>F45*G45</f>
        <v>-3728</v>
      </c>
      <c r="I45" s="76">
        <f>I43+F45+C45</f>
        <v>30</v>
      </c>
      <c r="J45" s="53">
        <f>K45/I45</f>
        <v>31.066666666666666</v>
      </c>
      <c r="K45" s="70">
        <f>K43+H45+E45</f>
        <v>932</v>
      </c>
      <c r="L45" s="91"/>
      <c r="M45" s="56"/>
      <c r="N45" s="77"/>
      <c r="O45" s="93">
        <f>E32</f>
        <v>-120</v>
      </c>
      <c r="P45" s="56">
        <f>C32</f>
        <v>31.066666666666666</v>
      </c>
      <c r="Q45" s="70">
        <f>O45*P45</f>
        <v>-3728</v>
      </c>
      <c r="R45" s="76">
        <f>R43+O45+L45</f>
        <v>30</v>
      </c>
      <c r="S45" s="53">
        <f>T45/R45</f>
        <v>31.066666666666666</v>
      </c>
      <c r="T45" s="70">
        <f>T43+Q45+N45</f>
        <v>932</v>
      </c>
    </row>
    <row r="46" spans="1:20" x14ac:dyDescent="0.3">
      <c r="A46" s="60"/>
      <c r="B46" s="64"/>
      <c r="C46" s="69"/>
      <c r="D46" s="53"/>
      <c r="E46" s="70"/>
      <c r="F46" s="76"/>
      <c r="G46" s="56"/>
      <c r="H46" s="77"/>
      <c r="I46" s="76"/>
      <c r="J46" s="53"/>
      <c r="K46" s="70"/>
      <c r="L46" s="91"/>
      <c r="M46" s="56"/>
      <c r="N46" s="77"/>
      <c r="O46" s="93"/>
      <c r="P46" s="56"/>
      <c r="Q46" s="70"/>
      <c r="R46" s="76"/>
      <c r="S46" s="53"/>
      <c r="T46" s="70"/>
    </row>
    <row r="47" spans="1:20" x14ac:dyDescent="0.3">
      <c r="A47" s="60"/>
      <c r="B47" s="64"/>
      <c r="C47" s="69"/>
      <c r="D47" s="53"/>
      <c r="E47" s="70"/>
      <c r="F47" s="76"/>
      <c r="G47" s="56"/>
      <c r="H47" s="77"/>
      <c r="I47" s="76">
        <f>I45</f>
        <v>30</v>
      </c>
      <c r="J47" s="53">
        <f>K47/I47</f>
        <v>31.066666666666666</v>
      </c>
      <c r="K47" s="70">
        <f>K45</f>
        <v>932</v>
      </c>
      <c r="L47" s="91"/>
      <c r="M47" s="56"/>
      <c r="N47" s="77"/>
      <c r="O47" s="93"/>
      <c r="P47" s="56"/>
      <c r="Q47" s="70"/>
      <c r="R47" s="76"/>
      <c r="S47" s="53"/>
      <c r="T47" s="70"/>
    </row>
    <row r="48" spans="1:20" x14ac:dyDescent="0.3">
      <c r="A48" s="58" t="s">
        <v>103</v>
      </c>
      <c r="B48" s="64" t="str">
        <f>B33</f>
        <v>Producción Noviembre</v>
      </c>
      <c r="C48" s="71">
        <f>D33</f>
        <v>165</v>
      </c>
      <c r="D48" s="53">
        <f>C33</f>
        <v>30.43030303030303</v>
      </c>
      <c r="E48" s="70">
        <f>C48*D48</f>
        <v>5021</v>
      </c>
      <c r="F48" s="76"/>
      <c r="G48" s="53"/>
      <c r="H48" s="70"/>
      <c r="I48" s="88">
        <f>C48+F48</f>
        <v>165</v>
      </c>
      <c r="J48" s="73">
        <f>K48/I48</f>
        <v>30.43030303030303</v>
      </c>
      <c r="K48" s="89">
        <f>E48+H48</f>
        <v>5021</v>
      </c>
      <c r="L48" s="71">
        <f>D33</f>
        <v>165</v>
      </c>
      <c r="M48" s="53">
        <f>C33</f>
        <v>30.43030303030303</v>
      </c>
      <c r="N48" s="70">
        <f>L48*M48</f>
        <v>5021</v>
      </c>
      <c r="O48" s="76"/>
      <c r="P48" s="53"/>
      <c r="Q48" s="70"/>
      <c r="R48" s="76">
        <f>L48+O48+R45</f>
        <v>195</v>
      </c>
      <c r="S48" s="53">
        <f>T48/R48</f>
        <v>30.52820512820513</v>
      </c>
      <c r="T48" s="70">
        <f>T45+Q48+N48</f>
        <v>5953</v>
      </c>
    </row>
    <row r="49" spans="1:20" x14ac:dyDescent="0.3">
      <c r="A49" s="58"/>
      <c r="B49" s="64"/>
      <c r="C49" s="71"/>
      <c r="D49" s="53"/>
      <c r="E49" s="70"/>
      <c r="F49" s="76"/>
      <c r="G49" s="53"/>
      <c r="H49" s="70"/>
      <c r="I49" s="86">
        <f>I47+I48</f>
        <v>195</v>
      </c>
      <c r="K49" s="85">
        <f>K47+K48</f>
        <v>5953</v>
      </c>
      <c r="L49" s="71"/>
      <c r="M49" s="53"/>
      <c r="N49" s="70"/>
      <c r="O49" s="76"/>
      <c r="P49" s="53"/>
      <c r="Q49" s="70"/>
      <c r="R49" s="76"/>
      <c r="S49" s="53"/>
      <c r="T49" s="70"/>
    </row>
    <row r="50" spans="1:20" x14ac:dyDescent="0.3">
      <c r="A50" s="60"/>
      <c r="B50" s="64"/>
      <c r="C50" s="69"/>
      <c r="D50" s="53"/>
      <c r="E50" s="70"/>
      <c r="F50" s="76"/>
      <c r="G50" s="53"/>
      <c r="H50" s="70"/>
      <c r="I50" s="76"/>
      <c r="J50" s="53"/>
      <c r="K50" s="70"/>
      <c r="L50" s="69"/>
      <c r="M50" s="53"/>
      <c r="N50" s="70"/>
      <c r="O50" s="76"/>
      <c r="P50" s="53"/>
      <c r="Q50" s="70"/>
      <c r="R50" s="76"/>
      <c r="S50" s="53"/>
      <c r="T50" s="70"/>
    </row>
    <row r="51" spans="1:20" x14ac:dyDescent="0.3">
      <c r="A51" s="60" t="s">
        <v>104</v>
      </c>
      <c r="B51" s="64" t="s">
        <v>89</v>
      </c>
      <c r="C51" s="69"/>
      <c r="D51" s="53"/>
      <c r="E51" s="70"/>
      <c r="F51" s="76">
        <f>F32</f>
        <v>-30</v>
      </c>
      <c r="G51" s="53">
        <f>C32</f>
        <v>31.066666666666666</v>
      </c>
      <c r="H51" s="70">
        <f>F51*G51</f>
        <v>-932</v>
      </c>
      <c r="I51" s="76">
        <f>F51+I47</f>
        <v>0</v>
      </c>
      <c r="J51" s="53"/>
      <c r="K51" s="70">
        <f>H51+K47</f>
        <v>0</v>
      </c>
      <c r="L51" s="69"/>
      <c r="M51" s="53"/>
      <c r="N51" s="70"/>
      <c r="O51" s="76">
        <f>F32+F33</f>
        <v>-165</v>
      </c>
      <c r="P51" s="53">
        <f>S48</f>
        <v>30.52820512820513</v>
      </c>
      <c r="Q51" s="70">
        <f>O51*P51</f>
        <v>-5037.1538461538466</v>
      </c>
      <c r="R51" s="76">
        <f>L51+O51+R48</f>
        <v>30</v>
      </c>
      <c r="S51" s="53">
        <f>T51/R51</f>
        <v>30.528205128205112</v>
      </c>
      <c r="T51" s="70">
        <f>N51+Q51+T48</f>
        <v>915.84615384615336</v>
      </c>
    </row>
    <row r="52" spans="1:20" x14ac:dyDescent="0.3">
      <c r="A52" s="60"/>
      <c r="B52" s="64"/>
      <c r="C52" s="69"/>
      <c r="D52" s="53"/>
      <c r="E52" s="70"/>
      <c r="F52" s="76">
        <f>F33</f>
        <v>-135</v>
      </c>
      <c r="G52" s="53">
        <f>C33</f>
        <v>30.43030303030303</v>
      </c>
      <c r="H52" s="70">
        <f>F52*G52</f>
        <v>-4108.090909090909</v>
      </c>
      <c r="I52" s="76">
        <f>F52+I48</f>
        <v>30</v>
      </c>
      <c r="J52" s="53">
        <f>K52/I52</f>
        <v>30.430303030303033</v>
      </c>
      <c r="K52" s="70">
        <f>H52+K48</f>
        <v>912.90909090909099</v>
      </c>
      <c r="L52" s="69"/>
      <c r="M52" s="53"/>
      <c r="N52" s="70"/>
      <c r="O52" s="76"/>
      <c r="P52" s="53"/>
      <c r="Q52" s="70"/>
      <c r="R52" s="76"/>
      <c r="S52" s="53"/>
      <c r="T52" s="70"/>
    </row>
    <row r="53" spans="1:20" x14ac:dyDescent="0.3">
      <c r="A53" s="60"/>
      <c r="B53" s="64"/>
      <c r="C53" s="69"/>
      <c r="D53" s="53"/>
      <c r="E53" s="70"/>
      <c r="F53" s="78"/>
      <c r="G53" s="53"/>
      <c r="H53" s="79"/>
      <c r="I53" s="78"/>
      <c r="J53" s="53"/>
      <c r="K53" s="79"/>
      <c r="L53" s="69"/>
      <c r="M53" s="53"/>
      <c r="N53" s="70"/>
      <c r="O53" s="76"/>
      <c r="P53" s="53"/>
      <c r="Q53" s="70"/>
      <c r="R53" s="76"/>
      <c r="S53" s="53"/>
      <c r="T53" s="70"/>
    </row>
    <row r="54" spans="1:20" x14ac:dyDescent="0.3">
      <c r="A54" s="58" t="s">
        <v>105</v>
      </c>
      <c r="B54" s="64"/>
      <c r="C54" s="69"/>
      <c r="D54" s="53"/>
      <c r="E54" s="70"/>
      <c r="F54" s="78"/>
      <c r="G54" s="53"/>
      <c r="H54" s="79"/>
      <c r="I54" s="78">
        <f>I52</f>
        <v>30</v>
      </c>
      <c r="J54" s="55">
        <f>K54/I54</f>
        <v>30.430303030303033</v>
      </c>
      <c r="K54" s="79">
        <f>K52</f>
        <v>912.90909090909099</v>
      </c>
      <c r="L54" s="69"/>
      <c r="M54" s="53"/>
      <c r="N54" s="70"/>
      <c r="O54" s="76"/>
      <c r="P54" s="53"/>
      <c r="Q54" s="70"/>
      <c r="R54" s="78">
        <f>R51</f>
        <v>30</v>
      </c>
      <c r="S54" s="55">
        <f>S51</f>
        <v>30.528205128205112</v>
      </c>
      <c r="T54" s="79">
        <f>T51</f>
        <v>915.84615384615336</v>
      </c>
    </row>
    <row r="55" spans="1:20" x14ac:dyDescent="0.3">
      <c r="A55" s="61"/>
      <c r="B55" s="65"/>
      <c r="C55" s="72"/>
      <c r="D55" s="73"/>
      <c r="E55" s="74"/>
      <c r="F55" s="80"/>
      <c r="G55" s="73"/>
      <c r="H55" s="74"/>
      <c r="I55" s="80"/>
      <c r="J55" s="73"/>
      <c r="K55" s="87"/>
      <c r="L55" s="72"/>
      <c r="M55" s="73"/>
      <c r="N55" s="74"/>
      <c r="O55" s="80"/>
      <c r="P55" s="73"/>
      <c r="Q55" s="74"/>
      <c r="R55" s="80"/>
      <c r="S55" s="73"/>
      <c r="T55" s="74"/>
    </row>
    <row r="56" spans="1:20" x14ac:dyDescent="0.3">
      <c r="A56" s="5"/>
      <c r="B56" s="3"/>
      <c r="C56" s="51">
        <f>SUM(C41:C55)</f>
        <v>315</v>
      </c>
      <c r="D56" s="51"/>
      <c r="E56" s="51">
        <f>SUM(E41:E55)</f>
        <v>9681</v>
      </c>
      <c r="F56" s="51">
        <f>SUM(F41:F55)</f>
        <v>-285</v>
      </c>
      <c r="G56" s="51"/>
      <c r="H56" s="51">
        <f>SUM(H41:H55)</f>
        <v>-8768.0909090909081</v>
      </c>
      <c r="I56" s="51"/>
      <c r="J56" s="51"/>
      <c r="K56" s="51"/>
      <c r="L56" s="51">
        <f>SUM(L41:L55)</f>
        <v>315</v>
      </c>
      <c r="M56" s="51"/>
      <c r="N56" s="51">
        <f>SUM(N41:N55)</f>
        <v>9681</v>
      </c>
      <c r="O56" s="51">
        <f>SUM(O41:O55)</f>
        <v>-285</v>
      </c>
      <c r="P56" s="52"/>
      <c r="Q56" s="51">
        <f>SUM(Q41:Q55)</f>
        <v>-8765.1538461538476</v>
      </c>
      <c r="R56" s="47"/>
      <c r="S56" s="47"/>
      <c r="T56" s="47"/>
    </row>
  </sheetData>
  <mergeCells count="16">
    <mergeCell ref="C9:K9"/>
    <mergeCell ref="L9:T9"/>
    <mergeCell ref="C10:E10"/>
    <mergeCell ref="F10:H10"/>
    <mergeCell ref="I10:K10"/>
    <mergeCell ref="L10:N10"/>
    <mergeCell ref="O10:Q10"/>
    <mergeCell ref="R10:T10"/>
    <mergeCell ref="C37:K37"/>
    <mergeCell ref="L37:T37"/>
    <mergeCell ref="C38:E38"/>
    <mergeCell ref="F38:H38"/>
    <mergeCell ref="I38:K38"/>
    <mergeCell ref="L38:N38"/>
    <mergeCell ref="O38:Q38"/>
    <mergeCell ref="R38:T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4AF1-0026-4988-90F5-DFC71796778A}">
  <dimension ref="A1:Y124"/>
  <sheetViews>
    <sheetView topLeftCell="A60" workbookViewId="0">
      <selection activeCell="A84" sqref="A84"/>
    </sheetView>
  </sheetViews>
  <sheetFormatPr baseColWidth="10" defaultColWidth="11.44140625" defaultRowHeight="14.4" x14ac:dyDescent="0.3"/>
  <cols>
    <col min="2" max="2" width="10.33203125" customWidth="1"/>
    <col min="3" max="3" width="6.33203125" customWidth="1"/>
    <col min="4" max="4" width="0" hidden="1" customWidth="1"/>
    <col min="5" max="5" width="13" hidden="1" customWidth="1"/>
    <col min="6" max="6" width="8.109375" hidden="1" customWidth="1"/>
    <col min="7" max="7" width="7.109375" hidden="1" customWidth="1"/>
    <col min="8" max="8" width="7.44140625" hidden="1" customWidth="1"/>
    <col min="9" max="9" width="70.44140625" bestFit="1" customWidth="1"/>
    <col min="10" max="10" width="9.44140625" style="16" bestFit="1" customWidth="1"/>
    <col min="11" max="11" width="10.44140625" style="16" bestFit="1" customWidth="1"/>
    <col min="12" max="12" width="12" customWidth="1"/>
    <col min="13" max="13" width="10.5546875" customWidth="1"/>
    <col min="14" max="14" width="15.109375" bestFit="1" customWidth="1"/>
    <col min="15" max="15" width="11.88671875" bestFit="1" customWidth="1"/>
    <col min="16" max="16" width="12.6640625" bestFit="1" customWidth="1"/>
    <col min="17" max="17" width="11.88671875" customWidth="1"/>
    <col min="18" max="18" width="8.33203125" style="1" customWidth="1"/>
    <col min="19" max="19" width="13.6640625" customWidth="1"/>
    <col min="20" max="20" width="14.5546875" style="1" hidden="1" customWidth="1"/>
    <col min="21" max="21" width="15.33203125" hidden="1" customWidth="1"/>
    <col min="22" max="22" width="14.5546875" hidden="1" customWidth="1"/>
    <col min="23" max="23" width="16.6640625" hidden="1" customWidth="1"/>
    <col min="24" max="24" width="13.109375" hidden="1" customWidth="1"/>
    <col min="25" max="25" width="8.109375" hidden="1" customWidth="1"/>
    <col min="27" max="27" width="12" customWidth="1"/>
  </cols>
  <sheetData>
    <row r="1" spans="1:15" x14ac:dyDescent="0.3">
      <c r="A1" s="5" t="s">
        <v>1</v>
      </c>
    </row>
    <row r="3" spans="1:15" x14ac:dyDescent="0.3">
      <c r="A3" s="3" t="s">
        <v>10</v>
      </c>
      <c r="B3" s="3" t="s">
        <v>4</v>
      </c>
      <c r="C3" s="3" t="s">
        <v>9</v>
      </c>
      <c r="D3" s="3"/>
      <c r="E3" s="3"/>
      <c r="F3" s="3"/>
      <c r="G3" s="3"/>
      <c r="H3" s="3"/>
      <c r="I3" s="3" t="s">
        <v>6</v>
      </c>
      <c r="J3" s="24" t="s">
        <v>2</v>
      </c>
      <c r="K3" s="24" t="s">
        <v>3</v>
      </c>
    </row>
    <row r="4" spans="1:15" x14ac:dyDescent="0.3">
      <c r="A4" s="5"/>
      <c r="J4" s="24"/>
      <c r="K4" s="24"/>
    </row>
    <row r="5" spans="1:15" x14ac:dyDescent="0.3">
      <c r="A5" s="5" t="s">
        <v>13</v>
      </c>
      <c r="J5" s="24"/>
      <c r="K5" s="24"/>
    </row>
    <row r="6" spans="1:15" x14ac:dyDescent="0.3">
      <c r="A6" s="1">
        <v>1</v>
      </c>
      <c r="B6" s="6"/>
      <c r="C6" s="10">
        <v>61</v>
      </c>
      <c r="I6" t="s">
        <v>14</v>
      </c>
      <c r="O6" s="4"/>
    </row>
    <row r="7" spans="1:15" x14ac:dyDescent="0.3">
      <c r="A7" s="1"/>
      <c r="B7" s="6"/>
      <c r="C7" s="10">
        <v>614</v>
      </c>
      <c r="I7" t="s">
        <v>15</v>
      </c>
      <c r="J7" s="16">
        <f>'Costos Oct'!I9+'Costos Oct'!I10+'Costos Oct'!I11</f>
        <v>3165</v>
      </c>
    </row>
    <row r="8" spans="1:15" x14ac:dyDescent="0.3">
      <c r="A8" s="1"/>
      <c r="B8" s="6"/>
      <c r="C8" s="10">
        <v>615</v>
      </c>
      <c r="I8" t="s">
        <v>32</v>
      </c>
      <c r="J8" s="16">
        <f>'Costos Oct'!I12</f>
        <v>700</v>
      </c>
    </row>
    <row r="9" spans="1:15" x14ac:dyDescent="0.3">
      <c r="A9" s="1"/>
      <c r="B9" s="6"/>
      <c r="C9" s="10">
        <v>24</v>
      </c>
      <c r="I9" t="s">
        <v>15</v>
      </c>
    </row>
    <row r="10" spans="1:15" x14ac:dyDescent="0.3">
      <c r="A10" s="1"/>
      <c r="B10" s="6"/>
      <c r="C10" s="10">
        <v>241</v>
      </c>
      <c r="I10" t="s">
        <v>15</v>
      </c>
      <c r="K10" s="16">
        <f>J7</f>
        <v>3165</v>
      </c>
      <c r="O10" s="4"/>
    </row>
    <row r="11" spans="1:15" x14ac:dyDescent="0.3">
      <c r="A11" s="1"/>
      <c r="B11" s="6"/>
      <c r="C11" s="10">
        <v>251</v>
      </c>
      <c r="I11" t="s">
        <v>32</v>
      </c>
      <c r="K11" s="16">
        <f>J8</f>
        <v>700</v>
      </c>
      <c r="O11" s="4"/>
    </row>
    <row r="12" spans="1:15" x14ac:dyDescent="0.3">
      <c r="A12" s="1"/>
      <c r="B12" s="6">
        <v>45596</v>
      </c>
      <c r="C12" s="10"/>
      <c r="I12" t="s">
        <v>63</v>
      </c>
      <c r="O12" s="4"/>
    </row>
    <row r="13" spans="1:15" x14ac:dyDescent="0.3">
      <c r="C13" s="10"/>
    </row>
    <row r="14" spans="1:15" x14ac:dyDescent="0.3">
      <c r="A14" s="1">
        <v>2</v>
      </c>
      <c r="C14" s="10">
        <v>90</v>
      </c>
      <c r="I14" t="s">
        <v>16</v>
      </c>
    </row>
    <row r="15" spans="1:15" x14ac:dyDescent="0.3">
      <c r="C15" s="10">
        <v>901</v>
      </c>
      <c r="I15" t="s">
        <v>60</v>
      </c>
      <c r="J15" s="16">
        <f>'Costos Oct'!G15</f>
        <v>1885.0000000000002</v>
      </c>
    </row>
    <row r="16" spans="1:15" x14ac:dyDescent="0.3">
      <c r="A16" s="1"/>
      <c r="B16" s="6"/>
      <c r="C16" s="10">
        <v>902</v>
      </c>
      <c r="I16" t="s">
        <v>62</v>
      </c>
      <c r="J16" s="16">
        <f>'Costos Oct'!H15</f>
        <v>1980</v>
      </c>
    </row>
    <row r="17" spans="1:15" x14ac:dyDescent="0.3">
      <c r="A17" s="1"/>
      <c r="B17" s="6"/>
      <c r="C17" s="10">
        <v>79</v>
      </c>
      <c r="I17" t="s">
        <v>27</v>
      </c>
      <c r="K17" s="16">
        <f>J15+J16</f>
        <v>3865</v>
      </c>
    </row>
    <row r="18" spans="1:15" x14ac:dyDescent="0.3">
      <c r="A18" s="1"/>
      <c r="B18" s="6">
        <v>45596</v>
      </c>
      <c r="C18" s="10"/>
      <c r="I18" t="s">
        <v>64</v>
      </c>
      <c r="O18" s="4"/>
    </row>
    <row r="19" spans="1:15" x14ac:dyDescent="0.3">
      <c r="A19" s="1"/>
      <c r="B19" s="6"/>
      <c r="C19" s="10"/>
    </row>
    <row r="20" spans="1:15" x14ac:dyDescent="0.3">
      <c r="A20" s="1">
        <v>3</v>
      </c>
      <c r="B20" s="6"/>
      <c r="C20" s="10">
        <v>63</v>
      </c>
      <c r="I20" t="s">
        <v>17</v>
      </c>
    </row>
    <row r="21" spans="1:15" x14ac:dyDescent="0.3">
      <c r="A21" s="1"/>
      <c r="B21" s="6"/>
      <c r="C21" s="10">
        <v>639</v>
      </c>
      <c r="I21" t="s">
        <v>61</v>
      </c>
      <c r="J21" s="16">
        <f>'Costos Oct'!I18</f>
        <v>1000</v>
      </c>
    </row>
    <row r="22" spans="1:15" x14ac:dyDescent="0.3">
      <c r="A22" s="1"/>
      <c r="B22" s="6"/>
      <c r="C22" s="10">
        <v>40</v>
      </c>
      <c r="I22" t="s">
        <v>11</v>
      </c>
    </row>
    <row r="23" spans="1:15" x14ac:dyDescent="0.3">
      <c r="A23" s="1"/>
      <c r="B23" s="6"/>
      <c r="C23" s="10">
        <v>4011</v>
      </c>
      <c r="I23" t="s">
        <v>12</v>
      </c>
    </row>
    <row r="24" spans="1:15" x14ac:dyDescent="0.3">
      <c r="C24" s="10">
        <v>42</v>
      </c>
      <c r="I24" t="s">
        <v>7</v>
      </c>
    </row>
    <row r="25" spans="1:15" x14ac:dyDescent="0.3">
      <c r="A25" s="1"/>
      <c r="B25" s="6"/>
      <c r="C25" s="10">
        <v>421</v>
      </c>
      <c r="I25" t="s">
        <v>8</v>
      </c>
      <c r="K25" s="16">
        <f>J21+J23</f>
        <v>1000</v>
      </c>
    </row>
    <row r="26" spans="1:15" x14ac:dyDescent="0.3">
      <c r="A26" s="1"/>
      <c r="B26" s="6">
        <v>45596</v>
      </c>
      <c r="C26" s="10"/>
      <c r="I26" t="s">
        <v>65</v>
      </c>
      <c r="O26" s="4"/>
    </row>
    <row r="27" spans="1:15" x14ac:dyDescent="0.3">
      <c r="A27" s="1"/>
      <c r="B27" s="6"/>
      <c r="C27" s="10"/>
    </row>
    <row r="28" spans="1:15" x14ac:dyDescent="0.3">
      <c r="A28" s="1">
        <v>4</v>
      </c>
      <c r="B28" s="6"/>
      <c r="C28" s="10">
        <v>90</v>
      </c>
      <c r="I28" t="s">
        <v>16</v>
      </c>
    </row>
    <row r="29" spans="1:15" x14ac:dyDescent="0.3">
      <c r="A29" s="1"/>
      <c r="B29" s="6"/>
      <c r="C29" s="10">
        <v>901</v>
      </c>
      <c r="I29" t="s">
        <v>60</v>
      </c>
      <c r="J29" s="16">
        <f>'Costos Oct'!G18</f>
        <v>600</v>
      </c>
    </row>
    <row r="30" spans="1:15" x14ac:dyDescent="0.3">
      <c r="C30" s="10">
        <v>902</v>
      </c>
      <c r="I30" t="s">
        <v>62</v>
      </c>
      <c r="J30" s="16">
        <f>'Costos Oct'!H18</f>
        <v>400</v>
      </c>
    </row>
    <row r="31" spans="1:15" x14ac:dyDescent="0.3">
      <c r="A31" s="1"/>
      <c r="B31" s="6"/>
      <c r="C31" s="10">
        <v>79</v>
      </c>
      <c r="I31" t="s">
        <v>27</v>
      </c>
      <c r="K31" s="16">
        <f>J29+J30</f>
        <v>1000</v>
      </c>
    </row>
    <row r="32" spans="1:15" x14ac:dyDescent="0.3">
      <c r="A32" s="1"/>
      <c r="B32" s="6">
        <v>45596</v>
      </c>
      <c r="C32" s="10"/>
      <c r="I32" t="s">
        <v>66</v>
      </c>
      <c r="O32" s="4"/>
    </row>
    <row r="33" spans="1:15" x14ac:dyDescent="0.3">
      <c r="C33" s="10"/>
    </row>
    <row r="34" spans="1:15" x14ac:dyDescent="0.3">
      <c r="A34" s="1">
        <v>5</v>
      </c>
      <c r="B34" s="6"/>
      <c r="C34" s="10">
        <v>63</v>
      </c>
      <c r="I34" t="s">
        <v>17</v>
      </c>
    </row>
    <row r="35" spans="1:15" x14ac:dyDescent="0.3">
      <c r="A35" s="1"/>
      <c r="B35" s="6"/>
      <c r="C35" s="10">
        <v>636</v>
      </c>
      <c r="I35" t="s">
        <v>18</v>
      </c>
      <c r="J35" s="16">
        <f>'Costos Oct'!I19</f>
        <v>2000</v>
      </c>
    </row>
    <row r="36" spans="1:15" x14ac:dyDescent="0.3">
      <c r="A36" s="1"/>
      <c r="B36" s="6"/>
      <c r="C36" s="10">
        <v>40</v>
      </c>
      <c r="I36" t="s">
        <v>11</v>
      </c>
    </row>
    <row r="37" spans="1:15" x14ac:dyDescent="0.3">
      <c r="A37" s="1"/>
      <c r="B37" s="6"/>
      <c r="C37" s="10">
        <v>4011</v>
      </c>
      <c r="I37" t="s">
        <v>12</v>
      </c>
      <c r="J37" s="16">
        <f>J35*0.18</f>
        <v>360</v>
      </c>
    </row>
    <row r="38" spans="1:15" x14ac:dyDescent="0.3">
      <c r="C38" s="10">
        <v>42</v>
      </c>
      <c r="I38" t="s">
        <v>7</v>
      </c>
    </row>
    <row r="39" spans="1:15" x14ac:dyDescent="0.3">
      <c r="A39" s="1"/>
      <c r="B39" s="6"/>
      <c r="C39" s="10">
        <v>421</v>
      </c>
      <c r="I39" t="s">
        <v>8</v>
      </c>
      <c r="K39" s="16">
        <f>J35+J37</f>
        <v>2360</v>
      </c>
    </row>
    <row r="40" spans="1:15" x14ac:dyDescent="0.3">
      <c r="A40" s="1"/>
      <c r="B40" s="6">
        <v>45596</v>
      </c>
      <c r="C40" s="10"/>
      <c r="I40" t="s">
        <v>28</v>
      </c>
      <c r="O40" s="4"/>
    </row>
    <row r="41" spans="1:15" x14ac:dyDescent="0.3">
      <c r="A41" s="1"/>
      <c r="B41" s="6"/>
      <c r="C41" s="10"/>
    </row>
    <row r="42" spans="1:15" x14ac:dyDescent="0.3">
      <c r="A42" s="1">
        <v>6</v>
      </c>
      <c r="B42" s="6"/>
      <c r="C42" s="10">
        <v>90</v>
      </c>
      <c r="I42" t="s">
        <v>16</v>
      </c>
    </row>
    <row r="43" spans="1:15" x14ac:dyDescent="0.3">
      <c r="A43" s="1"/>
      <c r="B43" s="6"/>
      <c r="C43" s="10">
        <v>901</v>
      </c>
      <c r="I43" t="s">
        <v>60</v>
      </c>
      <c r="J43" s="16">
        <f>'Costos Oct'!G19</f>
        <v>1100</v>
      </c>
    </row>
    <row r="44" spans="1:15" x14ac:dyDescent="0.3">
      <c r="C44" s="10">
        <v>902</v>
      </c>
      <c r="I44" t="s">
        <v>62</v>
      </c>
      <c r="J44" s="16">
        <f>'Costos Oct'!H19</f>
        <v>900</v>
      </c>
    </row>
    <row r="45" spans="1:15" x14ac:dyDescent="0.3">
      <c r="A45" s="1"/>
      <c r="B45" s="6"/>
      <c r="C45" s="10">
        <v>79</v>
      </c>
      <c r="I45" t="s">
        <v>27</v>
      </c>
      <c r="K45" s="16">
        <f>J43+J44</f>
        <v>2000</v>
      </c>
    </row>
    <row r="46" spans="1:15" x14ac:dyDescent="0.3">
      <c r="A46" s="1"/>
      <c r="B46" s="6">
        <v>45596</v>
      </c>
      <c r="C46" s="10"/>
      <c r="I46" t="s">
        <v>67</v>
      </c>
      <c r="O46" s="4"/>
    </row>
    <row r="47" spans="1:15" x14ac:dyDescent="0.3">
      <c r="C47" s="10"/>
    </row>
    <row r="48" spans="1:15" x14ac:dyDescent="0.3">
      <c r="A48" s="1">
        <v>7</v>
      </c>
      <c r="B48" s="6"/>
      <c r="C48" s="10">
        <v>63</v>
      </c>
      <c r="I48" t="s">
        <v>17</v>
      </c>
    </row>
    <row r="49" spans="1:15" x14ac:dyDescent="0.3">
      <c r="A49" s="1"/>
      <c r="B49" s="6"/>
      <c r="C49" s="10">
        <v>635</v>
      </c>
      <c r="I49" t="s">
        <v>19</v>
      </c>
      <c r="J49" s="16">
        <f>'Costos Oct'!I20</f>
        <v>3000</v>
      </c>
    </row>
    <row r="50" spans="1:15" x14ac:dyDescent="0.3">
      <c r="A50" s="1"/>
      <c r="B50" s="6"/>
      <c r="C50" s="10">
        <v>40</v>
      </c>
      <c r="I50" t="s">
        <v>11</v>
      </c>
    </row>
    <row r="51" spans="1:15" x14ac:dyDescent="0.3">
      <c r="A51" s="1"/>
      <c r="B51" s="6"/>
      <c r="C51" s="10">
        <v>4011</v>
      </c>
      <c r="I51" t="s">
        <v>12</v>
      </c>
      <c r="J51" s="16">
        <f>J49*0.18</f>
        <v>540</v>
      </c>
    </row>
    <row r="52" spans="1:15" x14ac:dyDescent="0.3">
      <c r="C52" s="10">
        <v>42</v>
      </c>
      <c r="I52" t="s">
        <v>7</v>
      </c>
    </row>
    <row r="53" spans="1:15" x14ac:dyDescent="0.3">
      <c r="A53" s="1"/>
      <c r="B53" s="6"/>
      <c r="C53" s="10">
        <v>421</v>
      </c>
      <c r="I53" t="s">
        <v>8</v>
      </c>
      <c r="K53" s="16">
        <f>J49+J51</f>
        <v>3540</v>
      </c>
    </row>
    <row r="54" spans="1:15" x14ac:dyDescent="0.3">
      <c r="A54" s="1"/>
      <c r="B54" s="6">
        <v>45596</v>
      </c>
      <c r="C54" s="10"/>
      <c r="I54" t="s">
        <v>69</v>
      </c>
      <c r="O54" s="4"/>
    </row>
    <row r="55" spans="1:15" x14ac:dyDescent="0.3">
      <c r="A55" s="1"/>
      <c r="B55" s="6"/>
      <c r="C55" s="10"/>
    </row>
    <row r="56" spans="1:15" x14ac:dyDescent="0.3">
      <c r="A56" s="1">
        <v>8</v>
      </c>
      <c r="B56" s="6"/>
      <c r="C56" s="10">
        <v>90</v>
      </c>
      <c r="I56" t="s">
        <v>16</v>
      </c>
    </row>
    <row r="57" spans="1:15" x14ac:dyDescent="0.3">
      <c r="A57" s="1"/>
      <c r="B57" s="6"/>
      <c r="C57" s="10">
        <v>901</v>
      </c>
      <c r="I57" t="s">
        <v>60</v>
      </c>
      <c r="J57" s="16">
        <f>'Costos Oct'!G20</f>
        <v>2100</v>
      </c>
    </row>
    <row r="58" spans="1:15" x14ac:dyDescent="0.3">
      <c r="C58" s="10">
        <v>902</v>
      </c>
      <c r="I58" t="s">
        <v>62</v>
      </c>
      <c r="J58" s="16">
        <f>'Costos Oct'!H20</f>
        <v>900</v>
      </c>
    </row>
    <row r="59" spans="1:15" x14ac:dyDescent="0.3">
      <c r="A59" s="1"/>
      <c r="B59" s="6"/>
      <c r="C59" s="10">
        <v>79</v>
      </c>
      <c r="I59" t="s">
        <v>27</v>
      </c>
      <c r="K59" s="16">
        <f>J57+J58</f>
        <v>3000</v>
      </c>
    </row>
    <row r="60" spans="1:15" x14ac:dyDescent="0.3">
      <c r="A60" s="1"/>
      <c r="B60" s="6">
        <v>45596</v>
      </c>
      <c r="C60" s="10"/>
      <c r="I60" t="s">
        <v>68</v>
      </c>
      <c r="O60" s="4"/>
    </row>
    <row r="61" spans="1:15" x14ac:dyDescent="0.3">
      <c r="C61" s="10"/>
    </row>
    <row r="62" spans="1:15" x14ac:dyDescent="0.3">
      <c r="A62" s="1">
        <v>9</v>
      </c>
      <c r="B62" s="6"/>
      <c r="C62" s="10">
        <v>68</v>
      </c>
      <c r="I62" t="s">
        <v>74</v>
      </c>
    </row>
    <row r="63" spans="1:15" x14ac:dyDescent="0.3">
      <c r="A63" s="1"/>
      <c r="B63" s="6"/>
      <c r="C63" s="10">
        <v>684</v>
      </c>
      <c r="I63" t="s">
        <v>73</v>
      </c>
      <c r="J63" s="16">
        <f>'Costos Oct'!I21</f>
        <v>800</v>
      </c>
    </row>
    <row r="64" spans="1:15" x14ac:dyDescent="0.3">
      <c r="C64" s="10">
        <v>39</v>
      </c>
      <c r="I64" t="s">
        <v>75</v>
      </c>
    </row>
    <row r="65" spans="1:15" x14ac:dyDescent="0.3">
      <c r="A65" s="1"/>
      <c r="B65" s="6"/>
      <c r="C65" s="10">
        <v>395</v>
      </c>
      <c r="I65" t="s">
        <v>76</v>
      </c>
      <c r="K65" s="16">
        <f>J63</f>
        <v>800</v>
      </c>
    </row>
    <row r="66" spans="1:15" x14ac:dyDescent="0.3">
      <c r="A66" s="1"/>
      <c r="B66" s="6">
        <v>45596</v>
      </c>
      <c r="C66" s="10"/>
      <c r="I66" t="s">
        <v>69</v>
      </c>
      <c r="O66" s="4"/>
    </row>
    <row r="67" spans="1:15" x14ac:dyDescent="0.3">
      <c r="A67" s="1"/>
      <c r="B67" s="6"/>
      <c r="C67" s="10"/>
    </row>
    <row r="68" spans="1:15" x14ac:dyDescent="0.3">
      <c r="A68" s="1">
        <v>10</v>
      </c>
      <c r="B68" s="6"/>
      <c r="C68" s="10">
        <v>90</v>
      </c>
      <c r="I68" t="s">
        <v>16</v>
      </c>
    </row>
    <row r="69" spans="1:15" x14ac:dyDescent="0.3">
      <c r="A69" s="1"/>
      <c r="B69" s="6"/>
      <c r="C69" s="10">
        <v>901</v>
      </c>
      <c r="I69" t="s">
        <v>60</v>
      </c>
      <c r="J69" s="16">
        <f>'Costos Oct'!G21</f>
        <v>320</v>
      </c>
    </row>
    <row r="70" spans="1:15" x14ac:dyDescent="0.3">
      <c r="C70" s="10">
        <v>902</v>
      </c>
      <c r="I70" t="s">
        <v>62</v>
      </c>
      <c r="J70" s="16">
        <f>'Costos Oct'!H21</f>
        <v>480</v>
      </c>
    </row>
    <row r="71" spans="1:15" x14ac:dyDescent="0.3">
      <c r="A71" s="1"/>
      <c r="B71" s="6"/>
      <c r="C71" s="10">
        <v>79</v>
      </c>
      <c r="I71" t="s">
        <v>27</v>
      </c>
      <c r="K71" s="16">
        <f>J69+J70</f>
        <v>800</v>
      </c>
    </row>
    <row r="72" spans="1:15" x14ac:dyDescent="0.3">
      <c r="A72" s="1"/>
      <c r="B72" s="6">
        <v>45596</v>
      </c>
      <c r="C72" s="10"/>
      <c r="I72" t="s">
        <v>68</v>
      </c>
      <c r="O72" s="4"/>
    </row>
    <row r="73" spans="1:15" x14ac:dyDescent="0.3">
      <c r="A73" s="5"/>
      <c r="C73" s="10"/>
    </row>
    <row r="74" spans="1:15" x14ac:dyDescent="0.3">
      <c r="A74" s="1">
        <v>11</v>
      </c>
      <c r="B74" s="6"/>
      <c r="C74" s="10">
        <v>21</v>
      </c>
      <c r="I74" t="s">
        <v>20</v>
      </c>
    </row>
    <row r="75" spans="1:15" x14ac:dyDescent="0.3">
      <c r="A75" s="1"/>
      <c r="B75" s="6"/>
      <c r="C75" s="10">
        <v>211</v>
      </c>
      <c r="I75" t="s">
        <v>71</v>
      </c>
      <c r="J75" s="16">
        <f>J57+J43+J29+J15+J69</f>
        <v>6005</v>
      </c>
    </row>
    <row r="76" spans="1:15" x14ac:dyDescent="0.3">
      <c r="A76" s="1"/>
      <c r="B76" s="6"/>
      <c r="C76" s="10">
        <v>211</v>
      </c>
      <c r="I76" t="s">
        <v>72</v>
      </c>
      <c r="J76" s="16">
        <f>J58+J44+J30+J16+J70</f>
        <v>4660</v>
      </c>
    </row>
    <row r="77" spans="1:15" x14ac:dyDescent="0.3">
      <c r="A77" s="1"/>
      <c r="B77" s="6"/>
      <c r="C77" s="10">
        <v>71</v>
      </c>
      <c r="I77" t="s">
        <v>21</v>
      </c>
    </row>
    <row r="78" spans="1:15" x14ac:dyDescent="0.3">
      <c r="A78" s="1"/>
      <c r="B78" s="6"/>
      <c r="C78" s="10">
        <v>711</v>
      </c>
      <c r="I78" t="s">
        <v>22</v>
      </c>
      <c r="K78" s="16">
        <f>J75+J76</f>
        <v>10665</v>
      </c>
    </row>
    <row r="79" spans="1:15" x14ac:dyDescent="0.3">
      <c r="A79" s="1"/>
      <c r="B79" s="6">
        <v>45596</v>
      </c>
      <c r="C79" s="10"/>
      <c r="I79" t="s">
        <v>29</v>
      </c>
      <c r="O79" s="4"/>
    </row>
    <row r="80" spans="1:15" x14ac:dyDescent="0.3">
      <c r="A80" s="1"/>
      <c r="B80" s="6"/>
      <c r="C80" s="10"/>
    </row>
    <row r="81" spans="1:11" x14ac:dyDescent="0.3">
      <c r="B81" s="6"/>
      <c r="C81" s="10"/>
    </row>
    <row r="82" spans="1:11" x14ac:dyDescent="0.3">
      <c r="B82" s="6"/>
      <c r="C82" s="10"/>
    </row>
    <row r="83" spans="1:11" x14ac:dyDescent="0.3">
      <c r="B83" s="6"/>
      <c r="C83" s="10"/>
    </row>
    <row r="84" spans="1:11" x14ac:dyDescent="0.3">
      <c r="C84" s="10"/>
    </row>
    <row r="85" spans="1:11" x14ac:dyDescent="0.3">
      <c r="A85" s="5"/>
      <c r="C85" s="10"/>
      <c r="J85" s="24"/>
      <c r="K85" s="24"/>
    </row>
    <row r="86" spans="1:11" x14ac:dyDescent="0.3">
      <c r="A86" s="1"/>
      <c r="B86" s="6"/>
      <c r="C86" s="10"/>
    </row>
    <row r="87" spans="1:11" x14ac:dyDescent="0.3">
      <c r="A87" s="1"/>
      <c r="B87" s="6"/>
      <c r="C87" s="10"/>
    </row>
    <row r="88" spans="1:11" x14ac:dyDescent="0.3">
      <c r="A88" s="1"/>
      <c r="B88" s="6"/>
      <c r="C88" s="10"/>
    </row>
    <row r="89" spans="1:11" x14ac:dyDescent="0.3">
      <c r="A89" s="1"/>
      <c r="B89" s="6"/>
      <c r="C89" s="10"/>
    </row>
    <row r="90" spans="1:11" x14ac:dyDescent="0.3">
      <c r="C90" s="10"/>
    </row>
    <row r="91" spans="1:11" x14ac:dyDescent="0.3">
      <c r="A91" s="1"/>
      <c r="B91" s="6"/>
      <c r="C91" s="10"/>
    </row>
    <row r="92" spans="1:11" x14ac:dyDescent="0.3">
      <c r="A92" s="1"/>
      <c r="B92" s="6"/>
      <c r="C92" s="10"/>
    </row>
    <row r="93" spans="1:11" x14ac:dyDescent="0.3">
      <c r="A93" s="1"/>
      <c r="B93" s="6"/>
      <c r="C93" s="10"/>
    </row>
    <row r="94" spans="1:11" x14ac:dyDescent="0.3">
      <c r="A94" s="1"/>
      <c r="B94" s="6"/>
      <c r="C94" s="10"/>
    </row>
    <row r="95" spans="1:11" x14ac:dyDescent="0.3">
      <c r="A95" s="1"/>
      <c r="B95" s="6"/>
      <c r="C95" s="10"/>
    </row>
    <row r="96" spans="1:11" x14ac:dyDescent="0.3">
      <c r="A96" s="1"/>
      <c r="B96" s="6"/>
      <c r="C96" s="10"/>
    </row>
    <row r="97" spans="1:3" x14ac:dyDescent="0.3">
      <c r="C97" s="10"/>
    </row>
    <row r="98" spans="1:3" x14ac:dyDescent="0.3">
      <c r="A98" s="1"/>
      <c r="B98" s="6"/>
      <c r="C98" s="10"/>
    </row>
    <row r="99" spans="1:3" x14ac:dyDescent="0.3">
      <c r="A99" s="1"/>
      <c r="B99" s="6"/>
      <c r="C99" s="10"/>
    </row>
    <row r="100" spans="1:3" x14ac:dyDescent="0.3">
      <c r="A100" s="1"/>
      <c r="B100" s="6"/>
      <c r="C100" s="10"/>
    </row>
    <row r="101" spans="1:3" x14ac:dyDescent="0.3">
      <c r="A101" s="1"/>
      <c r="B101" s="6"/>
      <c r="C101" s="10"/>
    </row>
    <row r="102" spans="1:3" x14ac:dyDescent="0.3">
      <c r="C102" s="10"/>
    </row>
    <row r="103" spans="1:3" x14ac:dyDescent="0.3">
      <c r="A103" s="1"/>
      <c r="B103" s="6"/>
      <c r="C103" s="10"/>
    </row>
    <row r="104" spans="1:3" x14ac:dyDescent="0.3">
      <c r="A104" s="1"/>
      <c r="B104" s="6"/>
      <c r="C104" s="10"/>
    </row>
    <row r="105" spans="1:3" x14ac:dyDescent="0.3">
      <c r="A105" s="1"/>
      <c r="B105" s="6"/>
      <c r="C105" s="10"/>
    </row>
    <row r="106" spans="1:3" x14ac:dyDescent="0.3">
      <c r="A106" s="1"/>
      <c r="B106" s="6"/>
      <c r="C106" s="10"/>
    </row>
    <row r="107" spans="1:3" x14ac:dyDescent="0.3">
      <c r="C107" s="10"/>
    </row>
    <row r="108" spans="1:3" x14ac:dyDescent="0.3">
      <c r="A108" s="1"/>
      <c r="B108" s="6"/>
      <c r="C108" s="10"/>
    </row>
    <row r="109" spans="1:3" x14ac:dyDescent="0.3">
      <c r="A109" s="1"/>
      <c r="B109" s="6"/>
      <c r="C109" s="10"/>
    </row>
    <row r="110" spans="1:3" x14ac:dyDescent="0.3">
      <c r="A110" s="1"/>
      <c r="B110" s="6"/>
      <c r="C110" s="10"/>
    </row>
    <row r="111" spans="1:3" x14ac:dyDescent="0.3">
      <c r="A111" s="1"/>
      <c r="B111" s="6"/>
      <c r="C111" s="10"/>
    </row>
    <row r="112" spans="1:3" x14ac:dyDescent="0.3">
      <c r="C112" s="10"/>
    </row>
    <row r="113" spans="1:3" x14ac:dyDescent="0.3">
      <c r="A113" s="5"/>
      <c r="C113" s="10"/>
    </row>
    <row r="114" spans="1:3" x14ac:dyDescent="0.3">
      <c r="B114" s="6"/>
      <c r="C114" s="10"/>
    </row>
    <row r="115" spans="1:3" x14ac:dyDescent="0.3">
      <c r="B115" s="6"/>
      <c r="C115" s="10"/>
    </row>
    <row r="116" spans="1:3" x14ac:dyDescent="0.3">
      <c r="B116" s="6"/>
      <c r="C116" s="10"/>
    </row>
    <row r="117" spans="1:3" x14ac:dyDescent="0.3">
      <c r="B117" s="6"/>
      <c r="C117" s="10"/>
    </row>
    <row r="118" spans="1:3" x14ac:dyDescent="0.3">
      <c r="B118" s="6"/>
      <c r="C118" s="10"/>
    </row>
    <row r="119" spans="1:3" x14ac:dyDescent="0.3">
      <c r="B119" s="6"/>
      <c r="C119" s="10"/>
    </row>
    <row r="120" spans="1:3" x14ac:dyDescent="0.3">
      <c r="C120" s="10"/>
    </row>
    <row r="121" spans="1:3" x14ac:dyDescent="0.3">
      <c r="B121" s="6"/>
      <c r="C121" s="10"/>
    </row>
    <row r="122" spans="1:3" x14ac:dyDescent="0.3">
      <c r="B122" s="6"/>
      <c r="C122" s="10"/>
    </row>
    <row r="123" spans="1:3" x14ac:dyDescent="0.3">
      <c r="B123" s="6"/>
      <c r="C123" s="10"/>
    </row>
    <row r="124" spans="1:3" x14ac:dyDescent="0.3">
      <c r="B124" s="6"/>
      <c r="C12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351-0303-4AD4-8481-D321FC31E6ED}">
  <dimension ref="A1:Y124"/>
  <sheetViews>
    <sheetView topLeftCell="A58" workbookViewId="0">
      <selection activeCell="A75" sqref="A75"/>
    </sheetView>
  </sheetViews>
  <sheetFormatPr baseColWidth="10" defaultColWidth="11.44140625" defaultRowHeight="14.4" x14ac:dyDescent="0.3"/>
  <cols>
    <col min="2" max="2" width="10.33203125" customWidth="1"/>
    <col min="3" max="3" width="6.33203125" customWidth="1"/>
    <col min="4" max="4" width="0" hidden="1" customWidth="1"/>
    <col min="5" max="5" width="13" hidden="1" customWidth="1"/>
    <col min="6" max="6" width="8.109375" hidden="1" customWidth="1"/>
    <col min="7" max="7" width="7.109375" hidden="1" customWidth="1"/>
    <col min="8" max="8" width="7.44140625" hidden="1" customWidth="1"/>
    <col min="9" max="9" width="70.44140625" bestFit="1" customWidth="1"/>
    <col min="10" max="10" width="9.44140625" style="16" bestFit="1" customWidth="1"/>
    <col min="11" max="11" width="10.44140625" style="16" bestFit="1" customWidth="1"/>
    <col min="12" max="12" width="12" customWidth="1"/>
    <col min="13" max="13" width="10.5546875" customWidth="1"/>
    <col min="14" max="14" width="15.109375" bestFit="1" customWidth="1"/>
    <col min="15" max="15" width="11.88671875" bestFit="1" customWidth="1"/>
    <col min="16" max="16" width="12.6640625" bestFit="1" customWidth="1"/>
    <col min="17" max="17" width="11.88671875" customWidth="1"/>
    <col min="18" max="18" width="8.33203125" style="1" customWidth="1"/>
    <col min="19" max="19" width="13.6640625" customWidth="1"/>
    <col min="20" max="20" width="14.5546875" style="1" hidden="1" customWidth="1"/>
    <col min="21" max="21" width="15.33203125" hidden="1" customWidth="1"/>
    <col min="22" max="22" width="14.5546875" hidden="1" customWidth="1"/>
    <col min="23" max="23" width="16.6640625" hidden="1" customWidth="1"/>
    <col min="24" max="24" width="13.109375" hidden="1" customWidth="1"/>
    <col min="25" max="25" width="8.109375" hidden="1" customWidth="1"/>
    <col min="27" max="27" width="12" customWidth="1"/>
  </cols>
  <sheetData>
    <row r="1" spans="1:15" x14ac:dyDescent="0.3">
      <c r="A1" s="5" t="s">
        <v>1</v>
      </c>
    </row>
    <row r="3" spans="1:15" x14ac:dyDescent="0.3">
      <c r="A3" s="3" t="s">
        <v>10</v>
      </c>
      <c r="B3" s="3" t="s">
        <v>4</v>
      </c>
      <c r="C3" s="3" t="s">
        <v>9</v>
      </c>
      <c r="D3" s="3"/>
      <c r="E3" s="3"/>
      <c r="F3" s="3"/>
      <c r="G3" s="3"/>
      <c r="H3" s="3"/>
      <c r="I3" s="3" t="s">
        <v>6</v>
      </c>
      <c r="J3" s="24" t="s">
        <v>2</v>
      </c>
      <c r="K3" s="24" t="s">
        <v>3</v>
      </c>
    </row>
    <row r="4" spans="1:15" x14ac:dyDescent="0.3">
      <c r="A4" s="5"/>
      <c r="J4" s="24"/>
      <c r="K4" s="24"/>
    </row>
    <row r="5" spans="1:15" x14ac:dyDescent="0.3">
      <c r="A5" s="5" t="s">
        <v>13</v>
      </c>
      <c r="J5" s="24"/>
      <c r="K5" s="24"/>
    </row>
    <row r="6" spans="1:15" x14ac:dyDescent="0.3">
      <c r="A6" s="1">
        <v>1</v>
      </c>
      <c r="B6" s="6"/>
      <c r="C6" s="10">
        <v>61</v>
      </c>
      <c r="I6" t="s">
        <v>14</v>
      </c>
      <c r="O6" s="4"/>
    </row>
    <row r="7" spans="1:15" x14ac:dyDescent="0.3">
      <c r="A7" s="1"/>
      <c r="B7" s="6"/>
      <c r="C7" s="10">
        <v>614</v>
      </c>
      <c r="I7" t="s">
        <v>15</v>
      </c>
      <c r="J7" s="16">
        <f>'Costos Nov'!I9+'Costos Nov'!I10+'Costos Nov'!I11</f>
        <v>3542</v>
      </c>
    </row>
    <row r="8" spans="1:15" x14ac:dyDescent="0.3">
      <c r="A8" s="1"/>
      <c r="B8" s="6"/>
      <c r="C8" s="10">
        <v>615</v>
      </c>
      <c r="I8" t="s">
        <v>32</v>
      </c>
      <c r="J8" s="16">
        <f>'Costos Nov'!I12</f>
        <v>770</v>
      </c>
    </row>
    <row r="9" spans="1:15" x14ac:dyDescent="0.3">
      <c r="A9" s="1"/>
      <c r="B9" s="6"/>
      <c r="C9" s="10">
        <v>24</v>
      </c>
      <c r="I9" t="s">
        <v>15</v>
      </c>
    </row>
    <row r="10" spans="1:15" x14ac:dyDescent="0.3">
      <c r="A10" s="1"/>
      <c r="B10" s="6"/>
      <c r="C10" s="10">
        <v>241</v>
      </c>
      <c r="I10" t="s">
        <v>15</v>
      </c>
      <c r="K10" s="16">
        <f>J7</f>
        <v>3542</v>
      </c>
      <c r="O10" s="4"/>
    </row>
    <row r="11" spans="1:15" x14ac:dyDescent="0.3">
      <c r="A11" s="1"/>
      <c r="B11" s="6"/>
      <c r="C11" s="10">
        <v>251</v>
      </c>
      <c r="I11" t="s">
        <v>32</v>
      </c>
      <c r="K11" s="16">
        <f>J8</f>
        <v>770</v>
      </c>
      <c r="O11" s="4"/>
    </row>
    <row r="12" spans="1:15" x14ac:dyDescent="0.3">
      <c r="A12" s="1"/>
      <c r="B12" s="6">
        <v>45626</v>
      </c>
      <c r="C12" s="10"/>
      <c r="I12" t="s">
        <v>63</v>
      </c>
      <c r="O12" s="4"/>
    </row>
    <row r="13" spans="1:15" x14ac:dyDescent="0.3">
      <c r="C13" s="10"/>
    </row>
    <row r="14" spans="1:15" x14ac:dyDescent="0.3">
      <c r="A14" s="1">
        <v>2</v>
      </c>
      <c r="C14" s="10">
        <v>90</v>
      </c>
      <c r="I14" t="s">
        <v>16</v>
      </c>
    </row>
    <row r="15" spans="1:15" x14ac:dyDescent="0.3">
      <c r="C15" s="10">
        <v>901</v>
      </c>
      <c r="I15" t="s">
        <v>60</v>
      </c>
      <c r="J15" s="16">
        <f>'Costos Nov'!G15</f>
        <v>2101.0000000000005</v>
      </c>
    </row>
    <row r="16" spans="1:15" x14ac:dyDescent="0.3">
      <c r="A16" s="1"/>
      <c r="B16" s="6"/>
      <c r="C16" s="10">
        <v>902</v>
      </c>
      <c r="I16" t="s">
        <v>62</v>
      </c>
      <c r="J16" s="16">
        <f>'Costos Nov'!H15</f>
        <v>2210.9999999999995</v>
      </c>
    </row>
    <row r="17" spans="1:15" x14ac:dyDescent="0.3">
      <c r="A17" s="1"/>
      <c r="B17" s="6"/>
      <c r="C17" s="10">
        <v>79</v>
      </c>
      <c r="I17" t="s">
        <v>27</v>
      </c>
      <c r="K17" s="16">
        <f>J15+J16</f>
        <v>4312</v>
      </c>
    </row>
    <row r="18" spans="1:15" x14ac:dyDescent="0.3">
      <c r="A18" s="1"/>
      <c r="B18" s="6">
        <v>45626</v>
      </c>
      <c r="C18" s="10"/>
      <c r="I18" t="s">
        <v>64</v>
      </c>
      <c r="O18" s="4"/>
    </row>
    <row r="19" spans="1:15" x14ac:dyDescent="0.3">
      <c r="A19" s="1"/>
      <c r="B19" s="6"/>
      <c r="C19" s="10"/>
    </row>
    <row r="20" spans="1:15" x14ac:dyDescent="0.3">
      <c r="A20" s="1">
        <v>3</v>
      </c>
      <c r="B20" s="6"/>
      <c r="C20" s="10">
        <v>63</v>
      </c>
      <c r="I20" t="s">
        <v>17</v>
      </c>
    </row>
    <row r="21" spans="1:15" x14ac:dyDescent="0.3">
      <c r="A21" s="1"/>
      <c r="B21" s="6"/>
      <c r="C21" s="10">
        <v>639</v>
      </c>
      <c r="I21" t="s">
        <v>61</v>
      </c>
      <c r="J21" s="16">
        <f>'Costos Nov'!I18</f>
        <v>1100</v>
      </c>
    </row>
    <row r="22" spans="1:15" x14ac:dyDescent="0.3">
      <c r="A22" s="1"/>
      <c r="B22" s="6"/>
      <c r="C22" s="10">
        <v>40</v>
      </c>
      <c r="I22" t="s">
        <v>11</v>
      </c>
    </row>
    <row r="23" spans="1:15" x14ac:dyDescent="0.3">
      <c r="A23" s="1"/>
      <c r="B23" s="6"/>
      <c r="C23" s="10">
        <v>4011</v>
      </c>
      <c r="I23" t="s">
        <v>12</v>
      </c>
    </row>
    <row r="24" spans="1:15" x14ac:dyDescent="0.3">
      <c r="C24" s="10">
        <v>42</v>
      </c>
      <c r="I24" t="s">
        <v>7</v>
      </c>
    </row>
    <row r="25" spans="1:15" x14ac:dyDescent="0.3">
      <c r="A25" s="1"/>
      <c r="B25" s="6"/>
      <c r="C25" s="10">
        <v>421</v>
      </c>
      <c r="I25" t="s">
        <v>8</v>
      </c>
      <c r="K25" s="16">
        <f>J21+J23</f>
        <v>1100</v>
      </c>
    </row>
    <row r="26" spans="1:15" x14ac:dyDescent="0.3">
      <c r="A26" s="1"/>
      <c r="B26" s="6">
        <v>45626</v>
      </c>
      <c r="C26" s="10"/>
      <c r="I26" t="s">
        <v>65</v>
      </c>
      <c r="O26" s="4"/>
    </row>
    <row r="27" spans="1:15" x14ac:dyDescent="0.3">
      <c r="A27" s="1"/>
      <c r="B27" s="6"/>
      <c r="C27" s="10"/>
    </row>
    <row r="28" spans="1:15" x14ac:dyDescent="0.3">
      <c r="A28" s="1">
        <v>4</v>
      </c>
      <c r="B28" s="6"/>
      <c r="C28" s="10">
        <v>90</v>
      </c>
      <c r="I28" t="s">
        <v>16</v>
      </c>
    </row>
    <row r="29" spans="1:15" x14ac:dyDescent="0.3">
      <c r="A29" s="1"/>
      <c r="B29" s="6"/>
      <c r="C29" s="10">
        <v>901</v>
      </c>
      <c r="I29" t="s">
        <v>60</v>
      </c>
      <c r="J29" s="16">
        <f>'Costos Nov'!G18</f>
        <v>660</v>
      </c>
    </row>
    <row r="30" spans="1:15" x14ac:dyDescent="0.3">
      <c r="C30" s="10">
        <v>902</v>
      </c>
      <c r="I30" t="s">
        <v>62</v>
      </c>
      <c r="J30" s="16">
        <f>'Costos Nov'!H18</f>
        <v>440</v>
      </c>
    </row>
    <row r="31" spans="1:15" x14ac:dyDescent="0.3">
      <c r="A31" s="1"/>
      <c r="B31" s="6"/>
      <c r="C31" s="10">
        <v>79</v>
      </c>
      <c r="I31" t="s">
        <v>27</v>
      </c>
      <c r="K31" s="16">
        <f>J29+J30</f>
        <v>1100</v>
      </c>
    </row>
    <row r="32" spans="1:15" x14ac:dyDescent="0.3">
      <c r="A32" s="1"/>
      <c r="B32" s="6">
        <v>45626</v>
      </c>
      <c r="C32" s="10"/>
      <c r="I32" t="s">
        <v>66</v>
      </c>
      <c r="O32" s="4"/>
    </row>
    <row r="33" spans="1:15" x14ac:dyDescent="0.3">
      <c r="C33" s="10"/>
    </row>
    <row r="34" spans="1:15" x14ac:dyDescent="0.3">
      <c r="A34" s="1">
        <v>5</v>
      </c>
      <c r="B34" s="6"/>
      <c r="C34" s="10">
        <v>63</v>
      </c>
      <c r="I34" t="s">
        <v>17</v>
      </c>
    </row>
    <row r="35" spans="1:15" x14ac:dyDescent="0.3">
      <c r="A35" s="1"/>
      <c r="B35" s="6"/>
      <c r="C35" s="10">
        <v>636</v>
      </c>
      <c r="I35" t="s">
        <v>18</v>
      </c>
      <c r="J35" s="16">
        <f>'Costos Nov'!I19</f>
        <v>2200</v>
      </c>
    </row>
    <row r="36" spans="1:15" x14ac:dyDescent="0.3">
      <c r="A36" s="1"/>
      <c r="B36" s="6"/>
      <c r="C36" s="10">
        <v>40</v>
      </c>
      <c r="I36" t="s">
        <v>11</v>
      </c>
    </row>
    <row r="37" spans="1:15" x14ac:dyDescent="0.3">
      <c r="A37" s="1"/>
      <c r="B37" s="6"/>
      <c r="C37" s="10">
        <v>4011</v>
      </c>
      <c r="I37" t="s">
        <v>12</v>
      </c>
      <c r="J37" s="16">
        <f>J35*0.18</f>
        <v>396</v>
      </c>
    </row>
    <row r="38" spans="1:15" x14ac:dyDescent="0.3">
      <c r="C38" s="10">
        <v>42</v>
      </c>
      <c r="I38" t="s">
        <v>7</v>
      </c>
    </row>
    <row r="39" spans="1:15" x14ac:dyDescent="0.3">
      <c r="A39" s="1"/>
      <c r="B39" s="6"/>
      <c r="C39" s="10">
        <v>421</v>
      </c>
      <c r="I39" t="s">
        <v>8</v>
      </c>
      <c r="K39" s="16">
        <f>J35+J37</f>
        <v>2596</v>
      </c>
    </row>
    <row r="40" spans="1:15" x14ac:dyDescent="0.3">
      <c r="A40" s="1"/>
      <c r="B40" s="6">
        <v>45626</v>
      </c>
      <c r="C40" s="10"/>
      <c r="I40" t="s">
        <v>28</v>
      </c>
      <c r="O40" s="4"/>
    </row>
    <row r="41" spans="1:15" x14ac:dyDescent="0.3">
      <c r="A41" s="1"/>
      <c r="B41" s="6"/>
      <c r="C41" s="10"/>
    </row>
    <row r="42" spans="1:15" x14ac:dyDescent="0.3">
      <c r="A42" s="1">
        <v>6</v>
      </c>
      <c r="B42" s="6"/>
      <c r="C42" s="10">
        <v>90</v>
      </c>
      <c r="I42" t="s">
        <v>16</v>
      </c>
    </row>
    <row r="43" spans="1:15" x14ac:dyDescent="0.3">
      <c r="A43" s="1"/>
      <c r="B43" s="6"/>
      <c r="C43" s="10">
        <v>901</v>
      </c>
      <c r="I43" t="s">
        <v>60</v>
      </c>
      <c r="J43" s="16">
        <f>'Costos Nov'!G19</f>
        <v>1210</v>
      </c>
    </row>
    <row r="44" spans="1:15" x14ac:dyDescent="0.3">
      <c r="C44" s="10">
        <v>902</v>
      </c>
      <c r="I44" t="s">
        <v>62</v>
      </c>
      <c r="J44" s="16">
        <f>'Costos Nov'!H19</f>
        <v>990</v>
      </c>
    </row>
    <row r="45" spans="1:15" x14ac:dyDescent="0.3">
      <c r="A45" s="1"/>
      <c r="B45" s="6"/>
      <c r="C45" s="10">
        <v>79</v>
      </c>
      <c r="I45" t="s">
        <v>27</v>
      </c>
      <c r="K45" s="16">
        <f>J43+J44</f>
        <v>2200</v>
      </c>
    </row>
    <row r="46" spans="1:15" x14ac:dyDescent="0.3">
      <c r="A46" s="1"/>
      <c r="B46" s="6">
        <v>45626</v>
      </c>
      <c r="C46" s="10"/>
      <c r="I46" t="s">
        <v>67</v>
      </c>
      <c r="O46" s="4"/>
    </row>
    <row r="47" spans="1:15" x14ac:dyDescent="0.3">
      <c r="C47" s="10"/>
    </row>
    <row r="48" spans="1:15" x14ac:dyDescent="0.3">
      <c r="A48" s="1">
        <v>7</v>
      </c>
      <c r="B48" s="6"/>
      <c r="C48" s="10">
        <v>63</v>
      </c>
      <c r="I48" t="s">
        <v>17</v>
      </c>
    </row>
    <row r="49" spans="1:15" x14ac:dyDescent="0.3">
      <c r="A49" s="1"/>
      <c r="B49" s="6"/>
      <c r="C49" s="10">
        <v>635</v>
      </c>
      <c r="I49" t="s">
        <v>19</v>
      </c>
      <c r="J49" s="16">
        <f>'Costos Nov'!I20</f>
        <v>3000</v>
      </c>
    </row>
    <row r="50" spans="1:15" x14ac:dyDescent="0.3">
      <c r="A50" s="1"/>
      <c r="B50" s="6"/>
      <c r="C50" s="10">
        <v>40</v>
      </c>
      <c r="I50" t="s">
        <v>11</v>
      </c>
    </row>
    <row r="51" spans="1:15" x14ac:dyDescent="0.3">
      <c r="A51" s="1"/>
      <c r="B51" s="6"/>
      <c r="C51" s="10">
        <v>4011</v>
      </c>
      <c r="I51" t="s">
        <v>12</v>
      </c>
      <c r="J51" s="16">
        <f>J49*0.18</f>
        <v>540</v>
      </c>
    </row>
    <row r="52" spans="1:15" x14ac:dyDescent="0.3">
      <c r="C52" s="10">
        <v>42</v>
      </c>
      <c r="I52" t="s">
        <v>7</v>
      </c>
    </row>
    <row r="53" spans="1:15" x14ac:dyDescent="0.3">
      <c r="A53" s="1"/>
      <c r="B53" s="6"/>
      <c r="C53" s="10">
        <v>421</v>
      </c>
      <c r="I53" t="s">
        <v>8</v>
      </c>
      <c r="K53" s="16">
        <f>J49+J51</f>
        <v>3540</v>
      </c>
    </row>
    <row r="54" spans="1:15" x14ac:dyDescent="0.3">
      <c r="A54" s="1"/>
      <c r="B54" s="6">
        <v>45626</v>
      </c>
      <c r="C54" s="10"/>
      <c r="I54" t="s">
        <v>69</v>
      </c>
      <c r="O54" s="4"/>
    </row>
    <row r="55" spans="1:15" x14ac:dyDescent="0.3">
      <c r="A55" s="1"/>
      <c r="B55" s="6"/>
      <c r="C55" s="10"/>
    </row>
    <row r="56" spans="1:15" x14ac:dyDescent="0.3">
      <c r="A56" s="1">
        <v>8</v>
      </c>
      <c r="B56" s="6"/>
      <c r="C56" s="10">
        <v>90</v>
      </c>
      <c r="I56" t="s">
        <v>16</v>
      </c>
    </row>
    <row r="57" spans="1:15" x14ac:dyDescent="0.3">
      <c r="A57" s="1"/>
      <c r="B57" s="6"/>
      <c r="C57" s="10">
        <v>901</v>
      </c>
      <c r="I57" t="s">
        <v>60</v>
      </c>
      <c r="J57" s="16">
        <f>'Costos Nov'!G20</f>
        <v>2100</v>
      </c>
    </row>
    <row r="58" spans="1:15" x14ac:dyDescent="0.3">
      <c r="C58" s="10">
        <v>902</v>
      </c>
      <c r="I58" t="s">
        <v>62</v>
      </c>
      <c r="J58" s="16">
        <f>'Costos Nov'!H20</f>
        <v>900</v>
      </c>
    </row>
    <row r="59" spans="1:15" x14ac:dyDescent="0.3">
      <c r="A59" s="1"/>
      <c r="B59" s="6"/>
      <c r="C59" s="10">
        <v>79</v>
      </c>
      <c r="I59" t="s">
        <v>27</v>
      </c>
      <c r="K59" s="16">
        <f>J57+J58</f>
        <v>3000</v>
      </c>
    </row>
    <row r="60" spans="1:15" x14ac:dyDescent="0.3">
      <c r="A60" s="1"/>
      <c r="B60" s="6">
        <v>45626</v>
      </c>
      <c r="C60" s="10"/>
      <c r="I60" t="s">
        <v>68</v>
      </c>
      <c r="O60" s="4"/>
    </row>
    <row r="61" spans="1:15" x14ac:dyDescent="0.3">
      <c r="C61" s="10"/>
    </row>
    <row r="62" spans="1:15" x14ac:dyDescent="0.3">
      <c r="A62" s="1">
        <v>9</v>
      </c>
      <c r="B62" s="6"/>
      <c r="C62" s="10">
        <v>68</v>
      </c>
      <c r="I62" t="s">
        <v>74</v>
      </c>
    </row>
    <row r="63" spans="1:15" x14ac:dyDescent="0.3">
      <c r="A63" s="1"/>
      <c r="B63" s="6"/>
      <c r="C63" s="10">
        <v>684</v>
      </c>
      <c r="I63" t="s">
        <v>73</v>
      </c>
      <c r="J63" s="16">
        <f>'Costos Nov'!I21</f>
        <v>800</v>
      </c>
    </row>
    <row r="64" spans="1:15" x14ac:dyDescent="0.3">
      <c r="C64" s="10">
        <v>39</v>
      </c>
      <c r="I64" t="s">
        <v>75</v>
      </c>
    </row>
    <row r="65" spans="1:15" x14ac:dyDescent="0.3">
      <c r="A65" s="1"/>
      <c r="B65" s="6"/>
      <c r="C65" s="10">
        <v>395</v>
      </c>
      <c r="I65" t="s">
        <v>76</v>
      </c>
      <c r="K65" s="16">
        <f>J63</f>
        <v>800</v>
      </c>
    </row>
    <row r="66" spans="1:15" x14ac:dyDescent="0.3">
      <c r="A66" s="1"/>
      <c r="B66" s="6">
        <v>45626</v>
      </c>
      <c r="C66" s="10"/>
      <c r="I66" t="s">
        <v>69</v>
      </c>
      <c r="O66" s="4"/>
    </row>
    <row r="67" spans="1:15" x14ac:dyDescent="0.3">
      <c r="A67" s="1"/>
      <c r="B67" s="6"/>
      <c r="C67" s="10"/>
    </row>
    <row r="68" spans="1:15" x14ac:dyDescent="0.3">
      <c r="A68" s="1">
        <v>10</v>
      </c>
      <c r="B68" s="6"/>
      <c r="C68" s="10">
        <v>90</v>
      </c>
      <c r="I68" t="s">
        <v>16</v>
      </c>
    </row>
    <row r="69" spans="1:15" x14ac:dyDescent="0.3">
      <c r="A69" s="1"/>
      <c r="B69" s="6"/>
      <c r="C69" s="10">
        <v>901</v>
      </c>
      <c r="I69" t="s">
        <v>60</v>
      </c>
      <c r="J69" s="16">
        <f>'Costos Nov'!G21</f>
        <v>320.00000000000006</v>
      </c>
    </row>
    <row r="70" spans="1:15" x14ac:dyDescent="0.3">
      <c r="C70" s="10">
        <v>902</v>
      </c>
      <c r="I70" t="s">
        <v>62</v>
      </c>
      <c r="J70" s="16">
        <f>'Costos Nov'!H21</f>
        <v>480</v>
      </c>
    </row>
    <row r="71" spans="1:15" x14ac:dyDescent="0.3">
      <c r="A71" s="1"/>
      <c r="B71" s="6"/>
      <c r="C71" s="10">
        <v>79</v>
      </c>
      <c r="I71" t="s">
        <v>27</v>
      </c>
      <c r="K71" s="16">
        <f>J69+J70</f>
        <v>800</v>
      </c>
    </row>
    <row r="72" spans="1:15" x14ac:dyDescent="0.3">
      <c r="A72" s="1"/>
      <c r="B72" s="6">
        <v>45626</v>
      </c>
      <c r="C72" s="10"/>
      <c r="I72" t="s">
        <v>68</v>
      </c>
      <c r="O72" s="4"/>
    </row>
    <row r="73" spans="1:15" x14ac:dyDescent="0.3">
      <c r="A73" s="5"/>
      <c r="C73" s="10"/>
    </row>
    <row r="74" spans="1:15" x14ac:dyDescent="0.3">
      <c r="A74" s="1">
        <v>11</v>
      </c>
      <c r="B74" s="6"/>
      <c r="C74" s="10">
        <v>21</v>
      </c>
      <c r="I74" t="s">
        <v>20</v>
      </c>
    </row>
    <row r="75" spans="1:15" x14ac:dyDescent="0.3">
      <c r="A75" s="1"/>
      <c r="B75" s="6"/>
      <c r="C75" s="10">
        <v>211</v>
      </c>
      <c r="I75" t="s">
        <v>71</v>
      </c>
      <c r="J75" s="16">
        <f>J57+J43+J29+J15+J69</f>
        <v>6391</v>
      </c>
    </row>
    <row r="76" spans="1:15" x14ac:dyDescent="0.3">
      <c r="A76" s="1"/>
      <c r="B76" s="6"/>
      <c r="C76" s="10">
        <v>211</v>
      </c>
      <c r="I76" t="s">
        <v>72</v>
      </c>
      <c r="J76" s="16">
        <f>J58+J44+J30+J16+J70</f>
        <v>5021</v>
      </c>
    </row>
    <row r="77" spans="1:15" x14ac:dyDescent="0.3">
      <c r="A77" s="1"/>
      <c r="B77" s="6"/>
      <c r="C77" s="10">
        <v>71</v>
      </c>
      <c r="I77" t="s">
        <v>21</v>
      </c>
    </row>
    <row r="78" spans="1:15" x14ac:dyDescent="0.3">
      <c r="A78" s="1"/>
      <c r="B78" s="6"/>
      <c r="C78" s="10">
        <v>711</v>
      </c>
      <c r="I78" t="s">
        <v>22</v>
      </c>
      <c r="K78" s="16">
        <f>J75+J76</f>
        <v>11412</v>
      </c>
    </row>
    <row r="79" spans="1:15" x14ac:dyDescent="0.3">
      <c r="A79" s="1"/>
      <c r="B79" s="6">
        <v>45626</v>
      </c>
      <c r="C79" s="10"/>
      <c r="I79" t="s">
        <v>29</v>
      </c>
      <c r="O79" s="4"/>
    </row>
    <row r="80" spans="1:15" x14ac:dyDescent="0.3">
      <c r="A80" s="1"/>
      <c r="B80" s="6"/>
      <c r="C80" s="10"/>
    </row>
    <row r="81" spans="1:11" x14ac:dyDescent="0.3">
      <c r="B81" s="6"/>
      <c r="C81" s="10"/>
    </row>
    <row r="82" spans="1:11" x14ac:dyDescent="0.3">
      <c r="B82" s="6"/>
      <c r="C82" s="10"/>
    </row>
    <row r="83" spans="1:11" x14ac:dyDescent="0.3">
      <c r="B83" s="6"/>
      <c r="C83" s="10"/>
    </row>
    <row r="84" spans="1:11" x14ac:dyDescent="0.3">
      <c r="C84" s="10"/>
    </row>
    <row r="85" spans="1:11" x14ac:dyDescent="0.3">
      <c r="A85" s="5"/>
      <c r="C85" s="10"/>
      <c r="J85" s="24"/>
      <c r="K85" s="24"/>
    </row>
    <row r="86" spans="1:11" x14ac:dyDescent="0.3">
      <c r="A86" s="1"/>
      <c r="B86" s="6"/>
      <c r="C86" s="10"/>
    </row>
    <row r="87" spans="1:11" x14ac:dyDescent="0.3">
      <c r="A87" s="1"/>
      <c r="B87" s="6"/>
      <c r="C87" s="10"/>
    </row>
    <row r="88" spans="1:11" x14ac:dyDescent="0.3">
      <c r="A88" s="1"/>
      <c r="B88" s="6"/>
      <c r="C88" s="10"/>
    </row>
    <row r="89" spans="1:11" x14ac:dyDescent="0.3">
      <c r="A89" s="1"/>
      <c r="B89" s="6"/>
      <c r="C89" s="10"/>
    </row>
    <row r="90" spans="1:11" x14ac:dyDescent="0.3">
      <c r="C90" s="10"/>
    </row>
    <row r="91" spans="1:11" x14ac:dyDescent="0.3">
      <c r="A91" s="1"/>
      <c r="B91" s="6"/>
      <c r="C91" s="10"/>
    </row>
    <row r="92" spans="1:11" x14ac:dyDescent="0.3">
      <c r="A92" s="1"/>
      <c r="B92" s="6"/>
      <c r="C92" s="10"/>
    </row>
    <row r="93" spans="1:11" x14ac:dyDescent="0.3">
      <c r="A93" s="1"/>
      <c r="B93" s="6"/>
      <c r="C93" s="10"/>
    </row>
    <row r="94" spans="1:11" x14ac:dyDescent="0.3">
      <c r="A94" s="1"/>
      <c r="B94" s="6"/>
      <c r="C94" s="10"/>
    </row>
    <row r="95" spans="1:11" x14ac:dyDescent="0.3">
      <c r="A95" s="1"/>
      <c r="B95" s="6"/>
      <c r="C95" s="10"/>
    </row>
    <row r="96" spans="1:11" x14ac:dyDescent="0.3">
      <c r="A96" s="1"/>
      <c r="B96" s="6"/>
      <c r="C96" s="10"/>
    </row>
    <row r="97" spans="1:3" x14ac:dyDescent="0.3">
      <c r="C97" s="10"/>
    </row>
    <row r="98" spans="1:3" x14ac:dyDescent="0.3">
      <c r="A98" s="1"/>
      <c r="B98" s="6"/>
      <c r="C98" s="10"/>
    </row>
    <row r="99" spans="1:3" x14ac:dyDescent="0.3">
      <c r="A99" s="1"/>
      <c r="B99" s="6"/>
      <c r="C99" s="10"/>
    </row>
    <row r="100" spans="1:3" x14ac:dyDescent="0.3">
      <c r="A100" s="1"/>
      <c r="B100" s="6"/>
      <c r="C100" s="10"/>
    </row>
    <row r="101" spans="1:3" x14ac:dyDescent="0.3">
      <c r="A101" s="1"/>
      <c r="B101" s="6"/>
      <c r="C101" s="10"/>
    </row>
    <row r="102" spans="1:3" x14ac:dyDescent="0.3">
      <c r="C102" s="10"/>
    </row>
    <row r="103" spans="1:3" x14ac:dyDescent="0.3">
      <c r="A103" s="1"/>
      <c r="B103" s="6"/>
      <c r="C103" s="10"/>
    </row>
    <row r="104" spans="1:3" x14ac:dyDescent="0.3">
      <c r="A104" s="1"/>
      <c r="B104" s="6"/>
      <c r="C104" s="10"/>
    </row>
    <row r="105" spans="1:3" x14ac:dyDescent="0.3">
      <c r="A105" s="1"/>
      <c r="B105" s="6"/>
      <c r="C105" s="10"/>
    </row>
    <row r="106" spans="1:3" x14ac:dyDescent="0.3">
      <c r="A106" s="1"/>
      <c r="B106" s="6"/>
      <c r="C106" s="10"/>
    </row>
    <row r="107" spans="1:3" x14ac:dyDescent="0.3">
      <c r="C107" s="10"/>
    </row>
    <row r="108" spans="1:3" x14ac:dyDescent="0.3">
      <c r="A108" s="1"/>
      <c r="B108" s="6"/>
      <c r="C108" s="10"/>
    </row>
    <row r="109" spans="1:3" x14ac:dyDescent="0.3">
      <c r="A109" s="1"/>
      <c r="B109" s="6"/>
      <c r="C109" s="10"/>
    </row>
    <row r="110" spans="1:3" x14ac:dyDescent="0.3">
      <c r="A110" s="1"/>
      <c r="B110" s="6"/>
      <c r="C110" s="10"/>
    </row>
    <row r="111" spans="1:3" x14ac:dyDescent="0.3">
      <c r="A111" s="1"/>
      <c r="B111" s="6"/>
      <c r="C111" s="10"/>
    </row>
    <row r="112" spans="1:3" x14ac:dyDescent="0.3">
      <c r="C112" s="10"/>
    </row>
    <row r="113" spans="1:3" x14ac:dyDescent="0.3">
      <c r="A113" s="5"/>
      <c r="C113" s="10"/>
    </row>
    <row r="114" spans="1:3" x14ac:dyDescent="0.3">
      <c r="B114" s="6"/>
      <c r="C114" s="10"/>
    </row>
    <row r="115" spans="1:3" x14ac:dyDescent="0.3">
      <c r="B115" s="6"/>
      <c r="C115" s="10"/>
    </row>
    <row r="116" spans="1:3" x14ac:dyDescent="0.3">
      <c r="B116" s="6"/>
      <c r="C116" s="10"/>
    </row>
    <row r="117" spans="1:3" x14ac:dyDescent="0.3">
      <c r="B117" s="6"/>
      <c r="C117" s="10"/>
    </row>
    <row r="118" spans="1:3" x14ac:dyDescent="0.3">
      <c r="B118" s="6"/>
      <c r="C118" s="10"/>
    </row>
    <row r="119" spans="1:3" x14ac:dyDescent="0.3">
      <c r="B119" s="6"/>
      <c r="C119" s="10"/>
    </row>
    <row r="120" spans="1:3" x14ac:dyDescent="0.3">
      <c r="C120" s="10"/>
    </row>
    <row r="121" spans="1:3" x14ac:dyDescent="0.3">
      <c r="B121" s="6"/>
      <c r="C121" s="10"/>
    </row>
    <row r="122" spans="1:3" x14ac:dyDescent="0.3">
      <c r="B122" s="6"/>
      <c r="C122" s="10"/>
    </row>
    <row r="123" spans="1:3" x14ac:dyDescent="0.3">
      <c r="B123" s="6"/>
      <c r="C123" s="10"/>
    </row>
    <row r="124" spans="1:3" x14ac:dyDescent="0.3">
      <c r="B124" s="6"/>
      <c r="C12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C9E7-310B-49E5-BD01-3F42EE9E042D}">
  <dimension ref="A1:Y32"/>
  <sheetViews>
    <sheetView tabSelected="1" workbookViewId="0">
      <selection activeCell="C39" sqref="C39"/>
    </sheetView>
  </sheetViews>
  <sheetFormatPr baseColWidth="10" defaultColWidth="11.44140625" defaultRowHeight="14.4" x14ac:dyDescent="0.3"/>
  <cols>
    <col min="2" max="2" width="10.33203125" customWidth="1"/>
    <col min="3" max="3" width="6.33203125" customWidth="1"/>
    <col min="4" max="4" width="0" hidden="1" customWidth="1"/>
    <col min="5" max="5" width="13" hidden="1" customWidth="1"/>
    <col min="6" max="6" width="8.109375" hidden="1" customWidth="1"/>
    <col min="7" max="7" width="7.109375" hidden="1" customWidth="1"/>
    <col min="8" max="8" width="7.44140625" hidden="1" customWidth="1"/>
    <col min="9" max="9" width="36.109375" bestFit="1" customWidth="1"/>
    <col min="10" max="10" width="8.88671875" bestFit="1" customWidth="1"/>
    <col min="11" max="11" width="11.109375" bestFit="1" customWidth="1"/>
    <col min="12" max="12" width="12" hidden="1" customWidth="1"/>
    <col min="13" max="13" width="10.5546875" hidden="1" customWidth="1"/>
    <col min="14" max="14" width="15.109375" bestFit="1" customWidth="1"/>
    <col min="15" max="15" width="11.88671875" bestFit="1" customWidth="1"/>
    <col min="16" max="16" width="12.6640625" bestFit="1" customWidth="1"/>
    <col min="17" max="17" width="11.88671875" customWidth="1"/>
    <col min="18" max="18" width="8.33203125" style="1" customWidth="1"/>
    <col min="19" max="19" width="13.6640625" customWidth="1"/>
    <col min="20" max="20" width="14.5546875" style="1" hidden="1" customWidth="1"/>
    <col min="21" max="21" width="15.33203125" hidden="1" customWidth="1"/>
    <col min="22" max="22" width="14.5546875" hidden="1" customWidth="1"/>
    <col min="23" max="23" width="16.6640625" hidden="1" customWidth="1"/>
    <col min="24" max="24" width="13.109375" hidden="1" customWidth="1"/>
    <col min="25" max="25" width="8.109375" hidden="1" customWidth="1"/>
    <col min="27" max="27" width="12" customWidth="1"/>
  </cols>
  <sheetData>
    <row r="1" spans="1:11" x14ac:dyDescent="0.3">
      <c r="A1" s="5" t="s">
        <v>1</v>
      </c>
    </row>
    <row r="3" spans="1:11" x14ac:dyDescent="0.3">
      <c r="A3" s="3" t="s">
        <v>10</v>
      </c>
      <c r="B3" s="3" t="s">
        <v>4</v>
      </c>
      <c r="C3" s="3" t="s">
        <v>9</v>
      </c>
      <c r="D3" s="3"/>
      <c r="E3" s="3"/>
      <c r="F3" s="3"/>
      <c r="G3" s="3"/>
      <c r="H3" s="3"/>
      <c r="I3" s="3" t="s">
        <v>6</v>
      </c>
      <c r="J3" s="3" t="s">
        <v>2</v>
      </c>
      <c r="K3" s="3" t="s">
        <v>3</v>
      </c>
    </row>
    <row r="4" spans="1:11" x14ac:dyDescent="0.3">
      <c r="A4" s="5" t="s">
        <v>88</v>
      </c>
      <c r="C4" s="10"/>
      <c r="J4" s="7"/>
      <c r="K4" s="7"/>
    </row>
    <row r="5" spans="1:11" x14ac:dyDescent="0.3">
      <c r="A5">
        <v>1</v>
      </c>
      <c r="B5" s="6"/>
      <c r="C5" s="10">
        <v>12</v>
      </c>
      <c r="I5" t="s">
        <v>93</v>
      </c>
      <c r="J5" s="7"/>
      <c r="K5" s="7"/>
    </row>
    <row r="6" spans="1:11" x14ac:dyDescent="0.3">
      <c r="A6">
        <v>1</v>
      </c>
      <c r="B6" s="6"/>
      <c r="C6" s="10">
        <v>121</v>
      </c>
      <c r="I6" t="s">
        <v>94</v>
      </c>
      <c r="J6" s="2">
        <f>K8+K10</f>
        <v>12272</v>
      </c>
      <c r="K6" s="7"/>
    </row>
    <row r="7" spans="1:11" x14ac:dyDescent="0.3">
      <c r="A7">
        <v>1</v>
      </c>
      <c r="B7" s="6"/>
      <c r="C7" s="10">
        <v>40</v>
      </c>
      <c r="I7" t="s">
        <v>11</v>
      </c>
      <c r="J7" s="7"/>
      <c r="K7" s="7"/>
    </row>
    <row r="8" spans="1:11" x14ac:dyDescent="0.3">
      <c r="A8">
        <v>1</v>
      </c>
      <c r="B8" s="6"/>
      <c r="C8" s="10">
        <v>4011</v>
      </c>
      <c r="I8" t="s">
        <v>12</v>
      </c>
      <c r="J8" s="7"/>
      <c r="K8" s="7">
        <f>K10*0.18</f>
        <v>1872</v>
      </c>
    </row>
    <row r="9" spans="1:11" x14ac:dyDescent="0.3">
      <c r="A9">
        <v>1</v>
      </c>
      <c r="B9" s="6"/>
      <c r="C9" s="10">
        <v>70</v>
      </c>
      <c r="I9" t="s">
        <v>91</v>
      </c>
      <c r="J9" s="7"/>
      <c r="K9" s="7"/>
    </row>
    <row r="10" spans="1:11" x14ac:dyDescent="0.3">
      <c r="A10">
        <v>1</v>
      </c>
      <c r="B10" s="6"/>
      <c r="C10" s="10">
        <v>702</v>
      </c>
      <c r="I10" t="s">
        <v>20</v>
      </c>
      <c r="J10" s="7"/>
      <c r="K10" s="7">
        <f>'Kardex Nov Dic'!E35+'Kardex Nov Dic'!E7</f>
        <v>10400</v>
      </c>
    </row>
    <row r="11" spans="1:11" x14ac:dyDescent="0.3">
      <c r="B11" s="6">
        <v>45611</v>
      </c>
      <c r="C11" s="10"/>
      <c r="I11" t="s">
        <v>95</v>
      </c>
      <c r="J11" s="7"/>
    </row>
    <row r="12" spans="1:11" x14ac:dyDescent="0.3">
      <c r="C12" s="10"/>
      <c r="J12" s="7"/>
      <c r="K12" s="7"/>
    </row>
    <row r="13" spans="1:11" x14ac:dyDescent="0.3">
      <c r="A13">
        <v>2</v>
      </c>
      <c r="B13" s="6"/>
      <c r="C13" s="10">
        <v>69</v>
      </c>
      <c r="I13" t="s">
        <v>92</v>
      </c>
      <c r="J13" s="7"/>
      <c r="K13" s="7"/>
    </row>
    <row r="14" spans="1:11" x14ac:dyDescent="0.3">
      <c r="A14">
        <v>2</v>
      </c>
      <c r="B14" s="6"/>
      <c r="C14" s="10">
        <v>692</v>
      </c>
      <c r="I14" t="s">
        <v>20</v>
      </c>
      <c r="J14" s="7">
        <f>-('Kardex Nov Dic'!Q17+'Kardex Nov Dic'!Q45)</f>
        <v>8532</v>
      </c>
      <c r="K14" s="7"/>
    </row>
    <row r="15" spans="1:11" x14ac:dyDescent="0.3">
      <c r="A15">
        <v>2</v>
      </c>
      <c r="B15" s="6"/>
      <c r="C15" s="10">
        <v>21</v>
      </c>
      <c r="I15" t="s">
        <v>20</v>
      </c>
      <c r="J15" s="7"/>
      <c r="K15" s="7"/>
    </row>
    <row r="16" spans="1:11" x14ac:dyDescent="0.3">
      <c r="A16">
        <v>2</v>
      </c>
      <c r="B16" s="6"/>
      <c r="C16" s="10">
        <v>211</v>
      </c>
      <c r="I16" t="s">
        <v>20</v>
      </c>
      <c r="J16" s="7"/>
      <c r="K16" s="7">
        <f>J14</f>
        <v>8532</v>
      </c>
    </row>
    <row r="17" spans="1:11" x14ac:dyDescent="0.3">
      <c r="B17" s="6">
        <v>45611</v>
      </c>
      <c r="C17" s="10"/>
      <c r="I17" t="s">
        <v>96</v>
      </c>
      <c r="J17" s="7"/>
      <c r="K17" s="7"/>
    </row>
    <row r="18" spans="1:11" x14ac:dyDescent="0.3">
      <c r="C18" s="10"/>
    </row>
    <row r="19" spans="1:11" x14ac:dyDescent="0.3">
      <c r="A19" s="5" t="s">
        <v>89</v>
      </c>
      <c r="C19" s="10"/>
      <c r="J19" s="7"/>
      <c r="K19" s="7"/>
    </row>
    <row r="20" spans="1:11" x14ac:dyDescent="0.3">
      <c r="A20">
        <v>1</v>
      </c>
      <c r="B20" s="6"/>
      <c r="C20" s="10">
        <v>12</v>
      </c>
      <c r="I20" t="s">
        <v>93</v>
      </c>
      <c r="J20" s="7"/>
      <c r="K20" s="7"/>
    </row>
    <row r="21" spans="1:11" x14ac:dyDescent="0.3">
      <c r="A21">
        <v>1</v>
      </c>
      <c r="B21" s="6"/>
      <c r="C21" s="10">
        <v>121</v>
      </c>
      <c r="I21" t="s">
        <v>94</v>
      </c>
      <c r="J21" s="7">
        <f>K23+K25</f>
        <v>18496.5</v>
      </c>
      <c r="K21" s="7"/>
    </row>
    <row r="22" spans="1:11" x14ac:dyDescent="0.3">
      <c r="A22">
        <v>1</v>
      </c>
      <c r="B22" s="6"/>
      <c r="C22" s="10">
        <v>40</v>
      </c>
      <c r="I22" t="s">
        <v>11</v>
      </c>
      <c r="J22" s="7"/>
      <c r="K22" s="7"/>
    </row>
    <row r="23" spans="1:11" x14ac:dyDescent="0.3">
      <c r="A23">
        <v>1</v>
      </c>
      <c r="B23" s="6"/>
      <c r="C23" s="10">
        <v>4011</v>
      </c>
      <c r="I23" t="s">
        <v>12</v>
      </c>
      <c r="J23" s="7"/>
      <c r="K23" s="7">
        <f>K25*0.18</f>
        <v>2821.5</v>
      </c>
    </row>
    <row r="24" spans="1:11" x14ac:dyDescent="0.3">
      <c r="A24">
        <v>1</v>
      </c>
      <c r="B24" s="6"/>
      <c r="C24" s="10">
        <v>70</v>
      </c>
      <c r="I24" t="s">
        <v>91</v>
      </c>
      <c r="J24" s="7"/>
      <c r="K24" s="7"/>
    </row>
    <row r="25" spans="1:11" x14ac:dyDescent="0.3">
      <c r="A25">
        <v>1</v>
      </c>
      <c r="B25" s="6"/>
      <c r="C25" s="10">
        <v>702</v>
      </c>
      <c r="I25" t="s">
        <v>20</v>
      </c>
      <c r="J25" s="7"/>
      <c r="K25" s="7">
        <f>'Kardex Nov Dic'!F7+'Kardex Nov Dic'!F35</f>
        <v>15675</v>
      </c>
    </row>
    <row r="26" spans="1:11" x14ac:dyDescent="0.3">
      <c r="B26" s="6">
        <v>45641</v>
      </c>
      <c r="C26" s="10"/>
      <c r="I26" t="s">
        <v>97</v>
      </c>
      <c r="J26" s="7"/>
      <c r="K26" s="7"/>
    </row>
    <row r="27" spans="1:11" x14ac:dyDescent="0.3">
      <c r="C27" s="10"/>
      <c r="J27" s="7"/>
      <c r="K27" s="7"/>
    </row>
    <row r="28" spans="1:11" x14ac:dyDescent="0.3">
      <c r="A28">
        <v>2</v>
      </c>
      <c r="B28" s="6"/>
      <c r="C28" s="10">
        <v>69</v>
      </c>
      <c r="I28" t="s">
        <v>92</v>
      </c>
      <c r="J28" s="7"/>
      <c r="K28" s="7"/>
    </row>
    <row r="29" spans="1:11" x14ac:dyDescent="0.3">
      <c r="A29">
        <v>2</v>
      </c>
      <c r="B29" s="6"/>
      <c r="C29" s="10">
        <v>692</v>
      </c>
      <c r="I29" t="s">
        <v>20</v>
      </c>
      <c r="J29" s="7">
        <f>-('Kardex Nov Dic'!Q51+'Kardex Nov Dic'!Q23)</f>
        <v>11461.153846153848</v>
      </c>
      <c r="K29" s="7"/>
    </row>
    <row r="30" spans="1:11" x14ac:dyDescent="0.3">
      <c r="A30">
        <v>2</v>
      </c>
      <c r="B30" s="6"/>
      <c r="C30" s="10">
        <v>21</v>
      </c>
      <c r="I30" t="s">
        <v>20</v>
      </c>
      <c r="J30" s="7"/>
      <c r="K30" s="7"/>
    </row>
    <row r="31" spans="1:11" x14ac:dyDescent="0.3">
      <c r="A31">
        <v>2</v>
      </c>
      <c r="B31" s="6"/>
      <c r="C31" s="10">
        <v>211</v>
      </c>
      <c r="I31" t="s">
        <v>20</v>
      </c>
      <c r="J31" s="7"/>
      <c r="K31" s="7">
        <f>J29</f>
        <v>11461.153846153848</v>
      </c>
    </row>
    <row r="32" spans="1:11" x14ac:dyDescent="0.3">
      <c r="B32" s="6">
        <v>45641</v>
      </c>
      <c r="C32" s="10"/>
      <c r="I32" t="s">
        <v>98</v>
      </c>
      <c r="J32" s="7"/>
      <c r="K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Costos Oct</vt:lpstr>
      <vt:lpstr>Costos Nov</vt:lpstr>
      <vt:lpstr>Kardex Nov Dic</vt:lpstr>
      <vt:lpstr>Asientos Costos Oct</vt:lpstr>
      <vt:lpstr>Asientos Costos Nov</vt:lpstr>
      <vt:lpstr>Asientos Inv Nov 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Cabezas</dc:creator>
  <cp:lastModifiedBy>Christian</cp:lastModifiedBy>
  <dcterms:created xsi:type="dcterms:W3CDTF">2024-05-31T21:36:51Z</dcterms:created>
  <dcterms:modified xsi:type="dcterms:W3CDTF">2024-11-11T19:28:58Z</dcterms:modified>
</cp:coreProperties>
</file>