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Evaluaciones\Calificadas\PC07\"/>
    </mc:Choice>
  </mc:AlternateContent>
  <xr:revisionPtr revIDLastSave="0" documentId="13_ncr:1_{F7366270-208F-4828-900A-7B6066F24F23}" xr6:coauthVersionLast="47" xr6:coauthVersionMax="47" xr10:uidLastSave="{00000000-0000-0000-0000-000000000000}"/>
  <bookViews>
    <workbookView xWindow="-108" yWindow="-108" windowWidth="23256" windowHeight="12456" xr2:uid="{6ADEE2B6-A3CF-4D28-9307-6695F1FB2701}"/>
  </bookViews>
  <sheets>
    <sheet name="Solución" sheetId="2" r:id="rId1"/>
    <sheet name="Datos (Hoja de Trabajo)" sheetId="3" r:id="rId2"/>
    <sheet name="Cálculo Planilla (Opcional) " sheetId="4" r:id="rId3"/>
    <sheet name="Cálculo BBSS (Opcional)" sheetId="5" r:id="rId4"/>
  </sheets>
  <externalReferences>
    <externalReference r:id="rId5"/>
  </externalReferences>
  <definedNames>
    <definedName name="_xlnm._FilterDatabase" localSheetId="0" hidden="1">Solución!$A$3:$AP$203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8" i="2" l="1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H87" i="2"/>
  <c r="AG8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H77" i="2"/>
  <c r="AG77" i="2"/>
  <c r="AJ81" i="2"/>
  <c r="AB14" i="2"/>
  <c r="T9" i="2"/>
  <c r="S9" i="2"/>
  <c r="P9" i="2"/>
  <c r="O9" i="2"/>
  <c r="N16" i="2"/>
  <c r="M16" i="2"/>
  <c r="L16" i="2"/>
  <c r="K16" i="2"/>
  <c r="N24" i="2"/>
  <c r="M24" i="2"/>
  <c r="L24" i="2"/>
  <c r="K24" i="2"/>
  <c r="N40" i="2"/>
  <c r="M40" i="2"/>
  <c r="L40" i="2"/>
  <c r="K40" i="2"/>
  <c r="E147" i="2"/>
  <c r="E146" i="2"/>
  <c r="E148" i="2"/>
  <c r="D143" i="2"/>
  <c r="D144" i="2"/>
  <c r="E149" i="2"/>
  <c r="E145" i="2"/>
  <c r="D142" i="2"/>
  <c r="E154" i="2" s="1"/>
  <c r="D152" i="2" s="1"/>
  <c r="D117" i="2"/>
  <c r="D65" i="2"/>
  <c r="D61" i="2"/>
  <c r="E62" i="2" s="1"/>
  <c r="D82" i="2"/>
  <c r="B7" i="5"/>
  <c r="E7" i="5" s="1"/>
  <c r="H7" i="5" s="1"/>
  <c r="B6" i="5"/>
  <c r="E6" i="5" s="1"/>
  <c r="Q15" i="4"/>
  <c r="L15" i="4"/>
  <c r="J15" i="4"/>
  <c r="G15" i="4"/>
  <c r="D15" i="4"/>
  <c r="R14" i="4"/>
  <c r="M14" i="4"/>
  <c r="H14" i="4"/>
  <c r="N14" i="4" s="1"/>
  <c r="R13" i="4"/>
  <c r="M13" i="4"/>
  <c r="N13" i="4" s="1"/>
  <c r="H13" i="4"/>
  <c r="R12" i="4"/>
  <c r="M12" i="4"/>
  <c r="H12" i="4"/>
  <c r="N12" i="4" s="1"/>
  <c r="R11" i="4"/>
  <c r="M11" i="4"/>
  <c r="N11" i="4" s="1"/>
  <c r="H11" i="4"/>
  <c r="R10" i="4"/>
  <c r="M10" i="4"/>
  <c r="H10" i="4"/>
  <c r="N10" i="4" s="1"/>
  <c r="R9" i="4"/>
  <c r="M9" i="4"/>
  <c r="N9" i="4" s="1"/>
  <c r="H9" i="4"/>
  <c r="R8" i="4"/>
  <c r="M8" i="4"/>
  <c r="H8" i="4"/>
  <c r="N8" i="4" s="1"/>
  <c r="R7" i="4"/>
  <c r="M7" i="4"/>
  <c r="N7" i="4" s="1"/>
  <c r="H7" i="4"/>
  <c r="E5" i="4"/>
  <c r="E15" i="4" s="1"/>
  <c r="O24" i="2" l="1"/>
  <c r="P16" i="2"/>
  <c r="P24" i="2"/>
  <c r="S24" i="2" s="1"/>
  <c r="O16" i="2"/>
  <c r="O40" i="2"/>
  <c r="P40" i="2"/>
  <c r="D66" i="2"/>
  <c r="E67" i="2" s="1"/>
  <c r="H6" i="5"/>
  <c r="H10" i="5" s="1"/>
  <c r="E10" i="5"/>
  <c r="E12" i="5" s="1"/>
  <c r="E14" i="5" s="1"/>
  <c r="D162" i="2" s="1"/>
  <c r="B10" i="5"/>
  <c r="H5" i="4"/>
  <c r="S16" i="2" l="1"/>
  <c r="T16" i="2"/>
  <c r="AI87" i="2" s="1"/>
  <c r="T24" i="2"/>
  <c r="AI95" i="2" s="1"/>
  <c r="V40" i="2"/>
  <c r="U40" i="2"/>
  <c r="AJ44" i="2" s="1"/>
  <c r="B12" i="5"/>
  <c r="B13" i="5"/>
  <c r="K5" i="4"/>
  <c r="K15" i="4" s="1"/>
  <c r="P5" i="4"/>
  <c r="P15" i="4" s="1"/>
  <c r="O5" i="4"/>
  <c r="H15" i="4"/>
  <c r="I5" i="4"/>
  <c r="B14" i="5" l="1"/>
  <c r="B16" i="5" s="1"/>
  <c r="M5" i="4"/>
  <c r="I15" i="4"/>
  <c r="O15" i="4"/>
  <c r="R5" i="4"/>
  <c r="R15" i="4" s="1"/>
  <c r="H11" i="5" l="1"/>
  <c r="H12" i="5" s="1"/>
  <c r="H14" i="5" s="1"/>
  <c r="D163" i="2" s="1"/>
  <c r="D161" i="2"/>
  <c r="E171" i="2" s="1"/>
  <c r="M15" i="4"/>
  <c r="N5" i="4"/>
  <c r="N15" i="4" s="1"/>
  <c r="D183" i="2" l="1"/>
  <c r="D182" i="2"/>
  <c r="N13" i="2"/>
  <c r="M13" i="2"/>
  <c r="D175" i="2"/>
  <c r="D174" i="2"/>
  <c r="E24" i="2"/>
  <c r="D197" i="2" s="1"/>
  <c r="E198" i="2" s="1"/>
  <c r="D24" i="2"/>
  <c r="E16" i="2"/>
  <c r="D16" i="2"/>
  <c r="E9" i="2"/>
  <c r="L9" i="2" s="1"/>
  <c r="D9" i="2"/>
  <c r="K9" i="2" s="1"/>
  <c r="E13" i="2"/>
  <c r="D13" i="2"/>
  <c r="I60" i="3"/>
  <c r="I62" i="3" s="1"/>
  <c r="J59" i="3"/>
  <c r="J60" i="3"/>
  <c r="J58" i="3"/>
  <c r="H66" i="3"/>
  <c r="G69" i="3"/>
  <c r="G68" i="3"/>
  <c r="G67" i="3"/>
  <c r="G66" i="3"/>
  <c r="C67" i="3"/>
  <c r="C68" i="3"/>
  <c r="C69" i="3"/>
  <c r="C66" i="3"/>
  <c r="D67" i="3"/>
  <c r="D68" i="3"/>
  <c r="D66" i="3"/>
  <c r="D61" i="3"/>
  <c r="D69" i="3" s="1"/>
  <c r="D60" i="3"/>
  <c r="D59" i="3"/>
  <c r="C61" i="3"/>
  <c r="C60" i="3"/>
  <c r="C59" i="3"/>
  <c r="C58" i="3"/>
  <c r="D58" i="3"/>
  <c r="G52" i="3"/>
  <c r="G51" i="3"/>
  <c r="G50" i="3"/>
  <c r="G49" i="3"/>
  <c r="G48" i="3"/>
  <c r="D52" i="3"/>
  <c r="D51" i="3"/>
  <c r="D50" i="3"/>
  <c r="D49" i="3"/>
  <c r="D48" i="3"/>
  <c r="P13" i="2" l="1"/>
  <c r="O13" i="2"/>
  <c r="D62" i="3"/>
  <c r="N58" i="2"/>
  <c r="N57" i="2"/>
  <c r="M56" i="2"/>
  <c r="M55" i="2"/>
  <c r="M54" i="2"/>
  <c r="N53" i="2"/>
  <c r="N52" i="2"/>
  <c r="N51" i="2"/>
  <c r="N50" i="2"/>
  <c r="N49" i="2"/>
  <c r="N48" i="2"/>
  <c r="M48" i="2"/>
  <c r="N47" i="2"/>
  <c r="N46" i="2"/>
  <c r="N45" i="2"/>
  <c r="N44" i="2"/>
  <c r="M44" i="2"/>
  <c r="N43" i="2"/>
  <c r="M43" i="2"/>
  <c r="N42" i="2"/>
  <c r="M42" i="2"/>
  <c r="N41" i="2"/>
  <c r="M41" i="2"/>
  <c r="N39" i="2"/>
  <c r="M39" i="2"/>
  <c r="N38" i="2"/>
  <c r="M38" i="2"/>
  <c r="N37" i="2"/>
  <c r="M37" i="2"/>
  <c r="N36" i="2"/>
  <c r="M36" i="2"/>
  <c r="M35" i="2"/>
  <c r="N34" i="2"/>
  <c r="N33" i="2"/>
  <c r="M33" i="2"/>
  <c r="N32" i="2"/>
  <c r="M32" i="2"/>
  <c r="N28" i="2"/>
  <c r="M27" i="2"/>
  <c r="M26" i="2"/>
  <c r="M25" i="2"/>
  <c r="N21" i="2"/>
  <c r="M21" i="2"/>
  <c r="M19" i="2"/>
  <c r="M18" i="2"/>
  <c r="M17" i="2"/>
  <c r="N15" i="2"/>
  <c r="M15" i="2"/>
  <c r="N14" i="2"/>
  <c r="M14" i="2"/>
  <c r="N12" i="2"/>
  <c r="M10" i="2"/>
  <c r="N8" i="2"/>
  <c r="M8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39" i="2"/>
  <c r="K39" i="2"/>
  <c r="L38" i="2"/>
  <c r="K38" i="2"/>
  <c r="L37" i="2"/>
  <c r="K37" i="2"/>
  <c r="L36" i="2"/>
  <c r="K36" i="2"/>
  <c r="L35" i="2"/>
  <c r="K35" i="2"/>
  <c r="L34" i="2"/>
  <c r="K34" i="2"/>
  <c r="L31" i="2"/>
  <c r="K31" i="2"/>
  <c r="L30" i="2"/>
  <c r="K30" i="2"/>
  <c r="L25" i="2"/>
  <c r="K25" i="2"/>
  <c r="L23" i="2"/>
  <c r="K23" i="2"/>
  <c r="L12" i="2"/>
  <c r="L10" i="2"/>
  <c r="K10" i="2"/>
  <c r="G84" i="3"/>
  <c r="G190" i="2"/>
  <c r="G85" i="3" s="1"/>
  <c r="F6" i="2"/>
  <c r="F83" i="3" s="1"/>
  <c r="F86" i="3" s="1"/>
  <c r="E189" i="2"/>
  <c r="D188" i="2"/>
  <c r="M46" i="2" s="1"/>
  <c r="D71" i="3"/>
  <c r="F69" i="3"/>
  <c r="F68" i="3"/>
  <c r="F67" i="3"/>
  <c r="F66" i="3"/>
  <c r="D134" i="2"/>
  <c r="E135" i="2" s="1"/>
  <c r="D130" i="2"/>
  <c r="E131" i="2" s="1"/>
  <c r="D138" i="2" s="1"/>
  <c r="E139" i="2" s="1"/>
  <c r="F58" i="3"/>
  <c r="G58" i="3" s="1"/>
  <c r="H58" i="3" s="1"/>
  <c r="I58" i="3" s="1"/>
  <c r="F61" i="3"/>
  <c r="G61" i="3" s="1"/>
  <c r="F60" i="3"/>
  <c r="G60" i="3" s="1"/>
  <c r="H60" i="3" s="1"/>
  <c r="H68" i="3" s="1"/>
  <c r="N68" i="3" s="1"/>
  <c r="F59" i="3"/>
  <c r="G59" i="3" s="1"/>
  <c r="H59" i="3" s="1"/>
  <c r="H67" i="3" s="1"/>
  <c r="D169" i="2"/>
  <c r="E166" i="2"/>
  <c r="N27" i="2" s="1"/>
  <c r="E165" i="2"/>
  <c r="N26" i="2" s="1"/>
  <c r="E164" i="2"/>
  <c r="N25" i="2" s="1"/>
  <c r="D153" i="2"/>
  <c r="D157" i="2"/>
  <c r="E158" i="2" s="1"/>
  <c r="N22" i="2"/>
  <c r="N23" i="3"/>
  <c r="R23" i="3" s="1"/>
  <c r="N24" i="3"/>
  <c r="N22" i="3"/>
  <c r="N25" i="3"/>
  <c r="E118" i="2"/>
  <c r="N10" i="2" s="1"/>
  <c r="D107" i="2"/>
  <c r="D108" i="2" s="1"/>
  <c r="E109" i="2" s="1"/>
  <c r="D103" i="2"/>
  <c r="E104" i="2" s="1"/>
  <c r="H52" i="3"/>
  <c r="H51" i="3"/>
  <c r="H50" i="3"/>
  <c r="H49" i="3"/>
  <c r="H48" i="3"/>
  <c r="D71" i="2"/>
  <c r="M22" i="2" s="1"/>
  <c r="D72" i="2"/>
  <c r="M28" i="2" s="1"/>
  <c r="E22" i="2"/>
  <c r="L28" i="2" s="1"/>
  <c r="D22" i="2"/>
  <c r="K28" i="2" s="1"/>
  <c r="E19" i="2"/>
  <c r="L22" i="2" s="1"/>
  <c r="D19" i="2"/>
  <c r="K22" i="2" s="1"/>
  <c r="N21" i="3"/>
  <c r="D70" i="2"/>
  <c r="E71" i="3"/>
  <c r="E44" i="2"/>
  <c r="D43" i="2" s="1"/>
  <c r="D38" i="2"/>
  <c r="F42" i="3"/>
  <c r="F41" i="3"/>
  <c r="E25" i="2"/>
  <c r="L32" i="2" s="1"/>
  <c r="E18" i="2"/>
  <c r="L21" i="2" s="1"/>
  <c r="E17" i="2"/>
  <c r="L20" i="2" s="1"/>
  <c r="E21" i="2"/>
  <c r="L27" i="2" s="1"/>
  <c r="E20" i="2"/>
  <c r="L26" i="2" s="1"/>
  <c r="E12" i="2"/>
  <c r="E11" i="2"/>
  <c r="L15" i="2" s="1"/>
  <c r="E10" i="2"/>
  <c r="L11" i="2" s="1"/>
  <c r="E8" i="2"/>
  <c r="L8" i="2" s="1"/>
  <c r="E7" i="2"/>
  <c r="L7" i="2" s="1"/>
  <c r="E6" i="2"/>
  <c r="L6" i="2" s="1"/>
  <c r="E5" i="2"/>
  <c r="D26" i="2"/>
  <c r="K33" i="2" s="1"/>
  <c r="D25" i="2"/>
  <c r="K32" i="2" s="1"/>
  <c r="D23" i="2"/>
  <c r="K29" i="2" s="1"/>
  <c r="D18" i="2"/>
  <c r="K21" i="2" s="1"/>
  <c r="D17" i="2"/>
  <c r="K20" i="2" s="1"/>
  <c r="D21" i="2"/>
  <c r="K27" i="2" s="1"/>
  <c r="D20" i="2"/>
  <c r="K26" i="2" s="1"/>
  <c r="D15" i="2"/>
  <c r="K18" i="2" s="1"/>
  <c r="D14" i="2"/>
  <c r="K19" i="2" s="1"/>
  <c r="D12" i="2"/>
  <c r="D11" i="2"/>
  <c r="K15" i="2" s="1"/>
  <c r="D8" i="2"/>
  <c r="K8" i="2" s="1"/>
  <c r="D7" i="2"/>
  <c r="K7" i="2" s="1"/>
  <c r="D5" i="2"/>
  <c r="E23" i="2"/>
  <c r="L29" i="2" s="1"/>
  <c r="M27" i="3"/>
  <c r="E26" i="2" s="1"/>
  <c r="L33" i="2" s="1"/>
  <c r="N30" i="3"/>
  <c r="N29" i="3"/>
  <c r="N28" i="3"/>
  <c r="O20" i="3"/>
  <c r="O23" i="3" s="1"/>
  <c r="S23" i="3" s="1"/>
  <c r="E14" i="2"/>
  <c r="L19" i="2" s="1"/>
  <c r="H13" i="3"/>
  <c r="H12" i="3"/>
  <c r="H11" i="3"/>
  <c r="D6" i="2"/>
  <c r="S13" i="2" l="1"/>
  <c r="AJ85" i="2" s="1"/>
  <c r="T13" i="2"/>
  <c r="G86" i="3"/>
  <c r="F87" i="3" s="1"/>
  <c r="K14" i="2"/>
  <c r="K13" i="2"/>
  <c r="L14" i="2"/>
  <c r="L13" i="2"/>
  <c r="K12" i="2"/>
  <c r="K17" i="2"/>
  <c r="L17" i="2"/>
  <c r="H61" i="3"/>
  <c r="J61" i="3" s="1"/>
  <c r="J62" i="3" s="1"/>
  <c r="G62" i="3"/>
  <c r="K6" i="2"/>
  <c r="D86" i="3"/>
  <c r="E190" i="2"/>
  <c r="D187" i="2"/>
  <c r="D193" i="2" s="1"/>
  <c r="E194" i="2" s="1"/>
  <c r="P37" i="2"/>
  <c r="P32" i="2"/>
  <c r="O36" i="2"/>
  <c r="M12" i="2"/>
  <c r="P15" i="2"/>
  <c r="O33" i="2"/>
  <c r="P28" i="2"/>
  <c r="O46" i="2"/>
  <c r="M23" i="2"/>
  <c r="M45" i="2"/>
  <c r="P45" i="2" s="1"/>
  <c r="O32" i="2"/>
  <c r="N23" i="2"/>
  <c r="P36" i="2"/>
  <c r="P41" i="2"/>
  <c r="M47" i="2"/>
  <c r="O47" i="2" s="1"/>
  <c r="O25" i="2"/>
  <c r="O41" i="2"/>
  <c r="O48" i="2"/>
  <c r="P8" i="2"/>
  <c r="P14" i="2"/>
  <c r="O37" i="2"/>
  <c r="P10" i="2"/>
  <c r="P33" i="2"/>
  <c r="P42" i="2"/>
  <c r="P46" i="2"/>
  <c r="O28" i="2"/>
  <c r="O42" i="2"/>
  <c r="O15" i="2"/>
  <c r="P27" i="2"/>
  <c r="P44" i="2"/>
  <c r="O8" i="2"/>
  <c r="O14" i="2"/>
  <c r="P48" i="2"/>
  <c r="O39" i="2"/>
  <c r="O22" i="2"/>
  <c r="P39" i="2"/>
  <c r="P25" i="2"/>
  <c r="P22" i="2"/>
  <c r="O27" i="2"/>
  <c r="O44" i="2"/>
  <c r="O10" i="2"/>
  <c r="P21" i="2"/>
  <c r="P38" i="2"/>
  <c r="P26" i="2"/>
  <c r="P43" i="2"/>
  <c r="O21" i="2"/>
  <c r="O26" i="2"/>
  <c r="O38" i="2"/>
  <c r="O43" i="2"/>
  <c r="I59" i="3"/>
  <c r="M67" i="3" s="1"/>
  <c r="M66" i="3"/>
  <c r="N66" i="3" s="1"/>
  <c r="D176" i="2"/>
  <c r="I67" i="3"/>
  <c r="J67" i="3" s="1"/>
  <c r="I68" i="3"/>
  <c r="J68" i="3" s="1"/>
  <c r="F70" i="3"/>
  <c r="F43" i="3"/>
  <c r="D170" i="2"/>
  <c r="T23" i="3"/>
  <c r="D121" i="2"/>
  <c r="P23" i="3"/>
  <c r="O25" i="3"/>
  <c r="P25" i="3" s="1"/>
  <c r="O22" i="3"/>
  <c r="P22" i="3" s="1"/>
  <c r="R22" i="3" s="1"/>
  <c r="P20" i="3"/>
  <c r="O24" i="3"/>
  <c r="P24" i="3" s="1"/>
  <c r="R24" i="3" s="1"/>
  <c r="E73" i="2"/>
  <c r="O21" i="3"/>
  <c r="P21" i="3" s="1"/>
  <c r="R21" i="3" s="1"/>
  <c r="E86" i="3"/>
  <c r="H53" i="3"/>
  <c r="D52" i="2" s="1"/>
  <c r="M53" i="2" s="1"/>
  <c r="P53" i="2" s="1"/>
  <c r="F48" i="3"/>
  <c r="F49" i="3"/>
  <c r="F50" i="3"/>
  <c r="F51" i="3"/>
  <c r="F52" i="3"/>
  <c r="E15" i="2"/>
  <c r="L18" i="2" s="1"/>
  <c r="D10" i="2"/>
  <c r="K11" i="2" s="1"/>
  <c r="D29" i="2"/>
  <c r="M34" i="2" s="1"/>
  <c r="P34" i="2" s="1"/>
  <c r="H35" i="3"/>
  <c r="O27" i="3"/>
  <c r="I35" i="3"/>
  <c r="P12" i="2" l="1"/>
  <c r="H69" i="3"/>
  <c r="H62" i="3"/>
  <c r="E177" i="2" s="1"/>
  <c r="N17" i="2" s="1"/>
  <c r="S15" i="2"/>
  <c r="AJ87" i="2" s="1"/>
  <c r="D87" i="3"/>
  <c r="F88" i="3"/>
  <c r="D88" i="3" s="1"/>
  <c r="T33" i="2"/>
  <c r="S32" i="2"/>
  <c r="AJ103" i="2" s="1"/>
  <c r="U37" i="2"/>
  <c r="AJ46" i="2" s="1"/>
  <c r="U48" i="2"/>
  <c r="AJ56" i="2" s="1"/>
  <c r="S8" i="2"/>
  <c r="V36" i="2"/>
  <c r="V46" i="2"/>
  <c r="V43" i="2"/>
  <c r="T22" i="2"/>
  <c r="AI93" i="2" s="1"/>
  <c r="V44" i="2"/>
  <c r="T10" i="2"/>
  <c r="AI82" i="2" s="1"/>
  <c r="V41" i="2"/>
  <c r="T28" i="2"/>
  <c r="AI99" i="2" s="1"/>
  <c r="T26" i="2"/>
  <c r="AI97" i="2" s="1"/>
  <c r="T25" i="2"/>
  <c r="AI96" i="2" s="1"/>
  <c r="V39" i="2"/>
  <c r="T14" i="2"/>
  <c r="AI86" i="2" s="1"/>
  <c r="V38" i="2"/>
  <c r="U42" i="2"/>
  <c r="U46" i="2"/>
  <c r="AB63" i="2" s="1"/>
  <c r="S33" i="2"/>
  <c r="AJ104" i="2" s="1"/>
  <c r="T15" i="2"/>
  <c r="U36" i="2"/>
  <c r="T32" i="2"/>
  <c r="S22" i="2"/>
  <c r="AJ93" i="2" s="1"/>
  <c r="T8" i="2"/>
  <c r="AI80" i="2" s="1"/>
  <c r="U43" i="2"/>
  <c r="AJ36" i="2" s="1"/>
  <c r="U39" i="2"/>
  <c r="AJ48" i="2" s="1"/>
  <c r="S28" i="2"/>
  <c r="AJ99" i="2" s="1"/>
  <c r="U38" i="2"/>
  <c r="AJ47" i="2" s="1"/>
  <c r="S10" i="2"/>
  <c r="V48" i="2"/>
  <c r="U41" i="2"/>
  <c r="AJ49" i="2" s="1"/>
  <c r="S26" i="2"/>
  <c r="AJ97" i="2" s="1"/>
  <c r="U44" i="2"/>
  <c r="AJ37" i="2" s="1"/>
  <c r="S14" i="2"/>
  <c r="AJ86" i="2" s="1"/>
  <c r="V42" i="2"/>
  <c r="S25" i="2"/>
  <c r="AJ96" i="2" s="1"/>
  <c r="V37" i="2"/>
  <c r="O23" i="2"/>
  <c r="S23" i="2" s="1"/>
  <c r="O12" i="2"/>
  <c r="S12" i="2" s="1"/>
  <c r="P47" i="2"/>
  <c r="V47" i="2" s="1"/>
  <c r="P23" i="2"/>
  <c r="O45" i="2"/>
  <c r="U45" i="2" s="1"/>
  <c r="AJ38" i="2" s="1"/>
  <c r="N6" i="2"/>
  <c r="M50" i="2"/>
  <c r="E179" i="2"/>
  <c r="N19" i="2" s="1"/>
  <c r="M52" i="2"/>
  <c r="O34" i="2"/>
  <c r="U34" i="2" s="1"/>
  <c r="AB57" i="2" s="1"/>
  <c r="E84" i="2"/>
  <c r="O53" i="2"/>
  <c r="N67" i="3"/>
  <c r="I66" i="3"/>
  <c r="J66" i="3" s="1"/>
  <c r="G71" i="3"/>
  <c r="I70" i="3"/>
  <c r="M70" i="3"/>
  <c r="H71" i="3"/>
  <c r="F71" i="3"/>
  <c r="F53" i="3"/>
  <c r="E49" i="2" s="1"/>
  <c r="N54" i="2" s="1"/>
  <c r="I36" i="3"/>
  <c r="AE21" i="2" l="1"/>
  <c r="AP21" i="2" s="1"/>
  <c r="AJ45" i="2"/>
  <c r="AB62" i="2"/>
  <c r="AM62" i="2" s="1"/>
  <c r="AJ84" i="2"/>
  <c r="T23" i="2"/>
  <c r="AI94" i="2" s="1"/>
  <c r="AJ35" i="2"/>
  <c r="I69" i="3"/>
  <c r="J69" i="3" s="1"/>
  <c r="D89" i="3"/>
  <c r="D201" i="2" s="1"/>
  <c r="E202" i="2" s="1"/>
  <c r="N55" i="2" s="1"/>
  <c r="M6" i="2"/>
  <c r="O6" i="2" s="1"/>
  <c r="AB18" i="2"/>
  <c r="AM18" i="2" s="1"/>
  <c r="AJ82" i="2"/>
  <c r="AE20" i="2"/>
  <c r="AP20" i="2" s="1"/>
  <c r="AI103" i="2"/>
  <c r="AM14" i="2"/>
  <c r="AJ80" i="2"/>
  <c r="AM63" i="2"/>
  <c r="AJ50" i="2"/>
  <c r="AM57" i="2"/>
  <c r="AJ29" i="2"/>
  <c r="AJ94" i="2"/>
  <c r="U47" i="2"/>
  <c r="AB65" i="2" s="1"/>
  <c r="T12" i="2"/>
  <c r="AI84" i="2" s="1"/>
  <c r="W53" i="2"/>
  <c r="AB37" i="2" s="1"/>
  <c r="AM37" i="2" s="1"/>
  <c r="R53" i="2"/>
  <c r="V34" i="2"/>
  <c r="V45" i="2"/>
  <c r="O50" i="2"/>
  <c r="P50" i="2"/>
  <c r="O17" i="2"/>
  <c r="P17" i="2"/>
  <c r="O52" i="2"/>
  <c r="P52" i="2"/>
  <c r="O19" i="2"/>
  <c r="P19" i="2"/>
  <c r="P54" i="2"/>
  <c r="O54" i="2"/>
  <c r="J70" i="3"/>
  <c r="N70" i="3"/>
  <c r="M71" i="3"/>
  <c r="J71" i="3" l="1"/>
  <c r="E178" i="2"/>
  <c r="N18" i="2" s="1"/>
  <c r="M51" i="2"/>
  <c r="I71" i="3"/>
  <c r="N69" i="3"/>
  <c r="N71" i="3" s="1"/>
  <c r="L71" i="3"/>
  <c r="E184" i="2" s="1"/>
  <c r="M49" i="2"/>
  <c r="O55" i="2"/>
  <c r="P55" i="2"/>
  <c r="P6" i="2"/>
  <c r="S6" i="2" s="1"/>
  <c r="AJ78" i="2" s="1"/>
  <c r="AM65" i="2"/>
  <c r="AJ55" i="2"/>
  <c r="T19" i="2"/>
  <c r="AI90" i="2" s="1"/>
  <c r="T17" i="2"/>
  <c r="Q35" i="2"/>
  <c r="AI22" i="2" s="1"/>
  <c r="AJ23" i="2"/>
  <c r="V53" i="2"/>
  <c r="U54" i="2"/>
  <c r="U52" i="2"/>
  <c r="AJ59" i="2" s="1"/>
  <c r="U50" i="2"/>
  <c r="U53" i="2"/>
  <c r="V54" i="2"/>
  <c r="X54" i="2"/>
  <c r="AB36" i="2" s="1"/>
  <c r="AM36" i="2" s="1"/>
  <c r="AM38" i="2" s="1"/>
  <c r="S19" i="2"/>
  <c r="AJ90" i="2" s="1"/>
  <c r="S17" i="2"/>
  <c r="AJ88" i="2" s="1"/>
  <c r="V52" i="2"/>
  <c r="V50" i="2"/>
  <c r="AI88" i="2" l="1"/>
  <c r="AJ57" i="2"/>
  <c r="O51" i="2"/>
  <c r="P51" i="2"/>
  <c r="P18" i="2"/>
  <c r="O18" i="2"/>
  <c r="P49" i="2"/>
  <c r="O49" i="2"/>
  <c r="T6" i="2"/>
  <c r="AI78" i="2" s="1"/>
  <c r="V55" i="2"/>
  <c r="AI65" i="2" s="1"/>
  <c r="X55" i="2"/>
  <c r="U55" i="2"/>
  <c r="AB56" i="2"/>
  <c r="AI28" i="2"/>
  <c r="W55" i="2" l="1"/>
  <c r="AB68" i="2"/>
  <c r="S18" i="2"/>
  <c r="AJ89" i="2" s="1"/>
  <c r="V51" i="2"/>
  <c r="T18" i="2"/>
  <c r="AB22" i="2" s="1"/>
  <c r="U51" i="2"/>
  <c r="AB66" i="2" s="1"/>
  <c r="U49" i="2"/>
  <c r="AJ39" i="2" s="1"/>
  <c r="V49" i="2"/>
  <c r="AM56" i="2"/>
  <c r="AJ6" i="2"/>
  <c r="E122" i="2"/>
  <c r="D113" i="2"/>
  <c r="E114" i="2" s="1"/>
  <c r="D125" i="2" s="1"/>
  <c r="E126" i="2" s="1"/>
  <c r="D97" i="2"/>
  <c r="D93" i="2"/>
  <c r="E94" i="2" s="1"/>
  <c r="D77" i="2"/>
  <c r="E79" i="2" s="1"/>
  <c r="E53" i="2"/>
  <c r="N11" i="2" s="1"/>
  <c r="E48" i="2"/>
  <c r="N20" i="2" s="1"/>
  <c r="E39" i="2"/>
  <c r="D34" i="2"/>
  <c r="D30" i="2"/>
  <c r="L5" i="2"/>
  <c r="K5" i="2"/>
  <c r="AB42" i="2" l="1"/>
  <c r="AM42" i="2" s="1"/>
  <c r="AJ64" i="2"/>
  <c r="AB60" i="2"/>
  <c r="AM60" i="2" s="1"/>
  <c r="AJ58" i="2"/>
  <c r="AM66" i="2"/>
  <c r="AI89" i="2"/>
  <c r="AM22" i="2"/>
  <c r="AM23" i="2" s="1"/>
  <c r="AM68" i="2"/>
  <c r="P31" i="2"/>
  <c r="D98" i="2"/>
  <c r="M58" i="2" s="1"/>
  <c r="M57" i="2"/>
  <c r="E31" i="2"/>
  <c r="M20" i="2"/>
  <c r="O20" i="2" s="1"/>
  <c r="E35" i="2"/>
  <c r="N35" i="2" s="1"/>
  <c r="M11" i="2"/>
  <c r="O11" i="2" s="1"/>
  <c r="D47" i="2"/>
  <c r="L60" i="2"/>
  <c r="K60" i="2"/>
  <c r="M7" i="2" l="1"/>
  <c r="E57" i="2"/>
  <c r="O31" i="2"/>
  <c r="S31" i="2" s="1"/>
  <c r="AJ102" i="2" s="1"/>
  <c r="P35" i="2"/>
  <c r="O35" i="2"/>
  <c r="D87" i="2"/>
  <c r="M30" i="2" s="1"/>
  <c r="N30" i="2"/>
  <c r="P20" i="2"/>
  <c r="T20" i="2" s="1"/>
  <c r="AI91" i="2" s="1"/>
  <c r="N29" i="2"/>
  <c r="E99" i="2"/>
  <c r="N56" i="2" s="1"/>
  <c r="P11" i="2"/>
  <c r="T11" i="2" s="1"/>
  <c r="AI83" i="2" s="1"/>
  <c r="P57" i="2"/>
  <c r="O57" i="2"/>
  <c r="P58" i="2"/>
  <c r="O58" i="2"/>
  <c r="D88" i="2"/>
  <c r="M29" i="2" s="1"/>
  <c r="R27" i="2"/>
  <c r="N7" i="2"/>
  <c r="W27" i="2"/>
  <c r="K61" i="2"/>
  <c r="X60" i="2"/>
  <c r="P7" i="2" l="1"/>
  <c r="T31" i="2"/>
  <c r="AI102" i="2" s="1"/>
  <c r="U35" i="2"/>
  <c r="AB58" i="2" s="1"/>
  <c r="AM58" i="2" s="1"/>
  <c r="AM59" i="2" s="1"/>
  <c r="AM61" i="2" s="1"/>
  <c r="AM64" i="2" s="1"/>
  <c r="AM67" i="2" s="1"/>
  <c r="AM69" i="2" s="1"/>
  <c r="S20" i="2"/>
  <c r="T27" i="2"/>
  <c r="AI98" i="2" s="1"/>
  <c r="S27" i="2"/>
  <c r="AJ98" i="2" s="1"/>
  <c r="W57" i="2"/>
  <c r="AB39" i="2" s="1"/>
  <c r="AM39" i="2" s="1"/>
  <c r="R57" i="2"/>
  <c r="V35" i="2"/>
  <c r="R58" i="2"/>
  <c r="W58" i="2"/>
  <c r="AB40" i="2" s="1"/>
  <c r="AM40" i="2" s="1"/>
  <c r="S11" i="2"/>
  <c r="O29" i="2"/>
  <c r="O30" i="2"/>
  <c r="P29" i="2"/>
  <c r="P30" i="2"/>
  <c r="P56" i="2"/>
  <c r="O56" i="2"/>
  <c r="O7" i="2"/>
  <c r="E89" i="2"/>
  <c r="N5" i="2" s="1"/>
  <c r="Q21" i="2"/>
  <c r="AB23" i="2"/>
  <c r="D56" i="2"/>
  <c r="M5" i="2" s="1"/>
  <c r="X62" i="2"/>
  <c r="AB38" i="2"/>
  <c r="S7" i="2" l="1"/>
  <c r="AM41" i="2"/>
  <c r="AM43" i="2" s="1"/>
  <c r="AB15" i="2"/>
  <c r="AM15" i="2" s="1"/>
  <c r="AJ83" i="2"/>
  <c r="AB17" i="2"/>
  <c r="AM17" i="2" s="1"/>
  <c r="AJ91" i="2"/>
  <c r="D205" i="2"/>
  <c r="AJ30" i="2"/>
  <c r="AJ27" i="2" s="1"/>
  <c r="AI34" i="2" s="1"/>
  <c r="AJ33" i="2" s="1"/>
  <c r="T7" i="2"/>
  <c r="AI79" i="2" s="1"/>
  <c r="U57" i="2"/>
  <c r="AJ17" i="2"/>
  <c r="U58" i="2"/>
  <c r="AJ18" i="2"/>
  <c r="S30" i="2"/>
  <c r="AJ101" i="2" s="1"/>
  <c r="S29" i="2"/>
  <c r="AJ100" i="2" s="1"/>
  <c r="V57" i="2"/>
  <c r="V58" i="2"/>
  <c r="Q56" i="2"/>
  <c r="T30" i="2"/>
  <c r="T21" i="2"/>
  <c r="AE12" i="2" s="1"/>
  <c r="S21" i="2"/>
  <c r="AJ92" i="2" s="1"/>
  <c r="T29" i="2"/>
  <c r="E205" i="2"/>
  <c r="W60" i="2"/>
  <c r="W61" i="2" s="1"/>
  <c r="W62" i="2" s="1"/>
  <c r="AB41" i="2"/>
  <c r="AB43" i="2" s="1"/>
  <c r="AB45" i="2" s="1"/>
  <c r="R60" i="2"/>
  <c r="N60" i="2"/>
  <c r="O5" i="2"/>
  <c r="P5" i="2"/>
  <c r="M60" i="2"/>
  <c r="AB59" i="2"/>
  <c r="AI101" i="2" l="1"/>
  <c r="AE13" i="2"/>
  <c r="AP13" i="2" s="1"/>
  <c r="AJ79" i="2"/>
  <c r="AB12" i="2"/>
  <c r="AM12" i="2" s="1"/>
  <c r="AE11" i="2"/>
  <c r="AI100" i="2"/>
  <c r="AI43" i="2"/>
  <c r="AJ42" i="2" s="1"/>
  <c r="T5" i="2"/>
  <c r="U56" i="2"/>
  <c r="U60" i="2" s="1"/>
  <c r="AI19" i="2"/>
  <c r="V56" i="2"/>
  <c r="V60" i="2" s="1"/>
  <c r="V62" i="2" s="1"/>
  <c r="Q60" i="2"/>
  <c r="S5" i="2"/>
  <c r="AB11" i="2" s="1"/>
  <c r="AM11" i="2" s="1"/>
  <c r="AM19" i="2" s="1"/>
  <c r="AM26" i="2" s="1"/>
  <c r="M61" i="2"/>
  <c r="P60" i="2"/>
  <c r="O60" i="2"/>
  <c r="AB61" i="2"/>
  <c r="AB64" i="2" s="1"/>
  <c r="AP11" i="2" l="1"/>
  <c r="AE14" i="2"/>
  <c r="AI54" i="2"/>
  <c r="U61" i="2"/>
  <c r="U62" i="2" s="1"/>
  <c r="AJ77" i="2"/>
  <c r="AB19" i="2"/>
  <c r="AB26" i="2" s="1"/>
  <c r="S60" i="2"/>
  <c r="AI77" i="2"/>
  <c r="T60" i="2"/>
  <c r="AB67" i="2"/>
  <c r="AB69" i="2" s="1"/>
  <c r="AJ53" i="2" l="1"/>
  <c r="AI63" i="2" s="1"/>
  <c r="S62" i="2"/>
  <c r="T61" i="2"/>
  <c r="AE22" i="2" s="1"/>
  <c r="AI69" i="2" l="1"/>
  <c r="AI62" i="2"/>
  <c r="AJ69" i="2" s="1"/>
  <c r="AI68" i="2" s="1"/>
  <c r="AJ74" i="2" s="1"/>
  <c r="AI73" i="2" s="1"/>
  <c r="AI104" i="2" s="1"/>
  <c r="AM70" i="2"/>
  <c r="AM71" i="2" s="1"/>
  <c r="T62" i="2"/>
  <c r="AB71" i="2" l="1"/>
  <c r="AM44" i="2"/>
  <c r="AM45" i="2" s="1"/>
  <c r="AP22" i="2"/>
  <c r="AP23" i="2" s="1"/>
  <c r="AE23" i="2"/>
  <c r="AJ12" i="2"/>
  <c r="AP12" i="2" s="1"/>
  <c r="AJ70" i="2"/>
  <c r="AJ68" i="2" s="1"/>
  <c r="AI74" i="2" s="1"/>
  <c r="AJ73" i="2" s="1"/>
  <c r="AP14" i="2" l="1"/>
  <c r="AP17" i="2" s="1"/>
  <c r="AP26" i="2" s="1"/>
  <c r="AI92" i="2"/>
  <c r="AE17" i="2"/>
  <c r="AE26" i="2" s="1"/>
  <c r="AE28" i="2" s="1"/>
</calcChain>
</file>

<file path=xl/sharedStrings.xml><?xml version="1.0" encoding="utf-8"?>
<sst xmlns="http://schemas.openxmlformats.org/spreadsheetml/2006/main" count="644" uniqueCount="292">
  <si>
    <t>Cuenta</t>
  </si>
  <si>
    <t>Nombre de cuenta</t>
  </si>
  <si>
    <t>Venta de mercaderías</t>
  </si>
  <si>
    <t>Debe
S/</t>
  </si>
  <si>
    <t>Haber
S/</t>
  </si>
  <si>
    <t>Efectivo y equivalente de efectivo</t>
  </si>
  <si>
    <t>Mercaderías</t>
  </si>
  <si>
    <t>Impuesto a la renta</t>
  </si>
  <si>
    <t>Resultados acumulados</t>
  </si>
  <si>
    <t>Cuentas por pagar comerciales</t>
  </si>
  <si>
    <t>Variación de existencias</t>
  </si>
  <si>
    <t>Costo de ventas</t>
  </si>
  <si>
    <t>Gastos de ventas</t>
  </si>
  <si>
    <t>Cargas imputables a cuentas de costos</t>
  </si>
  <si>
    <t>Energía electrica</t>
  </si>
  <si>
    <t>Saldo inicial</t>
  </si>
  <si>
    <t>Movimientos</t>
  </si>
  <si>
    <t>Saldos finales</t>
  </si>
  <si>
    <t>ESF</t>
  </si>
  <si>
    <t>ERF</t>
  </si>
  <si>
    <t>ERN</t>
  </si>
  <si>
    <t>Estado de Situación Financiera</t>
  </si>
  <si>
    <t>Activos</t>
  </si>
  <si>
    <t>Activo Corriente</t>
  </si>
  <si>
    <t>Cuentas por cobrar comerciales - neto</t>
  </si>
  <si>
    <t>Inventarios</t>
  </si>
  <si>
    <t>Total Activo Corriente</t>
  </si>
  <si>
    <t>Activo no Corriente</t>
  </si>
  <si>
    <t>Propiedades,planta y equipo - neto</t>
  </si>
  <si>
    <t>Total Activo no Corriente</t>
  </si>
  <si>
    <t>Total Activo</t>
  </si>
  <si>
    <t>Pasivo y Patrimonio</t>
  </si>
  <si>
    <t>Pasivo corriente</t>
  </si>
  <si>
    <t>Otras cuentas por pagar</t>
  </si>
  <si>
    <t>Total Pasivo corriente</t>
  </si>
  <si>
    <t>Total Pasivo</t>
  </si>
  <si>
    <t>Patrimonio</t>
  </si>
  <si>
    <t>Capital</t>
  </si>
  <si>
    <t>Resultado del periodo</t>
  </si>
  <si>
    <t>Total Patrimonio</t>
  </si>
  <si>
    <t>Total Pasivo y Patrimonio</t>
  </si>
  <si>
    <t>Estado de resultados</t>
  </si>
  <si>
    <t>Ingresos operativos</t>
  </si>
  <si>
    <t>Resultado bruto</t>
  </si>
  <si>
    <t>Administración</t>
  </si>
  <si>
    <t>Ventas</t>
  </si>
  <si>
    <t>Resultado operativo</t>
  </si>
  <si>
    <t>1/01 Por el asiento de apertura 2024</t>
  </si>
  <si>
    <t>x/01 Por las compras realizadas</t>
  </si>
  <si>
    <t>x/01 Por el ingreso de almacén de las compras</t>
  </si>
  <si>
    <t>x/01 Por el pago de cuentas por pagar</t>
  </si>
  <si>
    <t>x/01 Por la cobranza de cuentas por cobrar</t>
  </si>
  <si>
    <t>x/01 Por la venta de mercaderías</t>
  </si>
  <si>
    <t>x/01 Por el costo de la venta de mercaderías</t>
  </si>
  <si>
    <t>x/01 Por la depreciación del mes</t>
  </si>
  <si>
    <t>x/01 Por el destino de la depreciación del mes</t>
  </si>
  <si>
    <t>x/01 Por el servicio de energía electrica</t>
  </si>
  <si>
    <t>x/01 Por destino del gasto de servicio de energía electrica</t>
  </si>
  <si>
    <t>Anulaciones ERN</t>
  </si>
  <si>
    <t>Total</t>
  </si>
  <si>
    <t>(Expresado en soles)</t>
  </si>
  <si>
    <t>Al 31 de enero 2024</t>
  </si>
  <si>
    <t>Del 1 al 31 de enero de 2024</t>
  </si>
  <si>
    <t>Estado de resultados - Por Naturaleza</t>
  </si>
  <si>
    <t>Compras</t>
  </si>
  <si>
    <t>Servicios prestados por terceros</t>
  </si>
  <si>
    <t>Cargas diversas de gestión</t>
  </si>
  <si>
    <t>Provisiones</t>
  </si>
  <si>
    <t>x/01 Por el cierre de las cuentas de explotación</t>
  </si>
  <si>
    <t>x/01 Por el cierre del transferencia de variacion de existencias</t>
  </si>
  <si>
    <t>Margen comercial</t>
  </si>
  <si>
    <t>Valor agregado</t>
  </si>
  <si>
    <t>Excedente bruto de explotación</t>
  </si>
  <si>
    <t>Excente bruto de explotación</t>
  </si>
  <si>
    <t>x/01 Por el cierre de las cuentas de ventas, compras y variación de existencias</t>
  </si>
  <si>
    <t>x/01 Por el cierre de las cuentas de gastos de servicios de terceros</t>
  </si>
  <si>
    <t>Resultado de explotación</t>
  </si>
  <si>
    <t>x/01 Por el cierre de las cuentas de gastos de personal y tributos</t>
  </si>
  <si>
    <t>x/01 Por el cierre de las cuentas de gastos diversos de gestión y provisiones</t>
  </si>
  <si>
    <t>Resultado de operación</t>
  </si>
  <si>
    <t>Resultado antes de impuesto a la renta</t>
  </si>
  <si>
    <t>x/01 Por el cierre de las cuentas de gastos financieros</t>
  </si>
  <si>
    <t>x/01 Por el impuesto a la renta del periodo</t>
  </si>
  <si>
    <t>Participación de los trabajadores</t>
  </si>
  <si>
    <t>Utilidad antes de impuestos y participaciones</t>
  </si>
  <si>
    <t>x/01 Por la participación de utilidades a los trabajadores</t>
  </si>
  <si>
    <t>x/01 Por el cierre de las cuentas de resultados</t>
  </si>
  <si>
    <t>x/01 Por el cierre del resultado del periodo</t>
  </si>
  <si>
    <t>x/01 Por el cierre de las cuentas del estado de situación financiera</t>
  </si>
  <si>
    <t>Asientos de cierre:</t>
  </si>
  <si>
    <t>S/</t>
  </si>
  <si>
    <t>US$</t>
  </si>
  <si>
    <t>TC</t>
  </si>
  <si>
    <t>Cuenta corriente Banco BCP en Soles</t>
  </si>
  <si>
    <t>Cuenta corriente Banco BCP en Dólares</t>
  </si>
  <si>
    <t>Item</t>
  </si>
  <si>
    <t>Concepto</t>
  </si>
  <si>
    <t>Cuentas corrientes operativas ME</t>
  </si>
  <si>
    <t>Cant</t>
  </si>
  <si>
    <t>C.U.</t>
  </si>
  <si>
    <t>Crema corporal</t>
  </si>
  <si>
    <t>Jabón de glicerína</t>
  </si>
  <si>
    <t>Shampoo anticaspa</t>
  </si>
  <si>
    <t>Equipos de procesamiento de datos</t>
  </si>
  <si>
    <t>Laptop - Depreciación</t>
  </si>
  <si>
    <t>Vida util años</t>
  </si>
  <si>
    <t>Debe</t>
  </si>
  <si>
    <t>Haber</t>
  </si>
  <si>
    <t>Saldo de vacaciones por pagar</t>
  </si>
  <si>
    <t>Saldo de CTS por pagar</t>
  </si>
  <si>
    <t>IGV por pagar</t>
  </si>
  <si>
    <t>Vacaciones</t>
  </si>
  <si>
    <t>E1</t>
  </si>
  <si>
    <t>Tiempo</t>
  </si>
  <si>
    <t>CTS</t>
  </si>
  <si>
    <t>Recibo de luz por pagar</t>
  </si>
  <si>
    <t>Factura por servicio de internet</t>
  </si>
  <si>
    <t>Impuesto a la renta del año 2023</t>
  </si>
  <si>
    <t>Capital social</t>
  </si>
  <si>
    <t>Equipos de procesamiento de datos - Costo</t>
  </si>
  <si>
    <t>Muebles y enseres - Costo</t>
  </si>
  <si>
    <t>Equipos de procesamiento de datos - Dep</t>
  </si>
  <si>
    <t>Muebles y enseres - Dep</t>
  </si>
  <si>
    <t>IGV cuenta propia</t>
  </si>
  <si>
    <t>Vacaciones por pagar</t>
  </si>
  <si>
    <t>CTS por pagar</t>
  </si>
  <si>
    <t>Crema exfoliante</t>
  </si>
  <si>
    <t>Crema hidratante para el cabello</t>
  </si>
  <si>
    <t>% Anual</t>
  </si>
  <si>
    <t>Dep Anual</t>
  </si>
  <si>
    <t>Producto</t>
  </si>
  <si>
    <t>V.Venta</t>
  </si>
  <si>
    <t>Costo</t>
  </si>
  <si>
    <t>Valor Unit</t>
  </si>
  <si>
    <t>Costo Unit</t>
  </si>
  <si>
    <t>Costo Venta</t>
  </si>
  <si>
    <t>x/01 Por la compra del vehiculo</t>
  </si>
  <si>
    <t>Pasivo por compra de PPE</t>
  </si>
  <si>
    <t>T.C.</t>
  </si>
  <si>
    <t xml:space="preserve">S/ </t>
  </si>
  <si>
    <t>Diferencia en cambio</t>
  </si>
  <si>
    <t>x/01 Por el pago de la primera cuota del vehiculo</t>
  </si>
  <si>
    <t>x/01 Por la actualización de DC al cierre enero 2023</t>
  </si>
  <si>
    <t>E2</t>
  </si>
  <si>
    <t>Sueldo</t>
  </si>
  <si>
    <t>EsSalud</t>
  </si>
  <si>
    <t>EsSalud por pagar</t>
  </si>
  <si>
    <t>AFP</t>
  </si>
  <si>
    <t>x/01 Por el pago del AFP, IGV, EsSalud</t>
  </si>
  <si>
    <t>Alquiler de edificaciones</t>
  </si>
  <si>
    <t>Detracciones por pagar MN</t>
  </si>
  <si>
    <t>Gastos de administración</t>
  </si>
  <si>
    <t>x/01 Por el servicio de alquiler de local</t>
  </si>
  <si>
    <t>x/01 Por el destino del servicio de alquiler de local</t>
  </si>
  <si>
    <t>Internet</t>
  </si>
  <si>
    <t>x/01 Por el servicio de internet</t>
  </si>
  <si>
    <t>x/01 Por destino del gasto de servicio de internet</t>
  </si>
  <si>
    <t>Seguros</t>
  </si>
  <si>
    <t>x/01 Por la contratación de seguro multiriesgo por todo el año</t>
  </si>
  <si>
    <t>x/01 Por el pago del alquiler</t>
  </si>
  <si>
    <t>x/01 Por el devengue del gasto de seguro del mes de enero</t>
  </si>
  <si>
    <t>Gratificación</t>
  </si>
  <si>
    <t>Saldo a Dic</t>
  </si>
  <si>
    <t>(2 meses)</t>
  </si>
  <si>
    <t>(+gratificación)</t>
  </si>
  <si>
    <t>Remuneraciones</t>
  </si>
  <si>
    <t>Régimen de prestaciones de salud</t>
  </si>
  <si>
    <t>x/01 Por la planilla del mes</t>
  </si>
  <si>
    <t>x/01 Por el destino de la planilla del mes</t>
  </si>
  <si>
    <t>Gratificaciones</t>
  </si>
  <si>
    <t>x/01 Por la provisión de BBSS planilla del mes</t>
  </si>
  <si>
    <t>x/01 Por el destino de la provisión de BBSS del mes</t>
  </si>
  <si>
    <t>Mensual</t>
  </si>
  <si>
    <t>Suministros (combustible)</t>
  </si>
  <si>
    <t>x/01 Por el pago del seguro</t>
  </si>
  <si>
    <t>x/01 Por el abastecimiento de combustible para el vehiculo</t>
  </si>
  <si>
    <t>x/01 Por destino del gasto de combustible para el vechiculo</t>
  </si>
  <si>
    <t xml:space="preserve">x/01 Por el pago del combustible </t>
  </si>
  <si>
    <t>x/01 Por el pago de la planilla del mes</t>
  </si>
  <si>
    <t>Depreciación</t>
  </si>
  <si>
    <t>Saldo Final</t>
  </si>
  <si>
    <t>Dep. Enero</t>
  </si>
  <si>
    <t>Saldo Neto</t>
  </si>
  <si>
    <t>Adm</t>
  </si>
  <si>
    <t>Vtas</t>
  </si>
  <si>
    <t>Depreciación Unidades de transporte</t>
  </si>
  <si>
    <t>Depreciación Muebles y enseres</t>
  </si>
  <si>
    <t>Depreciación Equipos diversos</t>
  </si>
  <si>
    <t>ITF</t>
  </si>
  <si>
    <t>ITF - cta soles</t>
  </si>
  <si>
    <t>ITF - cta dolares</t>
  </si>
  <si>
    <t>Comisión - cta dolares</t>
  </si>
  <si>
    <t>Comisión - cta soles</t>
  </si>
  <si>
    <t>Gastos Bancarios</t>
  </si>
  <si>
    <t>Haber
US$</t>
  </si>
  <si>
    <t>Debe
US$</t>
  </si>
  <si>
    <t>x/01 Por los cargos bancarios</t>
  </si>
  <si>
    <t>x/01 Por el destino de los cargos bancarios</t>
  </si>
  <si>
    <t>Cuentas por cobrar diversas - neto</t>
  </si>
  <si>
    <t>Gastos pagados por anticipado</t>
  </si>
  <si>
    <t>Créditos tributarios</t>
  </si>
  <si>
    <t>Pérdida por diferencia en cambio - Neta</t>
  </si>
  <si>
    <t>La empresa tiene menos de 20 trabajadores no tiene participaciones</t>
  </si>
  <si>
    <t>Gastos de personal</t>
  </si>
  <si>
    <t>Gastos por tributos</t>
  </si>
  <si>
    <t>Resultado antes del IR</t>
  </si>
  <si>
    <t>Libro diario (Asiento de apertura y operaciones)</t>
  </si>
  <si>
    <t>Balance de comprobación</t>
  </si>
  <si>
    <t>Estados Financieros (Sin Impuesto a la renta):</t>
  </si>
  <si>
    <t>Estados Financieros (Con Impuesto a la renta):</t>
  </si>
  <si>
    <t>I. Detalle del asiento de apertura:</t>
  </si>
  <si>
    <t>II. Operaciones:</t>
  </si>
  <si>
    <t>1. Compra:</t>
  </si>
  <si>
    <t>11. Actuaización DC de bancos:</t>
  </si>
  <si>
    <t>Tipo de cambio al 31.01.24</t>
  </si>
  <si>
    <t>Saldo actual</t>
  </si>
  <si>
    <t>x/01 Por el destino del gasto de seguro</t>
  </si>
  <si>
    <t>Cuentas corrientes en instituciones financieras</t>
  </si>
  <si>
    <t>Depósitos en instituciones financieras</t>
  </si>
  <si>
    <t>Factura por cobrar F001-00035</t>
  </si>
  <si>
    <t>Factura por cobrar F001-00036</t>
  </si>
  <si>
    <t>Factura por cobrar F001-00037</t>
  </si>
  <si>
    <t xml:space="preserve">Letra por cobrar 001-00100 </t>
  </si>
  <si>
    <t xml:space="preserve">Facturas, boletas y otros comprobantes por cobrar </t>
  </si>
  <si>
    <t>Letras por cobrar</t>
  </si>
  <si>
    <t>Préstamos a accionistas</t>
  </si>
  <si>
    <t>Préstamo a accionistas</t>
  </si>
  <si>
    <t>Escritorios</t>
  </si>
  <si>
    <t>Silla ejecutiva - Depreciación</t>
  </si>
  <si>
    <t>Escritorios - Depreciación</t>
  </si>
  <si>
    <t>Motocicleta</t>
  </si>
  <si>
    <t>Motocicleta - Depreciación</t>
  </si>
  <si>
    <t>Administradoras de fondos de pensiones</t>
  </si>
  <si>
    <t>Recibo de agua por pagar</t>
  </si>
  <si>
    <t>Facturas, boletas y otros comprobantes por pagar</t>
  </si>
  <si>
    <t>Factura por mercaderías de almacén</t>
  </si>
  <si>
    <t xml:space="preserve">Préstamos de instituciones financieras y otras entidades </t>
  </si>
  <si>
    <t>Préstamo bancario a corto plazo</t>
  </si>
  <si>
    <t>Impuesto a la renta de tercera categoría</t>
  </si>
  <si>
    <t xml:space="preserve">Utilidad neta del año 2023 </t>
  </si>
  <si>
    <t>Unidades de transporte - Costo</t>
  </si>
  <si>
    <t>Unidades de transporte - Dep</t>
  </si>
  <si>
    <t xml:space="preserve">Laptop </t>
  </si>
  <si>
    <t>Sillas ejecutivas</t>
  </si>
  <si>
    <t>x/01 Por la cobranza de las ventas</t>
  </si>
  <si>
    <t>ID personal</t>
  </si>
  <si>
    <t>Nombres y apellidos 
colaborador</t>
  </si>
  <si>
    <t>Cargo</t>
  </si>
  <si>
    <t>Ingresos del trabajador</t>
  </si>
  <si>
    <t>Descuentos</t>
  </si>
  <si>
    <t>Neto a pagar</t>
  </si>
  <si>
    <t>Aportes</t>
  </si>
  <si>
    <t>Sueldo básico</t>
  </si>
  <si>
    <t>Asignación familiar</t>
  </si>
  <si>
    <t>Bonificaciones</t>
  </si>
  <si>
    <t>Otros ingresos</t>
  </si>
  <si>
    <t>Total ingresos</t>
  </si>
  <si>
    <t>ONP</t>
  </si>
  <si>
    <t>Rta 5ta</t>
  </si>
  <si>
    <t>Otros descuentos</t>
  </si>
  <si>
    <t>Total descuentos</t>
  </si>
  <si>
    <t>Es Salud</t>
  </si>
  <si>
    <t>EPS</t>
  </si>
  <si>
    <t>Senati</t>
  </si>
  <si>
    <t>Total aportes</t>
  </si>
  <si>
    <t>Cocinero 1</t>
  </si>
  <si>
    <t xml:space="preserve">Gratificaciones </t>
  </si>
  <si>
    <t>Remuneración computable</t>
  </si>
  <si>
    <t>Total ingreso mensual</t>
  </si>
  <si>
    <t>Gratificación Julio</t>
  </si>
  <si>
    <t>Vacaciones anuales</t>
  </si>
  <si>
    <t>Total remuneración computable</t>
  </si>
  <si>
    <t>Gratificación Diciembre</t>
  </si>
  <si>
    <t>Meses</t>
  </si>
  <si>
    <t>Anual</t>
  </si>
  <si>
    <t>Alquileres</t>
  </si>
  <si>
    <t>Agua</t>
  </si>
  <si>
    <t>Suministros</t>
  </si>
  <si>
    <t>Intereses por préstamos y otras obligaciones</t>
  </si>
  <si>
    <t>Sueldos y salarios</t>
  </si>
  <si>
    <t>Sueldos y salarios por pagar</t>
  </si>
  <si>
    <t>Seguros particulares de prestaciones de salud</t>
  </si>
  <si>
    <t>Renta de quinta categoría</t>
  </si>
  <si>
    <t>Instituciones privadas</t>
  </si>
  <si>
    <t>Enero</t>
  </si>
  <si>
    <t>Total CTS mensual</t>
  </si>
  <si>
    <t>Obligaciones financieras</t>
  </si>
  <si>
    <t>Gastos financieros</t>
  </si>
  <si>
    <t>Resultado del periodo - pérdida</t>
  </si>
  <si>
    <t>2. Venta de productos:</t>
  </si>
  <si>
    <t>3. Depreciación:</t>
  </si>
  <si>
    <t>4. Cargos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</si>
</sst>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?_-;_-@_-"/>
    <numFmt numFmtId="165" formatCode="_-* #,##0.0_-;\-* #,##0.0_-;_-* &quot;-&quot;?_-;_-@_-"/>
    <numFmt numFmtId="166" formatCode="_-* #,##0.000_-;\-* #,##0.000_-;_-* &quot;-&quot;???_-;_-@_-"/>
    <numFmt numFmtId="167" formatCode="_-* #,##0.00_-;\-* #,##0.00_-;_-* &quot;-&quot;???_-;_-@_-"/>
    <numFmt numFmtId="168" formatCode="_-* #,##0.0_-;\-* #,##0.0_-;_-* &quot;-&quot;??_-;_-@_-"/>
    <numFmt numFmtId="169" formatCode="_-* #,##0_-;\-* #,##0_-;_-* &quot;-&quot;??_-;_-@_-"/>
    <numFmt numFmtId="170" formatCode="#,##0.00_ ;[Red]\-#,##0.00\ "/>
    <numFmt numFmtId="171" formatCode="#,##0.000_ ;[Red]\-#,##0.0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3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0" fillId="3" borderId="4" xfId="0" applyNumberFormat="1" applyFill="1" applyBorder="1"/>
    <xf numFmtId="0" fontId="3" fillId="0" borderId="0" xfId="0" applyFont="1" applyAlignment="1">
      <alignment horizontal="right"/>
    </xf>
    <xf numFmtId="167" fontId="0" fillId="0" borderId="4" xfId="0" applyNumberFormat="1" applyBorder="1"/>
    <xf numFmtId="166" fontId="0" fillId="0" borderId="4" xfId="0" applyNumberFormat="1" applyBorder="1"/>
    <xf numFmtId="43" fontId="0" fillId="0" borderId="0" xfId="0" applyNumberFormat="1"/>
    <xf numFmtId="165" fontId="0" fillId="0" borderId="0" xfId="0" applyNumberFormat="1"/>
    <xf numFmtId="164" fontId="0" fillId="0" borderId="8" xfId="0" applyNumberFormat="1" applyBorder="1"/>
    <xf numFmtId="166" fontId="0" fillId="0" borderId="0" xfId="0" applyNumberFormat="1"/>
    <xf numFmtId="164" fontId="3" fillId="0" borderId="4" xfId="0" applyNumberFormat="1" applyFont="1" applyBorder="1"/>
    <xf numFmtId="0" fontId="5" fillId="0" borderId="0" xfId="0" applyFont="1" applyAlignment="1">
      <alignment horizontal="left"/>
    </xf>
    <xf numFmtId="164" fontId="3" fillId="3" borderId="2" xfId="0" applyNumberFormat="1" applyFont="1" applyFill="1" applyBorder="1"/>
    <xf numFmtId="164" fontId="0" fillId="3" borderId="0" xfId="0" applyNumberFormat="1" applyFill="1"/>
    <xf numFmtId="164" fontId="3" fillId="4" borderId="2" xfId="0" applyNumberFormat="1" applyFont="1" applyFill="1" applyBorder="1"/>
    <xf numFmtId="164" fontId="0" fillId="4" borderId="0" xfId="0" applyNumberFormat="1" applyFill="1"/>
    <xf numFmtId="164" fontId="0" fillId="4" borderId="4" xfId="0" applyNumberFormat="1" applyFill="1" applyBorder="1"/>
    <xf numFmtId="164" fontId="0" fillId="5" borderId="4" xfId="0" applyNumberFormat="1" applyFill="1" applyBorder="1"/>
    <xf numFmtId="167" fontId="0" fillId="0" borderId="0" xfId="0" applyNumberFormat="1"/>
    <xf numFmtId="168" fontId="0" fillId="0" borderId="4" xfId="1" applyNumberFormat="1" applyFont="1" applyBorder="1"/>
    <xf numFmtId="169" fontId="0" fillId="0" borderId="4" xfId="1" applyNumberFormat="1" applyFont="1" applyBorder="1"/>
    <xf numFmtId="9" fontId="0" fillId="0" borderId="4" xfId="2" applyFont="1" applyBorder="1"/>
    <xf numFmtId="43" fontId="0" fillId="0" borderId="0" xfId="1" applyFont="1"/>
    <xf numFmtId="168" fontId="3" fillId="0" borderId="0" xfId="1" applyNumberFormat="1" applyFont="1" applyBorder="1"/>
    <xf numFmtId="0" fontId="6" fillId="0" borderId="10" xfId="0" applyFont="1" applyBorder="1" applyAlignment="1">
      <alignment horizontal="center" vertical="center" wrapText="1"/>
    </xf>
    <xf numFmtId="0" fontId="0" fillId="0" borderId="10" xfId="0" applyBorder="1"/>
    <xf numFmtId="4" fontId="0" fillId="0" borderId="10" xfId="0" applyNumberFormat="1" applyBorder="1"/>
    <xf numFmtId="2" fontId="0" fillId="6" borderId="10" xfId="0" applyNumberFormat="1" applyFill="1" applyBorder="1"/>
    <xf numFmtId="170" fontId="0" fillId="0" borderId="10" xfId="0" applyNumberFormat="1" applyBorder="1"/>
    <xf numFmtId="43" fontId="0" fillId="0" borderId="10" xfId="1" applyFont="1" applyBorder="1"/>
    <xf numFmtId="2" fontId="0" fillId="0" borderId="10" xfId="0" applyNumberFormat="1" applyBorder="1"/>
    <xf numFmtId="14" fontId="0" fillId="0" borderId="10" xfId="0" applyNumberFormat="1" applyBorder="1"/>
    <xf numFmtId="171" fontId="0" fillId="0" borderId="10" xfId="0" applyNumberFormat="1" applyBorder="1"/>
    <xf numFmtId="0" fontId="3" fillId="0" borderId="10" xfId="0" applyFont="1" applyBorder="1"/>
    <xf numFmtId="170" fontId="3" fillId="0" borderId="10" xfId="0" applyNumberFormat="1" applyFont="1" applyBorder="1"/>
    <xf numFmtId="170" fontId="3" fillId="6" borderId="10" xfId="0" applyNumberFormat="1" applyFont="1" applyFill="1" applyBorder="1"/>
    <xf numFmtId="0" fontId="3" fillId="0" borderId="0" xfId="0" applyFont="1" applyAlignment="1">
      <alignment horizontal="left"/>
    </xf>
    <xf numFmtId="43" fontId="0" fillId="0" borderId="13" xfId="1" applyFont="1" applyBorder="1"/>
    <xf numFmtId="43" fontId="1" fillId="0" borderId="0" xfId="1" applyFont="1"/>
    <xf numFmtId="43" fontId="0" fillId="0" borderId="13" xfId="0" applyNumberFormat="1" applyBorder="1"/>
    <xf numFmtId="0" fontId="0" fillId="0" borderId="13" xfId="0" applyBorder="1"/>
    <xf numFmtId="43" fontId="3" fillId="0" borderId="0" xfId="0" applyNumberFormat="1" applyFont="1"/>
    <xf numFmtId="0" fontId="0" fillId="0" borderId="4" xfId="0" applyBorder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164" fontId="0" fillId="0" borderId="4" xfId="0" applyNumberFormat="1" applyFill="1" applyBorder="1"/>
    <xf numFmtId="164" fontId="0" fillId="0" borderId="0" xfId="0" applyNumberFormat="1" applyFill="1"/>
    <xf numFmtId="0" fontId="0" fillId="0" borderId="0" xfId="0" applyFill="1"/>
    <xf numFmtId="164" fontId="0" fillId="0" borderId="9" xfId="0" applyNumberForma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\Documents\Manuel\PUCP\Curso%20Contabilidad%20y%20Finanzas\2024-2\Evaluaciones\Parcial\Soluci&#243;n%20Parcial%202024-2%201910.xlsx" TargetMode="External"/><Relationship Id="rId1" Type="http://schemas.openxmlformats.org/officeDocument/2006/relationships/externalLinkPath" Target="/Users/chris/Documents/Manuel/PUCP/Curso%20Contabilidad%20y%20Finanzas/2024-2/Evaluaciones/Parcial/Soluci&#243;n%20Parcial%202024-2%2019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D) Asientos "/>
      <sheetName val="(A) RC"/>
      <sheetName val="(A) RV"/>
      <sheetName val="(B) Reporte AF"/>
      <sheetName val="(C) Reporte Planilla Nov"/>
      <sheetName val="(C) Reporte Planilla Dic"/>
      <sheetName val="(C) Cálculo BBSS (Opcional)"/>
    </sheetNames>
    <sheetDataSet>
      <sheetData sheetId="0"/>
      <sheetData sheetId="1"/>
      <sheetData sheetId="2"/>
      <sheetData sheetId="3"/>
      <sheetData sheetId="4">
        <row r="5">
          <cell r="D5">
            <v>4000</v>
          </cell>
        </row>
        <row r="15">
          <cell r="E15">
            <v>102.5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40D4-4F8F-4383-9F2B-09D1AE53675D}">
  <dimension ref="A1:AP243"/>
  <sheetViews>
    <sheetView showGridLines="0" tabSelected="1" zoomScale="80" zoomScaleNormal="80" workbookViewId="0">
      <pane ySplit="3" topLeftCell="A4" activePane="bottomLeft" state="frozen"/>
      <selection pane="bottomLeft" activeCell="D11" sqref="D11"/>
    </sheetView>
  </sheetViews>
  <sheetFormatPr baseColWidth="10" defaultColWidth="8.88671875" defaultRowHeight="14.4" x14ac:dyDescent="0.3"/>
  <cols>
    <col min="2" max="2" width="8.6640625" style="6" bestFit="1" customWidth="1"/>
    <col min="3" max="3" width="45.109375" bestFit="1" customWidth="1"/>
    <col min="4" max="8" width="11.44140625" customWidth="1"/>
    <col min="9" max="9" width="9.109375" customWidth="1"/>
    <col min="10" max="10" width="41.88671875" customWidth="1"/>
    <col min="11" max="14" width="9.109375" customWidth="1"/>
    <col min="15" max="15" width="10.5546875" customWidth="1"/>
    <col min="16" max="24" width="9.109375" customWidth="1"/>
    <col min="27" max="27" width="35.109375" bestFit="1" customWidth="1"/>
    <col min="30" max="30" width="28.44140625" bestFit="1" customWidth="1"/>
    <col min="33" max="33" width="8.6640625" style="6" bestFit="1" customWidth="1"/>
    <col min="34" max="34" width="45.109375" bestFit="1" customWidth="1"/>
    <col min="35" max="36" width="11.44140625" customWidth="1"/>
    <col min="38" max="38" width="37.109375" customWidth="1"/>
    <col min="41" max="41" width="28.44140625" bestFit="1" customWidth="1"/>
  </cols>
  <sheetData>
    <row r="1" spans="1:42" x14ac:dyDescent="0.3">
      <c r="B1" s="7" t="s">
        <v>206</v>
      </c>
      <c r="C1" s="3"/>
      <c r="D1" s="4"/>
      <c r="E1" s="4"/>
      <c r="F1" s="4"/>
      <c r="G1" s="4"/>
      <c r="H1" s="4"/>
      <c r="I1" s="7" t="s">
        <v>207</v>
      </c>
      <c r="J1" s="3"/>
      <c r="AA1" s="7" t="s">
        <v>208</v>
      </c>
      <c r="AG1" s="32" t="s">
        <v>89</v>
      </c>
      <c r="AH1" s="3"/>
      <c r="AI1" s="4"/>
      <c r="AJ1" s="4"/>
      <c r="AL1" s="7" t="s">
        <v>209</v>
      </c>
    </row>
    <row r="2" spans="1:42" x14ac:dyDescent="0.3">
      <c r="K2" s="65" t="s">
        <v>15</v>
      </c>
      <c r="L2" s="65"/>
      <c r="M2" s="65" t="s">
        <v>16</v>
      </c>
      <c r="N2" s="65"/>
      <c r="O2" s="65" t="s">
        <v>17</v>
      </c>
      <c r="P2" s="65"/>
      <c r="Q2" s="65" t="s">
        <v>58</v>
      </c>
      <c r="R2" s="65"/>
      <c r="S2" s="65" t="s">
        <v>18</v>
      </c>
      <c r="T2" s="65"/>
      <c r="U2" s="65" t="s">
        <v>20</v>
      </c>
      <c r="V2" s="65"/>
      <c r="W2" s="65" t="s">
        <v>19</v>
      </c>
      <c r="X2" s="65"/>
    </row>
    <row r="3" spans="1:42" ht="28.8" x14ac:dyDescent="0.3">
      <c r="A3" s="11" t="s">
        <v>95</v>
      </c>
      <c r="B3" s="11" t="s">
        <v>0</v>
      </c>
      <c r="C3" s="12" t="s">
        <v>1</v>
      </c>
      <c r="D3" s="13" t="s">
        <v>3</v>
      </c>
      <c r="E3" s="13" t="s">
        <v>4</v>
      </c>
      <c r="F3" s="13" t="s">
        <v>195</v>
      </c>
      <c r="G3" s="13" t="s">
        <v>194</v>
      </c>
      <c r="I3" s="11" t="s">
        <v>0</v>
      </c>
      <c r="J3" s="12" t="s">
        <v>1</v>
      </c>
      <c r="K3" s="14" t="s">
        <v>3</v>
      </c>
      <c r="L3" s="14" t="s">
        <v>4</v>
      </c>
      <c r="M3" s="14" t="s">
        <v>3</v>
      </c>
      <c r="N3" s="14" t="s">
        <v>4</v>
      </c>
      <c r="O3" s="14" t="s">
        <v>3</v>
      </c>
      <c r="P3" s="14" t="s">
        <v>4</v>
      </c>
      <c r="Q3" s="14" t="s">
        <v>3</v>
      </c>
      <c r="R3" s="14" t="s">
        <v>4</v>
      </c>
      <c r="S3" s="14" t="s">
        <v>3</v>
      </c>
      <c r="T3" s="14" t="s">
        <v>4</v>
      </c>
      <c r="U3" s="14" t="s">
        <v>3</v>
      </c>
      <c r="V3" s="14" t="s">
        <v>4</v>
      </c>
      <c r="W3" s="14" t="s">
        <v>3</v>
      </c>
      <c r="X3" s="14" t="s">
        <v>4</v>
      </c>
      <c r="AC3" s="2" t="s">
        <v>21</v>
      </c>
      <c r="AG3" s="11" t="s">
        <v>0</v>
      </c>
      <c r="AH3" s="12" t="s">
        <v>1</v>
      </c>
      <c r="AI3" s="13" t="s">
        <v>3</v>
      </c>
      <c r="AJ3" s="13" t="s">
        <v>4</v>
      </c>
      <c r="AN3" s="2" t="s">
        <v>21</v>
      </c>
    </row>
    <row r="4" spans="1:42" x14ac:dyDescent="0.3">
      <c r="AC4" s="6" t="s">
        <v>61</v>
      </c>
      <c r="AN4" s="6" t="s">
        <v>61</v>
      </c>
    </row>
    <row r="5" spans="1:42" x14ac:dyDescent="0.3">
      <c r="B5" s="17">
        <v>104</v>
      </c>
      <c r="C5" s="15" t="s">
        <v>217</v>
      </c>
      <c r="D5" s="69">
        <f>SUMIFS('Datos (Hoja de Trabajo)'!$H$4:$H$34,'Datos (Hoja de Trabajo)'!$J$4:$J$34,Solución!B5)</f>
        <v>15000</v>
      </c>
      <c r="E5" s="69">
        <f>SUMIFS('Datos (Hoja de Trabajo)'!$I$4:$I$34,'Datos (Hoja de Trabajo)'!$J$4:$J$34,Solución!B5)</f>
        <v>0</v>
      </c>
      <c r="F5" s="16"/>
      <c r="G5" s="16"/>
      <c r="I5" s="17">
        <v>104</v>
      </c>
      <c r="J5" s="15" t="s">
        <v>217</v>
      </c>
      <c r="K5" s="16">
        <f t="shared" ref="K5:K36" si="0">SUMIFS($D$5:$D$26,$B$5:$B$26,I5)</f>
        <v>15000</v>
      </c>
      <c r="L5" s="16">
        <f t="shared" ref="L5:L36" si="1">SUMIFS($E$5:$E$26,$B$5:$B$26,I5)</f>
        <v>0</v>
      </c>
      <c r="M5" s="16">
        <f>SUMIFS($D$29:$D$304,$B$29:$B$304,I5)</f>
        <v>41008.320000000007</v>
      </c>
      <c r="N5" s="16">
        <f>SUMIFS($E$29:$E$304,$B$29:$B$304,I5)</f>
        <v>20280.71875</v>
      </c>
      <c r="O5" s="16">
        <f t="shared" ref="O5" si="2">IF(K5-L5+M5-N5&gt;0,K5-L5+M5-N5,0)</f>
        <v>35727.601250000007</v>
      </c>
      <c r="P5" s="16">
        <f t="shared" ref="P5" si="3">IF(L5-K5+N5-M5&gt;0,L5-K5+N5-M5,0)</f>
        <v>0</v>
      </c>
      <c r="Q5" s="16"/>
      <c r="R5" s="16"/>
      <c r="S5" s="16">
        <f t="shared" ref="S5" si="4">IF(O5-P5+Q5-R5&gt;0,O5-P5+Q5-R5,0)</f>
        <v>35727.601250000007</v>
      </c>
      <c r="T5" s="16">
        <f t="shared" ref="T5" si="5">IF(P5-O5+R5-Q5&gt;0,P5-O5+R5-Q5,0)</f>
        <v>0</v>
      </c>
      <c r="U5" s="16"/>
      <c r="V5" s="16"/>
      <c r="W5" s="16"/>
      <c r="X5" s="16"/>
      <c r="AC5" s="6" t="s">
        <v>60</v>
      </c>
      <c r="AG5" s="17">
        <v>62</v>
      </c>
      <c r="AH5" s="15" t="s">
        <v>83</v>
      </c>
      <c r="AI5" s="16">
        <v>0</v>
      </c>
      <c r="AJ5" s="16"/>
      <c r="AN5" s="6" t="s">
        <v>60</v>
      </c>
    </row>
    <row r="6" spans="1:42" x14ac:dyDescent="0.3">
      <c r="B6" s="17">
        <v>106</v>
      </c>
      <c r="C6" s="15" t="s">
        <v>218</v>
      </c>
      <c r="D6" s="69">
        <f>SUMIFS('Datos (Hoja de Trabajo)'!$H$4:$H$34,'Datos (Hoja de Trabajo)'!$J$4:$J$34,Solución!B6)</f>
        <v>32000</v>
      </c>
      <c r="E6" s="69">
        <f>SUMIFS('Datos (Hoja de Trabajo)'!$I$4:$I$34,'Datos (Hoja de Trabajo)'!$J$4:$J$34,Solución!B6)</f>
        <v>0</v>
      </c>
      <c r="F6" s="16">
        <f>'Datos (Hoja de Trabajo)'!F5</f>
        <v>0</v>
      </c>
      <c r="G6" s="16"/>
      <c r="I6" s="17">
        <v>106</v>
      </c>
      <c r="J6" s="15" t="s">
        <v>218</v>
      </c>
      <c r="K6" s="16">
        <f t="shared" si="0"/>
        <v>32000</v>
      </c>
      <c r="L6" s="16">
        <f t="shared" si="1"/>
        <v>0</v>
      </c>
      <c r="M6" s="16">
        <f>SUMIFS($D$29:$D$304,$B$29:$B$304,I6)</f>
        <v>0</v>
      </c>
      <c r="N6" s="16">
        <f>SUMIFS($E$29:$E$304,$B$29:$B$304,I6)</f>
        <v>0</v>
      </c>
      <c r="O6" s="16">
        <f t="shared" ref="O6:O58" si="6">IF(K6-L6+M6-N6&gt;0,K6-L6+M6-N6,0)</f>
        <v>32000</v>
      </c>
      <c r="P6" s="16">
        <f t="shared" ref="P6:P58" si="7">IF(L6-K6+N6-M6&gt;0,L6-K6+N6-M6,0)</f>
        <v>0</v>
      </c>
      <c r="Q6" s="16"/>
      <c r="R6" s="16"/>
      <c r="S6" s="16">
        <f t="shared" ref="S6:S33" si="8">IF(O6-P6+Q6-R6&gt;0,O6-P6+Q6-R6,0)</f>
        <v>32000</v>
      </c>
      <c r="T6" s="16">
        <f t="shared" ref="T6:T33" si="9">IF(P6-O6+R6-Q6&gt;0,P6-O6+R6-Q6,0)</f>
        <v>0</v>
      </c>
      <c r="U6" s="16"/>
      <c r="V6" s="16"/>
      <c r="W6" s="16"/>
      <c r="X6" s="16"/>
      <c r="AG6" s="17">
        <v>411</v>
      </c>
      <c r="AH6" s="15" t="s">
        <v>83</v>
      </c>
      <c r="AI6" s="16"/>
      <c r="AJ6" s="16">
        <f>AI5</f>
        <v>0</v>
      </c>
    </row>
    <row r="7" spans="1:42" x14ac:dyDescent="0.3">
      <c r="B7" s="17">
        <v>121</v>
      </c>
      <c r="C7" s="15" t="s">
        <v>223</v>
      </c>
      <c r="D7" s="69">
        <f>SUMIFS('Datos (Hoja de Trabajo)'!$H$4:$H$34,'Datos (Hoja de Trabajo)'!$J$4:$J$34,Solución!B7)</f>
        <v>16200</v>
      </c>
      <c r="E7" s="69">
        <f>SUMIFS('Datos (Hoja de Trabajo)'!$I$4:$I$34,'Datos (Hoja de Trabajo)'!$J$4:$J$34,Solución!B7)</f>
        <v>0</v>
      </c>
      <c r="F7" s="16"/>
      <c r="G7" s="16"/>
      <c r="I7" s="17">
        <v>121</v>
      </c>
      <c r="J7" s="15" t="s">
        <v>223</v>
      </c>
      <c r="K7" s="16">
        <f t="shared" si="0"/>
        <v>16200</v>
      </c>
      <c r="L7" s="16">
        <f t="shared" si="1"/>
        <v>0</v>
      </c>
      <c r="M7" s="16">
        <f>SUMIFS($D$29:$D$304,$B$29:$B$304,I7)</f>
        <v>31010.400000000001</v>
      </c>
      <c r="N7" s="16">
        <f>SUMIFS($E$29:$E$304,$B$29:$B$304,I7)</f>
        <v>41008.320000000007</v>
      </c>
      <c r="O7" s="16">
        <f t="shared" si="6"/>
        <v>6202.0799999999945</v>
      </c>
      <c r="P7" s="16">
        <f t="shared" si="7"/>
        <v>0</v>
      </c>
      <c r="Q7" s="16"/>
      <c r="R7" s="16"/>
      <c r="S7" s="16">
        <f t="shared" si="8"/>
        <v>6202.0799999999945</v>
      </c>
      <c r="T7" s="16">
        <f t="shared" si="9"/>
        <v>0</v>
      </c>
      <c r="U7" s="16"/>
      <c r="V7" s="16"/>
      <c r="W7" s="16"/>
      <c r="X7" s="16"/>
      <c r="AG7" s="18" t="s">
        <v>85</v>
      </c>
      <c r="AH7" s="15"/>
      <c r="AI7" s="16"/>
      <c r="AJ7" s="16"/>
    </row>
    <row r="8" spans="1:42" x14ac:dyDescent="0.3">
      <c r="B8" s="17">
        <v>123</v>
      </c>
      <c r="C8" s="15" t="s">
        <v>224</v>
      </c>
      <c r="D8" s="69">
        <f>SUMIFS('Datos (Hoja de Trabajo)'!$H$4:$H$34,'Datos (Hoja de Trabajo)'!$J$4:$J$34,Solución!B8)</f>
        <v>10000</v>
      </c>
      <c r="E8" s="69">
        <f>SUMIFS('Datos (Hoja de Trabajo)'!$I$4:$I$34,'Datos (Hoja de Trabajo)'!$J$4:$J$34,Solución!B8)</f>
        <v>0</v>
      </c>
      <c r="F8" s="16"/>
      <c r="G8" s="16"/>
      <c r="I8" s="17">
        <v>123</v>
      </c>
      <c r="J8" s="15" t="s">
        <v>224</v>
      </c>
      <c r="K8" s="16">
        <f t="shared" si="0"/>
        <v>10000</v>
      </c>
      <c r="L8" s="16">
        <f t="shared" si="1"/>
        <v>0</v>
      </c>
      <c r="M8" s="16">
        <f>SUMIFS($D$29:$D$304,$B$29:$B$304,I8)</f>
        <v>0</v>
      </c>
      <c r="N8" s="16">
        <f>SUMIFS($E$29:$E$304,$B$29:$B$304,I8)</f>
        <v>0</v>
      </c>
      <c r="O8" s="16">
        <f t="shared" si="6"/>
        <v>10000</v>
      </c>
      <c r="P8" s="16">
        <f t="shared" si="7"/>
        <v>0</v>
      </c>
      <c r="Q8" s="16"/>
      <c r="R8" s="16"/>
      <c r="S8" s="16">
        <f t="shared" si="8"/>
        <v>10000</v>
      </c>
      <c r="T8" s="16">
        <f t="shared" si="9"/>
        <v>0</v>
      </c>
      <c r="U8" s="16"/>
      <c r="V8" s="16"/>
      <c r="W8" s="16"/>
      <c r="X8" s="16"/>
      <c r="AA8" s="7" t="s">
        <v>22</v>
      </c>
      <c r="AB8" s="7"/>
      <c r="AC8" s="7"/>
      <c r="AD8" s="7" t="s">
        <v>31</v>
      </c>
      <c r="AG8" t="s">
        <v>202</v>
      </c>
      <c r="AL8" s="7" t="s">
        <v>22</v>
      </c>
      <c r="AM8" s="7"/>
      <c r="AN8" s="7"/>
      <c r="AO8" s="7" t="s">
        <v>31</v>
      </c>
    </row>
    <row r="9" spans="1:42" x14ac:dyDescent="0.3">
      <c r="B9" s="17">
        <v>142</v>
      </c>
      <c r="C9" s="15" t="s">
        <v>225</v>
      </c>
      <c r="D9" s="69">
        <f>SUMIFS('Datos (Hoja de Trabajo)'!$H$4:$H$34,'Datos (Hoja de Trabajo)'!$J$4:$J$34,Solución!B9)</f>
        <v>5000</v>
      </c>
      <c r="E9" s="69">
        <f>SUMIFS('Datos (Hoja de Trabajo)'!$I$4:$I$34,'Datos (Hoja de Trabajo)'!$J$4:$J$34,Solución!B9)</f>
        <v>0</v>
      </c>
      <c r="F9" s="16"/>
      <c r="G9" s="16"/>
      <c r="I9" s="17">
        <v>142</v>
      </c>
      <c r="J9" s="15" t="s">
        <v>225</v>
      </c>
      <c r="K9" s="16">
        <f t="shared" si="0"/>
        <v>5000</v>
      </c>
      <c r="L9" s="16">
        <f t="shared" si="1"/>
        <v>0</v>
      </c>
      <c r="M9" s="16"/>
      <c r="N9" s="16"/>
      <c r="O9" s="16">
        <f t="shared" ref="O9" si="10">IF(K9-L9+M9-N9&gt;0,K9-L9+M9-N9,0)</f>
        <v>5000</v>
      </c>
      <c r="P9" s="16">
        <f t="shared" ref="P9" si="11">IF(L9-K9+N9-M9&gt;0,L9-K9+N9-M9,0)</f>
        <v>0</v>
      </c>
      <c r="Q9" s="16"/>
      <c r="R9" s="16"/>
      <c r="S9" s="16">
        <f t="shared" ref="S9" si="12">IF(O9-P9+Q9-R9&gt;0,O9-P9+Q9-R9,0)</f>
        <v>5000</v>
      </c>
      <c r="T9" s="16">
        <f t="shared" ref="T9" si="13">IF(P9-O9+R9-Q9&gt;0,P9-O9+R9-Q9,0)</f>
        <v>0</v>
      </c>
      <c r="U9" s="16"/>
      <c r="V9" s="16"/>
      <c r="W9" s="16"/>
      <c r="X9" s="16"/>
      <c r="AA9" s="7"/>
      <c r="AB9" s="7"/>
      <c r="AC9" s="7"/>
      <c r="AD9" s="7"/>
      <c r="AG9"/>
      <c r="AL9" s="7"/>
      <c r="AM9" s="7"/>
      <c r="AN9" s="7"/>
      <c r="AO9" s="7"/>
    </row>
    <row r="10" spans="1:42" x14ac:dyDescent="0.3">
      <c r="B10" s="17">
        <v>201</v>
      </c>
      <c r="C10" s="15" t="s">
        <v>6</v>
      </c>
      <c r="D10" s="69">
        <f>SUMIFS('Datos (Hoja de Trabajo)'!$H$4:$H$34,'Datos (Hoja de Trabajo)'!$J$4:$J$34,Solución!B10)</f>
        <v>9800</v>
      </c>
      <c r="E10" s="69">
        <f>SUMIFS('Datos (Hoja de Trabajo)'!$I$4:$I$34,'Datos (Hoja de Trabajo)'!$J$4:$J$34,Solución!B10)</f>
        <v>0</v>
      </c>
      <c r="F10" s="16"/>
      <c r="G10" s="16"/>
      <c r="I10" s="17">
        <v>182</v>
      </c>
      <c r="J10" s="15" t="s">
        <v>157</v>
      </c>
      <c r="K10" s="16">
        <f t="shared" si="0"/>
        <v>0</v>
      </c>
      <c r="L10" s="16">
        <f t="shared" si="1"/>
        <v>0</v>
      </c>
      <c r="M10" s="16">
        <f t="shared" ref="M10:M30" si="14">SUMIFS($D$29:$D$304,$B$29:$B$304,I10)</f>
        <v>1200</v>
      </c>
      <c r="N10" s="16">
        <f t="shared" ref="N10:N30" si="15">SUMIFS($E$29:$E$304,$B$29:$B$304,I10)</f>
        <v>200</v>
      </c>
      <c r="O10" s="16">
        <f t="shared" si="6"/>
        <v>1000</v>
      </c>
      <c r="P10" s="16">
        <f t="shared" si="7"/>
        <v>0</v>
      </c>
      <c r="Q10" s="16"/>
      <c r="R10" s="16"/>
      <c r="S10" s="16">
        <f t="shared" si="8"/>
        <v>1000</v>
      </c>
      <c r="T10" s="16">
        <f t="shared" si="9"/>
        <v>0</v>
      </c>
      <c r="U10" s="16"/>
      <c r="V10" s="16"/>
      <c r="W10" s="16"/>
      <c r="X10" s="16"/>
      <c r="AA10" s="1" t="s">
        <v>23</v>
      </c>
      <c r="AB10" s="1"/>
      <c r="AC10" s="1"/>
      <c r="AD10" s="1" t="s">
        <v>32</v>
      </c>
      <c r="AG10"/>
      <c r="AL10" s="1" t="s">
        <v>23</v>
      </c>
      <c r="AM10" s="1"/>
      <c r="AN10" s="1"/>
      <c r="AO10" s="1" t="s">
        <v>32</v>
      </c>
    </row>
    <row r="11" spans="1:42" x14ac:dyDescent="0.3">
      <c r="B11" s="17">
        <v>334</v>
      </c>
      <c r="C11" s="15" t="s">
        <v>240</v>
      </c>
      <c r="D11" s="69">
        <f>SUMIFS('Datos (Hoja de Trabajo)'!$H$4:$H$34,'Datos (Hoja de Trabajo)'!$J$4:$J$34,Solución!B11)</f>
        <v>12000</v>
      </c>
      <c r="E11" s="69">
        <f>SUMIFS('Datos (Hoja de Trabajo)'!$I$4:$I$34,'Datos (Hoja de Trabajo)'!$J$4:$J$34,Solución!B11)</f>
        <v>0</v>
      </c>
      <c r="F11" s="16"/>
      <c r="G11" s="16"/>
      <c r="I11" s="17">
        <v>201</v>
      </c>
      <c r="J11" s="15" t="s">
        <v>6</v>
      </c>
      <c r="K11" s="16">
        <f t="shared" si="0"/>
        <v>9800</v>
      </c>
      <c r="L11" s="16">
        <f t="shared" si="1"/>
        <v>0</v>
      </c>
      <c r="M11" s="16">
        <f t="shared" si="14"/>
        <v>7200</v>
      </c>
      <c r="N11" s="16">
        <f t="shared" si="15"/>
        <v>11180</v>
      </c>
      <c r="O11" s="16">
        <f t="shared" si="6"/>
        <v>5820</v>
      </c>
      <c r="P11" s="16">
        <f t="shared" si="7"/>
        <v>0</v>
      </c>
      <c r="Q11" s="16"/>
      <c r="R11" s="16"/>
      <c r="S11" s="16">
        <f t="shared" si="8"/>
        <v>5820</v>
      </c>
      <c r="T11" s="16">
        <f t="shared" si="9"/>
        <v>0</v>
      </c>
      <c r="U11" s="16"/>
      <c r="V11" s="16"/>
      <c r="W11" s="16"/>
      <c r="X11" s="16"/>
      <c r="AA11" t="s">
        <v>5</v>
      </c>
      <c r="AB11" s="5">
        <f>S5+S6</f>
        <v>67727.601250000007</v>
      </c>
      <c r="AD11" t="s">
        <v>9</v>
      </c>
      <c r="AE11" s="5">
        <f>T29</f>
        <v>22502</v>
      </c>
      <c r="AG11" s="17">
        <v>881</v>
      </c>
      <c r="AH11" s="15" t="s">
        <v>7</v>
      </c>
      <c r="AI11" s="16"/>
      <c r="AJ11" s="16"/>
      <c r="AL11" t="s">
        <v>5</v>
      </c>
      <c r="AM11" s="5">
        <f>AB11</f>
        <v>67727.601250000007</v>
      </c>
      <c r="AO11" t="s">
        <v>9</v>
      </c>
      <c r="AP11" s="5">
        <f>AE11</f>
        <v>22502</v>
      </c>
    </row>
    <row r="12" spans="1:42" x14ac:dyDescent="0.3">
      <c r="B12" s="17">
        <v>335</v>
      </c>
      <c r="C12" s="15" t="s">
        <v>120</v>
      </c>
      <c r="D12" s="69">
        <f>SUMIFS('Datos (Hoja de Trabajo)'!$H$4:$H$34,'Datos (Hoja de Trabajo)'!$J$4:$J$34,Solución!B12)</f>
        <v>4500</v>
      </c>
      <c r="E12" s="69">
        <f>SUMIFS('Datos (Hoja de Trabajo)'!$I$4:$I$34,'Datos (Hoja de Trabajo)'!$J$4:$J$34,Solución!B12)</f>
        <v>0</v>
      </c>
      <c r="F12" s="16"/>
      <c r="G12" s="16"/>
      <c r="I12" s="17">
        <v>334</v>
      </c>
      <c r="J12" s="15" t="s">
        <v>240</v>
      </c>
      <c r="K12" s="16">
        <f t="shared" si="0"/>
        <v>12000</v>
      </c>
      <c r="L12" s="16">
        <f t="shared" si="1"/>
        <v>0</v>
      </c>
      <c r="M12" s="16">
        <f t="shared" si="14"/>
        <v>0</v>
      </c>
      <c r="N12" s="16">
        <f t="shared" si="15"/>
        <v>0</v>
      </c>
      <c r="O12" s="16">
        <f t="shared" si="6"/>
        <v>12000</v>
      </c>
      <c r="P12" s="16">
        <f t="shared" si="7"/>
        <v>0</v>
      </c>
      <c r="Q12" s="16"/>
      <c r="R12" s="16"/>
      <c r="S12" s="16">
        <f t="shared" si="8"/>
        <v>12000</v>
      </c>
      <c r="T12" s="16">
        <f t="shared" si="9"/>
        <v>0</v>
      </c>
      <c r="U12" s="16"/>
      <c r="V12" s="16"/>
      <c r="W12" s="16"/>
      <c r="X12" s="16"/>
      <c r="AA12" t="s">
        <v>24</v>
      </c>
      <c r="AB12" s="5">
        <f>S7+S8</f>
        <v>16202.079999999994</v>
      </c>
      <c r="AD12" t="s">
        <v>33</v>
      </c>
      <c r="AE12" s="5">
        <f>T21+T22+T25+T26+T27+T28+T31+T20+T24+T16</f>
        <v>20393.885416666668</v>
      </c>
      <c r="AG12" s="17">
        <v>4017</v>
      </c>
      <c r="AH12" s="15" t="s">
        <v>7</v>
      </c>
      <c r="AI12" s="16"/>
      <c r="AJ12" s="16">
        <f>AI11</f>
        <v>0</v>
      </c>
      <c r="AL12" t="s">
        <v>24</v>
      </c>
      <c r="AM12" s="5">
        <f t="shared" ref="AM12:AM18" si="16">AB12</f>
        <v>16202.079999999994</v>
      </c>
      <c r="AO12" t="s">
        <v>33</v>
      </c>
      <c r="AP12" s="36">
        <f>AE12+AJ12</f>
        <v>20393.885416666668</v>
      </c>
    </row>
    <row r="13" spans="1:42" ht="15" thickBot="1" x14ac:dyDescent="0.35">
      <c r="B13" s="17">
        <v>336</v>
      </c>
      <c r="C13" s="15" t="s">
        <v>119</v>
      </c>
      <c r="D13" s="69">
        <f>SUMIFS('Datos (Hoja de Trabajo)'!$H$4:$H$34,'Datos (Hoja de Trabajo)'!$J$4:$J$34,Solución!B13)</f>
        <v>4000</v>
      </c>
      <c r="E13" s="69">
        <f>SUMIFS('Datos (Hoja de Trabajo)'!$I$4:$I$34,'Datos (Hoja de Trabajo)'!$J$4:$J$34,Solución!B13)</f>
        <v>0</v>
      </c>
      <c r="F13" s="16"/>
      <c r="G13" s="16"/>
      <c r="I13" s="17">
        <v>335</v>
      </c>
      <c r="J13" s="15" t="s">
        <v>120</v>
      </c>
      <c r="K13" s="16">
        <f t="shared" si="0"/>
        <v>4500</v>
      </c>
      <c r="L13" s="16">
        <f t="shared" si="1"/>
        <v>0</v>
      </c>
      <c r="M13" s="16">
        <f t="shared" si="14"/>
        <v>0</v>
      </c>
      <c r="N13" s="16">
        <f t="shared" si="15"/>
        <v>0</v>
      </c>
      <c r="O13" s="16">
        <f t="shared" ref="O13" si="17">IF(K13-L13+M13-N13&gt;0,K13-L13+M13-N13,0)</f>
        <v>4500</v>
      </c>
      <c r="P13" s="16">
        <f t="shared" ref="P13" si="18">IF(L13-K13+N13-M13&gt;0,L13-K13+N13-M13,0)</f>
        <v>0</v>
      </c>
      <c r="Q13" s="16"/>
      <c r="R13" s="16"/>
      <c r="S13" s="16">
        <f t="shared" ref="S13" si="19">IF(O13-P13+Q13-R13&gt;0,O13-P13+Q13-R13,0)</f>
        <v>4500</v>
      </c>
      <c r="T13" s="16">
        <f t="shared" ref="T13" si="20">IF(P13-O13+R13-Q13&gt;0,P13-O13+R13-Q13,0)</f>
        <v>0</v>
      </c>
      <c r="U13" s="16"/>
      <c r="V13" s="16"/>
      <c r="W13" s="16"/>
      <c r="X13" s="16"/>
      <c r="AB13" s="5"/>
      <c r="AD13" t="s">
        <v>286</v>
      </c>
      <c r="AE13" s="5">
        <f>T30</f>
        <v>30300</v>
      </c>
      <c r="AG13" s="17"/>
      <c r="AH13" s="15"/>
      <c r="AI13" s="16"/>
      <c r="AJ13" s="16"/>
      <c r="AM13" s="5"/>
      <c r="AO13" t="s">
        <v>286</v>
      </c>
      <c r="AP13" s="5">
        <f>AE13</f>
        <v>30300</v>
      </c>
    </row>
    <row r="14" spans="1:42" x14ac:dyDescent="0.3">
      <c r="B14" s="17">
        <v>39525</v>
      </c>
      <c r="C14" s="15" t="s">
        <v>241</v>
      </c>
      <c r="D14" s="69">
        <f>SUMIFS('Datos (Hoja de Trabajo)'!$H$4:$H$34,'Datos (Hoja de Trabajo)'!$J$4:$J$34,Solución!B14)</f>
        <v>0</v>
      </c>
      <c r="E14" s="69">
        <f>SUMIFS('Datos (Hoja de Trabajo)'!$I$4:$I$34,'Datos (Hoja de Trabajo)'!$J$4:$J$34,Solución!B14)</f>
        <v>2400</v>
      </c>
      <c r="F14" s="16"/>
      <c r="G14" s="16"/>
      <c r="I14" s="17">
        <v>336</v>
      </c>
      <c r="J14" s="15" t="s">
        <v>119</v>
      </c>
      <c r="K14" s="16">
        <f t="shared" si="0"/>
        <v>4000</v>
      </c>
      <c r="L14" s="16">
        <f t="shared" si="1"/>
        <v>0</v>
      </c>
      <c r="M14" s="16">
        <f t="shared" si="14"/>
        <v>0</v>
      </c>
      <c r="N14" s="16">
        <f t="shared" si="15"/>
        <v>0</v>
      </c>
      <c r="O14" s="16">
        <f t="shared" si="6"/>
        <v>4000</v>
      </c>
      <c r="P14" s="16">
        <f t="shared" si="7"/>
        <v>0</v>
      </c>
      <c r="Q14" s="16"/>
      <c r="R14" s="16"/>
      <c r="S14" s="16">
        <f t="shared" si="8"/>
        <v>4000</v>
      </c>
      <c r="T14" s="16">
        <f t="shared" si="9"/>
        <v>0</v>
      </c>
      <c r="U14" s="16"/>
      <c r="V14" s="16"/>
      <c r="W14" s="16"/>
      <c r="X14" s="16"/>
      <c r="AA14" t="s">
        <v>198</v>
      </c>
      <c r="AB14" s="5">
        <f>S9</f>
        <v>5000</v>
      </c>
      <c r="AD14" s="1" t="s">
        <v>34</v>
      </c>
      <c r="AE14" s="9">
        <f>SUM(AE11:AE13)</f>
        <v>73195.885416666672</v>
      </c>
      <c r="AG14" s="18" t="s">
        <v>82</v>
      </c>
      <c r="AH14" s="15"/>
      <c r="AI14" s="16"/>
      <c r="AJ14" s="16"/>
      <c r="AL14" t="s">
        <v>198</v>
      </c>
      <c r="AM14" s="5">
        <f t="shared" si="16"/>
        <v>5000</v>
      </c>
      <c r="AO14" s="1" t="s">
        <v>34</v>
      </c>
      <c r="AP14" s="9">
        <f>SUM(AP11:AP13)</f>
        <v>73195.885416666672</v>
      </c>
    </row>
    <row r="15" spans="1:42" x14ac:dyDescent="0.3">
      <c r="B15" s="17">
        <v>39526</v>
      </c>
      <c r="C15" s="15" t="s">
        <v>122</v>
      </c>
      <c r="D15" s="69">
        <f>SUMIFS('Datos (Hoja de Trabajo)'!$H$4:$H$34,'Datos (Hoja de Trabajo)'!$J$4:$J$34,Solución!B15)</f>
        <v>0</v>
      </c>
      <c r="E15" s="69">
        <f>SUMIFS('Datos (Hoja de Trabajo)'!$I$4:$I$34,'Datos (Hoja de Trabajo)'!$J$4:$J$34,Solución!B15)</f>
        <v>450</v>
      </c>
      <c r="F15" s="16"/>
      <c r="G15" s="16"/>
      <c r="I15" s="17">
        <v>33611</v>
      </c>
      <c r="J15" s="15" t="s">
        <v>103</v>
      </c>
      <c r="K15" s="16">
        <f t="shared" si="0"/>
        <v>0</v>
      </c>
      <c r="L15" s="16">
        <f t="shared" si="1"/>
        <v>0</v>
      </c>
      <c r="M15" s="16">
        <f t="shared" si="14"/>
        <v>0</v>
      </c>
      <c r="N15" s="16">
        <f t="shared" si="15"/>
        <v>0</v>
      </c>
      <c r="O15" s="16">
        <f t="shared" si="6"/>
        <v>0</v>
      </c>
      <c r="P15" s="16">
        <f t="shared" si="7"/>
        <v>0</v>
      </c>
      <c r="Q15" s="16"/>
      <c r="R15" s="16"/>
      <c r="S15" s="16">
        <f t="shared" si="8"/>
        <v>0</v>
      </c>
      <c r="T15" s="16">
        <f t="shared" si="9"/>
        <v>0</v>
      </c>
      <c r="U15" s="16"/>
      <c r="V15" s="16"/>
      <c r="W15" s="16"/>
      <c r="X15" s="16"/>
      <c r="AA15" t="s">
        <v>25</v>
      </c>
      <c r="AB15" s="5">
        <f>S11</f>
        <v>5820</v>
      </c>
      <c r="AG15"/>
      <c r="AL15" t="s">
        <v>25</v>
      </c>
      <c r="AM15" s="5">
        <f t="shared" si="16"/>
        <v>5820</v>
      </c>
    </row>
    <row r="16" spans="1:42" ht="15" thickBot="1" x14ac:dyDescent="0.35">
      <c r="B16" s="17">
        <v>39527</v>
      </c>
      <c r="C16" s="15" t="s">
        <v>121</v>
      </c>
      <c r="D16" s="69">
        <f>SUMIFS('Datos (Hoja de Trabajo)'!$H$4:$H$34,'Datos (Hoja de Trabajo)'!$J$4:$J$34,Solución!B16)</f>
        <v>0</v>
      </c>
      <c r="E16" s="69">
        <f>SUMIFS('Datos (Hoja de Trabajo)'!$I$4:$I$34,'Datos (Hoja de Trabajo)'!$J$4:$J$34,Solución!B16)</f>
        <v>1000</v>
      </c>
      <c r="F16" s="16"/>
      <c r="G16" s="16"/>
      <c r="I16" s="17">
        <v>40173</v>
      </c>
      <c r="J16" s="15" t="s">
        <v>282</v>
      </c>
      <c r="K16" s="16">
        <f t="shared" si="0"/>
        <v>0</v>
      </c>
      <c r="L16" s="16">
        <f t="shared" si="1"/>
        <v>0</v>
      </c>
      <c r="M16" s="16">
        <f t="shared" si="14"/>
        <v>0</v>
      </c>
      <c r="N16" s="16">
        <f t="shared" si="15"/>
        <v>328.2</v>
      </c>
      <c r="O16" s="16">
        <f t="shared" ref="O16" si="21">IF(K16-L16+M16-N16&gt;0,K16-L16+M16-N16,0)</f>
        <v>0</v>
      </c>
      <c r="P16" s="16">
        <f t="shared" ref="P16" si="22">IF(L16-K16+N16-M16&gt;0,L16-K16+N16-M16,0)</f>
        <v>328.2</v>
      </c>
      <c r="Q16" s="16"/>
      <c r="R16" s="16"/>
      <c r="S16" s="16">
        <f t="shared" ref="S16" si="23">IF(O16-P16+Q16-R16&gt;0,O16-P16+Q16-R16,0)</f>
        <v>0</v>
      </c>
      <c r="T16" s="16">
        <f t="shared" ref="T16" si="24">IF(P16-O16+R16-Q16&gt;0,P16-O16+R16-Q16,0)</f>
        <v>328.2</v>
      </c>
      <c r="U16" s="16"/>
      <c r="V16" s="16"/>
      <c r="W16" s="16"/>
      <c r="X16" s="16"/>
      <c r="AB16" s="5"/>
      <c r="AG16"/>
      <c r="AM16" s="5"/>
    </row>
    <row r="17" spans="1:42" x14ac:dyDescent="0.3">
      <c r="B17" s="17">
        <v>4011</v>
      </c>
      <c r="C17" s="15" t="s">
        <v>123</v>
      </c>
      <c r="D17" s="69">
        <f>SUMIFS('Datos (Hoja de Trabajo)'!$H$4:$H$34,'Datos (Hoja de Trabajo)'!$J$4:$J$34,Solución!B17)</f>
        <v>0</v>
      </c>
      <c r="E17" s="69">
        <f>SUMIFS('Datos (Hoja de Trabajo)'!$I$4:$I$34,'Datos (Hoja de Trabajo)'!$J$4:$J$34,Solución!B17)</f>
        <v>5200</v>
      </c>
      <c r="F17" s="16"/>
      <c r="G17" s="16"/>
      <c r="I17" s="17">
        <v>39525</v>
      </c>
      <c r="J17" s="15" t="s">
        <v>241</v>
      </c>
      <c r="K17" s="16">
        <f t="shared" si="0"/>
        <v>0</v>
      </c>
      <c r="L17" s="16">
        <f t="shared" si="1"/>
        <v>2400</v>
      </c>
      <c r="M17" s="16">
        <f t="shared" si="14"/>
        <v>0</v>
      </c>
      <c r="N17" s="16">
        <f t="shared" si="15"/>
        <v>200</v>
      </c>
      <c r="O17" s="16">
        <f t="shared" si="6"/>
        <v>0</v>
      </c>
      <c r="P17" s="16">
        <f t="shared" si="7"/>
        <v>2600</v>
      </c>
      <c r="Q17" s="16"/>
      <c r="R17" s="16"/>
      <c r="S17" s="16">
        <f t="shared" si="8"/>
        <v>0</v>
      </c>
      <c r="T17" s="16">
        <f t="shared" si="9"/>
        <v>2600</v>
      </c>
      <c r="U17" s="16"/>
      <c r="V17" s="16"/>
      <c r="W17" s="16"/>
      <c r="X17" s="16"/>
      <c r="AA17" t="s">
        <v>200</v>
      </c>
      <c r="AB17" s="5">
        <f>S20</f>
        <v>0</v>
      </c>
      <c r="AD17" s="1" t="s">
        <v>35</v>
      </c>
      <c r="AE17" s="9">
        <f>AE14</f>
        <v>73195.885416666672</v>
      </c>
      <c r="AG17" s="17">
        <v>94</v>
      </c>
      <c r="AH17" s="15" t="s">
        <v>151</v>
      </c>
      <c r="AI17" s="16"/>
      <c r="AJ17" s="16">
        <f>R57</f>
        <v>7058.6020833333332</v>
      </c>
      <c r="AL17" t="s">
        <v>200</v>
      </c>
      <c r="AM17" s="5">
        <f t="shared" si="16"/>
        <v>0</v>
      </c>
      <c r="AO17" s="1" t="s">
        <v>35</v>
      </c>
      <c r="AP17" s="9">
        <f>AP14</f>
        <v>73195.885416666672</v>
      </c>
    </row>
    <row r="18" spans="1:42" ht="15" thickBot="1" x14ac:dyDescent="0.35">
      <c r="B18" s="17">
        <v>40171</v>
      </c>
      <c r="C18" s="15" t="s">
        <v>238</v>
      </c>
      <c r="D18" s="69">
        <f>SUMIFS('Datos (Hoja de Trabajo)'!$H$4:$H$34,'Datos (Hoja de Trabajo)'!$J$4:$J$34,Solución!B18)</f>
        <v>0</v>
      </c>
      <c r="E18" s="69">
        <f>SUMIFS('Datos (Hoja de Trabajo)'!$I$4:$I$34,'Datos (Hoja de Trabajo)'!$J$4:$J$34,Solución!B18)</f>
        <v>6000</v>
      </c>
      <c r="F18" s="16"/>
      <c r="G18" s="16"/>
      <c r="I18" s="17">
        <v>39526</v>
      </c>
      <c r="J18" s="15" t="s">
        <v>122</v>
      </c>
      <c r="K18" s="16">
        <f t="shared" si="0"/>
        <v>0</v>
      </c>
      <c r="L18" s="16">
        <f t="shared" si="1"/>
        <v>450</v>
      </c>
      <c r="M18" s="16">
        <f t="shared" si="14"/>
        <v>0</v>
      </c>
      <c r="N18" s="16">
        <f t="shared" si="15"/>
        <v>38</v>
      </c>
      <c r="O18" s="16">
        <f t="shared" si="6"/>
        <v>0</v>
      </c>
      <c r="P18" s="16">
        <f t="shared" si="7"/>
        <v>488</v>
      </c>
      <c r="Q18" s="16"/>
      <c r="R18" s="16"/>
      <c r="S18" s="16">
        <f t="shared" si="8"/>
        <v>0</v>
      </c>
      <c r="T18" s="16">
        <f t="shared" si="9"/>
        <v>488</v>
      </c>
      <c r="U18" s="16"/>
      <c r="V18" s="16"/>
      <c r="W18" s="16"/>
      <c r="X18" s="16"/>
      <c r="AA18" t="s">
        <v>199</v>
      </c>
      <c r="AB18" s="5">
        <f>S10</f>
        <v>1000</v>
      </c>
      <c r="AG18" s="17">
        <v>95</v>
      </c>
      <c r="AH18" s="15" t="s">
        <v>12</v>
      </c>
      <c r="AI18" s="16"/>
      <c r="AJ18" s="16">
        <f>R58</f>
        <v>7858.6020833333323</v>
      </c>
      <c r="AL18" t="s">
        <v>199</v>
      </c>
      <c r="AM18" s="5">
        <f t="shared" si="16"/>
        <v>1000</v>
      </c>
    </row>
    <row r="19" spans="1:42" x14ac:dyDescent="0.3">
      <c r="B19" s="17">
        <v>4031</v>
      </c>
      <c r="C19" s="15" t="s">
        <v>145</v>
      </c>
      <c r="D19" s="69">
        <f>SUMIFS('Datos (Hoja de Trabajo)'!$H$4:$H$34,'Datos (Hoja de Trabajo)'!$J$4:$J$34,Solución!B19)</f>
        <v>0</v>
      </c>
      <c r="E19" s="69">
        <f>SUMIFS('Datos (Hoja de Trabajo)'!$I$4:$I$34,'Datos (Hoja de Trabajo)'!$J$4:$J$34,Solución!B19)</f>
        <v>600</v>
      </c>
      <c r="F19" s="16"/>
      <c r="G19" s="16"/>
      <c r="I19" s="17">
        <v>39527</v>
      </c>
      <c r="J19" s="15" t="s">
        <v>121</v>
      </c>
      <c r="K19" s="16">
        <f t="shared" si="0"/>
        <v>0</v>
      </c>
      <c r="L19" s="16">
        <f t="shared" si="1"/>
        <v>1000</v>
      </c>
      <c r="M19" s="16">
        <f t="shared" si="14"/>
        <v>0</v>
      </c>
      <c r="N19" s="16">
        <f t="shared" si="15"/>
        <v>83</v>
      </c>
      <c r="O19" s="16">
        <f t="shared" si="6"/>
        <v>0</v>
      </c>
      <c r="P19" s="16">
        <f t="shared" si="7"/>
        <v>1083</v>
      </c>
      <c r="Q19" s="16"/>
      <c r="R19" s="16"/>
      <c r="S19" s="16">
        <f t="shared" si="8"/>
        <v>0</v>
      </c>
      <c r="T19" s="16">
        <f t="shared" si="9"/>
        <v>1083</v>
      </c>
      <c r="U19" s="16"/>
      <c r="V19" s="16"/>
      <c r="W19" s="16"/>
      <c r="X19" s="16"/>
      <c r="AA19" s="1" t="s">
        <v>26</v>
      </c>
      <c r="AB19" s="9">
        <f>SUM(AB11:AB18)</f>
        <v>95749.681249999994</v>
      </c>
      <c r="AD19" s="1" t="s">
        <v>36</v>
      </c>
      <c r="AE19" s="1"/>
      <c r="AG19" s="17">
        <v>79</v>
      </c>
      <c r="AH19" s="15" t="s">
        <v>13</v>
      </c>
      <c r="AI19" s="16">
        <f>Q56</f>
        <v>14917.204166666665</v>
      </c>
      <c r="AJ19" s="16"/>
      <c r="AL19" s="1" t="s">
        <v>26</v>
      </c>
      <c r="AM19" s="9">
        <f>SUM(AM11:AM18)</f>
        <v>95749.681249999994</v>
      </c>
      <c r="AO19" s="1" t="s">
        <v>36</v>
      </c>
      <c r="AP19" s="1"/>
    </row>
    <row r="20" spans="1:42" x14ac:dyDescent="0.3">
      <c r="B20" s="17">
        <v>4115</v>
      </c>
      <c r="C20" s="15" t="s">
        <v>124</v>
      </c>
      <c r="D20" s="69">
        <f>SUMIFS('Datos (Hoja de Trabajo)'!$H$4:$H$34,'Datos (Hoja de Trabajo)'!$J$4:$J$34,Solución!B20)</f>
        <v>0</v>
      </c>
      <c r="E20" s="69">
        <f>SUMIFS('Datos (Hoja de Trabajo)'!$I$4:$I$34,'Datos (Hoja de Trabajo)'!$J$4:$J$34,Solución!B20)</f>
        <v>7500</v>
      </c>
      <c r="F20" s="16"/>
      <c r="G20" s="16"/>
      <c r="I20" s="17">
        <v>4011</v>
      </c>
      <c r="J20" s="15" t="s">
        <v>123</v>
      </c>
      <c r="K20" s="16">
        <f t="shared" si="0"/>
        <v>0</v>
      </c>
      <c r="L20" s="16">
        <f t="shared" si="1"/>
        <v>5200</v>
      </c>
      <c r="M20" s="16">
        <f t="shared" si="14"/>
        <v>7702</v>
      </c>
      <c r="N20" s="16">
        <f t="shared" si="15"/>
        <v>4730.3999999999996</v>
      </c>
      <c r="O20" s="16">
        <f t="shared" si="6"/>
        <v>0</v>
      </c>
      <c r="P20" s="16">
        <f t="shared" si="7"/>
        <v>2228.3999999999996</v>
      </c>
      <c r="Q20" s="16"/>
      <c r="R20" s="16"/>
      <c r="S20" s="16">
        <f t="shared" si="8"/>
        <v>0</v>
      </c>
      <c r="T20" s="16">
        <f t="shared" si="9"/>
        <v>2228.3999999999996</v>
      </c>
      <c r="U20" s="16"/>
      <c r="V20" s="15"/>
      <c r="W20" s="16"/>
      <c r="X20" s="15"/>
      <c r="AD20" t="s">
        <v>37</v>
      </c>
      <c r="AE20" s="5">
        <f>T32</f>
        <v>25000</v>
      </c>
      <c r="AG20" s="18" t="s">
        <v>68</v>
      </c>
      <c r="AH20" s="15"/>
      <c r="AI20" s="16"/>
      <c r="AJ20" s="16"/>
      <c r="AO20" t="s">
        <v>37</v>
      </c>
      <c r="AP20" s="5">
        <f t="shared" ref="AP20:AP21" si="25">AE20</f>
        <v>25000</v>
      </c>
    </row>
    <row r="21" spans="1:42" x14ac:dyDescent="0.3">
      <c r="B21" s="17">
        <v>415</v>
      </c>
      <c r="C21" s="15" t="s">
        <v>125</v>
      </c>
      <c r="D21" s="69">
        <f>SUMIFS('Datos (Hoja de Trabajo)'!$H$4:$H$34,'Datos (Hoja de Trabajo)'!$J$4:$J$34,Solución!B21)</f>
        <v>0</v>
      </c>
      <c r="E21" s="69">
        <f>SUMIFS('Datos (Hoja de Trabajo)'!$I$4:$I$34,'Datos (Hoja de Trabajo)'!$J$4:$J$34,Solución!B21)</f>
        <v>2000</v>
      </c>
      <c r="F21" s="16"/>
      <c r="G21" s="16"/>
      <c r="I21" s="17">
        <v>40171</v>
      </c>
      <c r="J21" s="15" t="s">
        <v>238</v>
      </c>
      <c r="K21" s="16">
        <f t="shared" si="0"/>
        <v>0</v>
      </c>
      <c r="L21" s="16">
        <f t="shared" si="1"/>
        <v>6000</v>
      </c>
      <c r="M21" s="16">
        <f t="shared" si="14"/>
        <v>0</v>
      </c>
      <c r="N21" s="16">
        <f t="shared" si="15"/>
        <v>0</v>
      </c>
      <c r="O21" s="16">
        <f t="shared" si="6"/>
        <v>0</v>
      </c>
      <c r="P21" s="16">
        <f t="shared" si="7"/>
        <v>6000</v>
      </c>
      <c r="Q21" s="16">
        <f>R27</f>
        <v>0</v>
      </c>
      <c r="R21" s="16"/>
      <c r="S21" s="16">
        <f t="shared" si="8"/>
        <v>0</v>
      </c>
      <c r="T21" s="16">
        <f t="shared" si="9"/>
        <v>6000</v>
      </c>
      <c r="U21" s="16"/>
      <c r="V21" s="15"/>
      <c r="W21" s="16"/>
      <c r="X21" s="15"/>
      <c r="AA21" s="1" t="s">
        <v>27</v>
      </c>
      <c r="AD21" t="s">
        <v>8</v>
      </c>
      <c r="AE21" s="5">
        <f>T33</f>
        <v>14000</v>
      </c>
      <c r="AG21"/>
      <c r="AL21" s="1" t="s">
        <v>27</v>
      </c>
      <c r="AO21" t="s">
        <v>8</v>
      </c>
      <c r="AP21" s="5">
        <f t="shared" si="25"/>
        <v>14000</v>
      </c>
    </row>
    <row r="22" spans="1:42" ht="15" thickBot="1" x14ac:dyDescent="0.35">
      <c r="B22" s="17">
        <v>417</v>
      </c>
      <c r="C22" s="15" t="s">
        <v>232</v>
      </c>
      <c r="D22" s="69">
        <f>SUMIFS('Datos (Hoja de Trabajo)'!$H$4:$H$34,'Datos (Hoja de Trabajo)'!$J$4:$J$34,Solución!B22)</f>
        <v>0</v>
      </c>
      <c r="E22" s="69">
        <f>SUMIFS('Datos (Hoja de Trabajo)'!$I$4:$I$34,'Datos (Hoja de Trabajo)'!$J$4:$J$34,Solución!B22)</f>
        <v>800</v>
      </c>
      <c r="F22" s="16"/>
      <c r="G22" s="16"/>
      <c r="I22" s="17">
        <v>4031</v>
      </c>
      <c r="J22" s="15" t="s">
        <v>145</v>
      </c>
      <c r="K22" s="16">
        <f t="shared" si="0"/>
        <v>0</v>
      </c>
      <c r="L22" s="16">
        <f t="shared" si="1"/>
        <v>600</v>
      </c>
      <c r="M22" s="16">
        <f t="shared" si="14"/>
        <v>600</v>
      </c>
      <c r="N22" s="16">
        <f t="shared" si="15"/>
        <v>276.91875000000005</v>
      </c>
      <c r="O22" s="16">
        <f t="shared" si="6"/>
        <v>0</v>
      </c>
      <c r="P22" s="16">
        <f t="shared" si="7"/>
        <v>276.91875000000005</v>
      </c>
      <c r="Q22" s="16"/>
      <c r="R22" s="16"/>
      <c r="S22" s="16">
        <f t="shared" si="8"/>
        <v>0</v>
      </c>
      <c r="T22" s="16">
        <f t="shared" si="9"/>
        <v>276.91875000000005</v>
      </c>
      <c r="U22" s="16"/>
      <c r="V22" s="15"/>
      <c r="W22" s="16"/>
      <c r="X22" s="15"/>
      <c r="AA22" t="s">
        <v>28</v>
      </c>
      <c r="AB22" s="5">
        <f>S12+S14+S15-T17-T18-T19+S13</f>
        <v>16329</v>
      </c>
      <c r="AD22" t="s">
        <v>38</v>
      </c>
      <c r="AE22" s="34">
        <f>T61</f>
        <v>-117.20416666666279</v>
      </c>
      <c r="AG22" s="17">
        <v>611</v>
      </c>
      <c r="AH22" s="15" t="s">
        <v>10</v>
      </c>
      <c r="AI22" s="16">
        <f>Q35</f>
        <v>11180</v>
      </c>
      <c r="AJ22" s="16"/>
      <c r="AL22" t="s">
        <v>28</v>
      </c>
      <c r="AM22" s="5">
        <f t="shared" ref="AM22" si="26">AB22</f>
        <v>16329</v>
      </c>
      <c r="AO22" t="s">
        <v>38</v>
      </c>
      <c r="AP22" s="36">
        <f>AE22-AI11</f>
        <v>-117.20416666666279</v>
      </c>
    </row>
    <row r="23" spans="1:42" x14ac:dyDescent="0.3">
      <c r="B23" s="17">
        <v>421</v>
      </c>
      <c r="C23" s="15" t="s">
        <v>234</v>
      </c>
      <c r="D23" s="69">
        <f>SUMIFS('Datos (Hoja de Trabajo)'!$H$4:$H$34,'Datos (Hoja de Trabajo)'!$J$4:$J$34,Solución!B23)</f>
        <v>0</v>
      </c>
      <c r="E23" s="69">
        <f>SUMIFS('Datos (Hoja de Trabajo)'!$I$4:$I$34,'Datos (Hoja de Trabajo)'!$J$4:$J$34,Solución!B23)</f>
        <v>13550</v>
      </c>
      <c r="F23" s="16"/>
      <c r="G23" s="16"/>
      <c r="I23" s="17">
        <v>4111</v>
      </c>
      <c r="J23" s="15" t="s">
        <v>280</v>
      </c>
      <c r="K23" s="16">
        <f t="shared" si="0"/>
        <v>0</v>
      </c>
      <c r="L23" s="16">
        <f t="shared" si="1"/>
        <v>0</v>
      </c>
      <c r="M23" s="16">
        <f t="shared" si="14"/>
        <v>3230.71875</v>
      </c>
      <c r="N23" s="16">
        <f t="shared" si="15"/>
        <v>3230.71875</v>
      </c>
      <c r="O23" s="16">
        <f t="shared" si="6"/>
        <v>0</v>
      </c>
      <c r="P23" s="16">
        <f t="shared" si="7"/>
        <v>0</v>
      </c>
      <c r="Q23" s="16"/>
      <c r="R23" s="16"/>
      <c r="S23" s="16">
        <f t="shared" ref="S23" si="27">IF(O23-P23+Q23-R23&gt;0,O23-P23+Q23-R23,0)</f>
        <v>0</v>
      </c>
      <c r="T23" s="16">
        <f t="shared" ref="T23" si="28">IF(P23-O23+R23-Q23&gt;0,P23-O23+R23-Q23,0)</f>
        <v>0</v>
      </c>
      <c r="U23" s="16"/>
      <c r="V23" s="15"/>
      <c r="W23" s="16"/>
      <c r="X23" s="15"/>
      <c r="AA23" s="1" t="s">
        <v>29</v>
      </c>
      <c r="AB23" s="9">
        <f>SUM(AB22)</f>
        <v>16329</v>
      </c>
      <c r="AD23" s="1" t="s">
        <v>39</v>
      </c>
      <c r="AE23" s="9">
        <f>SUM(AE20:AE22)</f>
        <v>38882.795833333337</v>
      </c>
      <c r="AG23" s="17">
        <v>691</v>
      </c>
      <c r="AH23" s="15" t="s">
        <v>11</v>
      </c>
      <c r="AI23" s="16"/>
      <c r="AJ23" s="16">
        <f>R53</f>
        <v>11180</v>
      </c>
      <c r="AL23" s="1" t="s">
        <v>29</v>
      </c>
      <c r="AM23" s="9">
        <f>SUM(AM22)</f>
        <v>16329</v>
      </c>
      <c r="AO23" s="1" t="s">
        <v>39</v>
      </c>
      <c r="AP23" s="9">
        <f>SUM(AP20:AP22)</f>
        <v>38882.795833333337</v>
      </c>
    </row>
    <row r="24" spans="1:42" x14ac:dyDescent="0.3">
      <c r="B24" s="17">
        <v>451</v>
      </c>
      <c r="C24" s="15" t="s">
        <v>236</v>
      </c>
      <c r="D24" s="69">
        <f>SUMIFS('Datos (Hoja de Trabajo)'!$H$4:$H$34,'Datos (Hoja de Trabajo)'!$J$4:$J$34,Solución!B24)</f>
        <v>0</v>
      </c>
      <c r="E24" s="69">
        <f>SUMIFS('Datos (Hoja de Trabajo)'!$I$4:$I$34,'Datos (Hoja de Trabajo)'!$J$4:$J$34,Solución!B24)</f>
        <v>30000</v>
      </c>
      <c r="F24" s="16"/>
      <c r="G24" s="16"/>
      <c r="I24" s="17">
        <v>404</v>
      </c>
      <c r="J24" s="15" t="s">
        <v>283</v>
      </c>
      <c r="K24" s="16">
        <f t="shared" si="0"/>
        <v>0</v>
      </c>
      <c r="L24" s="16">
        <f t="shared" si="1"/>
        <v>0</v>
      </c>
      <c r="M24" s="16">
        <f t="shared" si="14"/>
        <v>0</v>
      </c>
      <c r="N24" s="16">
        <f t="shared" si="15"/>
        <v>92.306249999999991</v>
      </c>
      <c r="O24" s="16">
        <f t="shared" ref="O24" si="29">IF(K24-L24+M24-N24&gt;0,K24-L24+M24-N24,0)</f>
        <v>0</v>
      </c>
      <c r="P24" s="16">
        <f t="shared" ref="P24" si="30">IF(L24-K24+N24-M24&gt;0,L24-K24+N24-M24,0)</f>
        <v>92.306249999999991</v>
      </c>
      <c r="Q24" s="16"/>
      <c r="R24" s="16"/>
      <c r="S24" s="16">
        <f t="shared" ref="S24" si="31">IF(O24-P24+Q24-R24&gt;0,O24-P24+Q24-R24,0)</f>
        <v>0</v>
      </c>
      <c r="T24" s="16">
        <f t="shared" ref="T24" si="32">IF(P24-O24+R24-Q24&gt;0,P24-O24+R24-Q24,0)</f>
        <v>92.306249999999991</v>
      </c>
      <c r="U24" s="16"/>
      <c r="V24" s="15"/>
      <c r="W24" s="16"/>
      <c r="X24" s="15"/>
      <c r="AA24" s="1"/>
      <c r="AB24" s="8"/>
      <c r="AD24" s="1"/>
      <c r="AE24" s="8"/>
      <c r="AG24" s="17"/>
      <c r="AH24" s="15"/>
      <c r="AI24" s="16"/>
      <c r="AJ24" s="16"/>
      <c r="AL24" s="1"/>
      <c r="AM24" s="8"/>
      <c r="AO24" s="1"/>
      <c r="AP24" s="8"/>
    </row>
    <row r="25" spans="1:42" x14ac:dyDescent="0.3">
      <c r="B25" s="17">
        <v>501</v>
      </c>
      <c r="C25" s="15" t="s">
        <v>118</v>
      </c>
      <c r="D25" s="69">
        <f>SUMIFS('Datos (Hoja de Trabajo)'!$H$4:$H$34,'Datos (Hoja de Trabajo)'!$J$4:$J$34,Solución!B25)</f>
        <v>0</v>
      </c>
      <c r="E25" s="69">
        <f>SUMIFS('Datos (Hoja de Trabajo)'!$I$4:$I$34,'Datos (Hoja de Trabajo)'!$J$4:$J$34,Solución!B25)</f>
        <v>25000</v>
      </c>
      <c r="F25" s="16"/>
      <c r="G25" s="16"/>
      <c r="I25" s="17">
        <v>4114</v>
      </c>
      <c r="J25" s="15" t="s">
        <v>169</v>
      </c>
      <c r="K25" s="16">
        <f t="shared" si="0"/>
        <v>0</v>
      </c>
      <c r="L25" s="16">
        <f t="shared" si="1"/>
        <v>0</v>
      </c>
      <c r="M25" s="16">
        <f t="shared" si="14"/>
        <v>0</v>
      </c>
      <c r="N25" s="16">
        <f t="shared" si="15"/>
        <v>683.75</v>
      </c>
      <c r="O25" s="16">
        <f t="shared" si="6"/>
        <v>0</v>
      </c>
      <c r="P25" s="16">
        <f t="shared" si="7"/>
        <v>683.75</v>
      </c>
      <c r="Q25" s="16"/>
      <c r="R25" s="16"/>
      <c r="S25" s="16">
        <f t="shared" si="8"/>
        <v>0</v>
      </c>
      <c r="T25" s="16">
        <f t="shared" si="9"/>
        <v>683.75</v>
      </c>
      <c r="U25" s="16"/>
      <c r="V25" s="15"/>
      <c r="W25" s="16"/>
      <c r="X25" s="15"/>
      <c r="AG25" s="18" t="s">
        <v>69</v>
      </c>
      <c r="AH25" s="15"/>
      <c r="AI25" s="16"/>
      <c r="AJ25" s="16"/>
    </row>
    <row r="26" spans="1:42" ht="15" thickBot="1" x14ac:dyDescent="0.35">
      <c r="B26" s="17">
        <v>591</v>
      </c>
      <c r="C26" s="15" t="s">
        <v>8</v>
      </c>
      <c r="D26" s="69">
        <f>SUMIFS('Datos (Hoja de Trabajo)'!$H$4:$H$34,'Datos (Hoja de Trabajo)'!$J$4:$J$34,Solución!B26)</f>
        <v>0</v>
      </c>
      <c r="E26" s="69">
        <f>SUMIFS('Datos (Hoja de Trabajo)'!$I$4:$I$34,'Datos (Hoja de Trabajo)'!$J$4:$J$34,Solución!B26)</f>
        <v>14000</v>
      </c>
      <c r="F26" s="16"/>
      <c r="G26" s="16"/>
      <c r="I26" s="17">
        <v>4115</v>
      </c>
      <c r="J26" s="15" t="s">
        <v>124</v>
      </c>
      <c r="K26" s="16">
        <f t="shared" si="0"/>
        <v>0</v>
      </c>
      <c r="L26" s="16">
        <f t="shared" si="1"/>
        <v>7500</v>
      </c>
      <c r="M26" s="16">
        <f t="shared" si="14"/>
        <v>0</v>
      </c>
      <c r="N26" s="16">
        <f t="shared" si="15"/>
        <v>341.875</v>
      </c>
      <c r="O26" s="16">
        <f t="shared" si="6"/>
        <v>0</v>
      </c>
      <c r="P26" s="16">
        <f t="shared" si="7"/>
        <v>7841.875</v>
      </c>
      <c r="Q26" s="16"/>
      <c r="R26" s="16"/>
      <c r="S26" s="16">
        <f t="shared" si="8"/>
        <v>0</v>
      </c>
      <c r="T26" s="16">
        <f t="shared" si="9"/>
        <v>7841.875</v>
      </c>
      <c r="U26" s="16"/>
      <c r="V26" s="15"/>
      <c r="W26" s="16"/>
      <c r="X26" s="15"/>
      <c r="AA26" s="1" t="s">
        <v>30</v>
      </c>
      <c r="AB26" s="10">
        <f>AB19+AB23</f>
        <v>112078.68124999999</v>
      </c>
      <c r="AD26" s="1" t="s">
        <v>40</v>
      </c>
      <c r="AE26" s="10">
        <f>AE17+AE23</f>
        <v>112078.68125000001</v>
      </c>
      <c r="AG26"/>
      <c r="AL26" s="1" t="s">
        <v>30</v>
      </c>
      <c r="AM26" s="10">
        <f>AM19+AM23</f>
        <v>112078.68124999999</v>
      </c>
      <c r="AO26" s="1" t="s">
        <v>40</v>
      </c>
      <c r="AP26" s="10">
        <f>AP17+AP23</f>
        <v>112078.68125000001</v>
      </c>
    </row>
    <row r="27" spans="1:42" ht="15" thickTop="1" x14ac:dyDescent="0.3">
      <c r="B27" s="18" t="s">
        <v>47</v>
      </c>
      <c r="C27" s="15"/>
      <c r="D27" s="69"/>
      <c r="E27" s="69"/>
      <c r="F27" s="16"/>
      <c r="G27" s="16"/>
      <c r="I27" s="17">
        <v>415</v>
      </c>
      <c r="J27" s="15" t="s">
        <v>125</v>
      </c>
      <c r="K27" s="16">
        <f t="shared" si="0"/>
        <v>0</v>
      </c>
      <c r="L27" s="16">
        <f t="shared" si="1"/>
        <v>2000</v>
      </c>
      <c r="M27" s="16">
        <f t="shared" si="14"/>
        <v>0</v>
      </c>
      <c r="N27" s="16">
        <f t="shared" si="15"/>
        <v>398.85416666666669</v>
      </c>
      <c r="O27" s="16">
        <f t="shared" si="6"/>
        <v>0</v>
      </c>
      <c r="P27" s="16">
        <f t="shared" si="7"/>
        <v>2398.8541666666665</v>
      </c>
      <c r="Q27" s="16"/>
      <c r="R27" s="16">
        <f>O27</f>
        <v>0</v>
      </c>
      <c r="S27" s="16">
        <f t="shared" si="8"/>
        <v>0</v>
      </c>
      <c r="T27" s="16">
        <f t="shared" si="9"/>
        <v>2398.8541666666665</v>
      </c>
      <c r="U27" s="16"/>
      <c r="V27" s="15"/>
      <c r="W27" s="16">
        <f>O27</f>
        <v>0</v>
      </c>
      <c r="X27" s="15"/>
      <c r="AG27" s="17">
        <v>801</v>
      </c>
      <c r="AH27" s="15" t="s">
        <v>70</v>
      </c>
      <c r="AI27" s="16"/>
      <c r="AJ27" s="16">
        <f>AI28-AJ29-AJ30</f>
        <v>15100</v>
      </c>
    </row>
    <row r="28" spans="1:42" x14ac:dyDescent="0.3">
      <c r="D28" s="70"/>
      <c r="E28" s="70"/>
      <c r="F28" s="5"/>
      <c r="G28" s="5"/>
      <c r="I28" s="17">
        <v>417</v>
      </c>
      <c r="J28" s="15" t="s">
        <v>232</v>
      </c>
      <c r="K28" s="16">
        <f t="shared" si="0"/>
        <v>0</v>
      </c>
      <c r="L28" s="16">
        <f t="shared" si="1"/>
        <v>800</v>
      </c>
      <c r="M28" s="16">
        <f t="shared" si="14"/>
        <v>800</v>
      </c>
      <c r="N28" s="16">
        <f t="shared" si="15"/>
        <v>543.58124999999995</v>
      </c>
      <c r="O28" s="16">
        <f t="shared" si="6"/>
        <v>0</v>
      </c>
      <c r="P28" s="16">
        <f t="shared" si="7"/>
        <v>543.58124999999995</v>
      </c>
      <c r="Q28" s="16"/>
      <c r="R28" s="16"/>
      <c r="S28" s="16">
        <f t="shared" si="8"/>
        <v>0</v>
      </c>
      <c r="T28" s="16">
        <f t="shared" si="9"/>
        <v>543.58124999999995</v>
      </c>
      <c r="U28" s="16"/>
      <c r="V28" s="15"/>
      <c r="W28" s="16"/>
      <c r="X28" s="15"/>
      <c r="AE28" s="5">
        <f>AB26-AE26</f>
        <v>0</v>
      </c>
      <c r="AG28" s="17">
        <v>701</v>
      </c>
      <c r="AH28" s="15" t="s">
        <v>2</v>
      </c>
      <c r="AI28" s="16">
        <f>V54</f>
        <v>26280</v>
      </c>
      <c r="AJ28" s="16"/>
    </row>
    <row r="29" spans="1:42" x14ac:dyDescent="0.3">
      <c r="B29" s="17">
        <v>601</v>
      </c>
      <c r="C29" s="15" t="s">
        <v>6</v>
      </c>
      <c r="D29" s="69">
        <f>'Datos (Hoja de Trabajo)'!F41+'Datos (Hoja de Trabajo)'!F42</f>
        <v>7200</v>
      </c>
      <c r="E29" s="69"/>
      <c r="F29" s="16"/>
      <c r="G29" s="16"/>
      <c r="I29" s="17">
        <v>421</v>
      </c>
      <c r="J29" s="15" t="s">
        <v>234</v>
      </c>
      <c r="K29" s="16">
        <f t="shared" si="0"/>
        <v>0</v>
      </c>
      <c r="L29" s="16">
        <f t="shared" si="1"/>
        <v>13550</v>
      </c>
      <c r="M29" s="16">
        <f t="shared" si="14"/>
        <v>7450</v>
      </c>
      <c r="N29" s="16">
        <f t="shared" si="15"/>
        <v>16402</v>
      </c>
      <c r="O29" s="16">
        <f t="shared" si="6"/>
        <v>0</v>
      </c>
      <c r="P29" s="16">
        <f t="shared" si="7"/>
        <v>22502</v>
      </c>
      <c r="Q29" s="16"/>
      <c r="R29" s="16"/>
      <c r="S29" s="16">
        <f t="shared" si="8"/>
        <v>0</v>
      </c>
      <c r="T29" s="16">
        <f t="shared" si="9"/>
        <v>22502</v>
      </c>
      <c r="U29" s="16"/>
      <c r="V29" s="15"/>
      <c r="W29" s="16"/>
      <c r="X29" s="15"/>
      <c r="AG29" s="17">
        <v>601</v>
      </c>
      <c r="AH29" s="15" t="s">
        <v>6</v>
      </c>
      <c r="AI29" s="16"/>
      <c r="AJ29" s="16">
        <f>U34</f>
        <v>7200</v>
      </c>
    </row>
    <row r="30" spans="1:42" x14ac:dyDescent="0.3">
      <c r="B30" s="17">
        <v>4011</v>
      </c>
      <c r="C30" s="15" t="s">
        <v>123</v>
      </c>
      <c r="D30" s="69">
        <f>D29*0.18</f>
        <v>1296</v>
      </c>
      <c r="E30" s="69"/>
      <c r="F30" s="16"/>
      <c r="G30" s="16"/>
      <c r="I30" s="17">
        <v>451</v>
      </c>
      <c r="J30" s="15" t="s">
        <v>236</v>
      </c>
      <c r="K30" s="16">
        <f t="shared" si="0"/>
        <v>0</v>
      </c>
      <c r="L30" s="16">
        <f t="shared" si="1"/>
        <v>30000</v>
      </c>
      <c r="M30" s="16">
        <f t="shared" si="14"/>
        <v>0</v>
      </c>
      <c r="N30" s="16">
        <f t="shared" si="15"/>
        <v>300</v>
      </c>
      <c r="O30" s="16">
        <f t="shared" si="6"/>
        <v>0</v>
      </c>
      <c r="P30" s="16">
        <f t="shared" si="7"/>
        <v>30300</v>
      </c>
      <c r="Q30" s="16"/>
      <c r="R30" s="16"/>
      <c r="S30" s="16">
        <f t="shared" si="8"/>
        <v>0</v>
      </c>
      <c r="T30" s="16">
        <f t="shared" si="9"/>
        <v>30300</v>
      </c>
      <c r="U30" s="16"/>
      <c r="V30" s="15"/>
      <c r="W30" s="16"/>
      <c r="X30" s="15"/>
      <c r="AG30" s="17">
        <v>611</v>
      </c>
      <c r="AH30" s="15" t="s">
        <v>10</v>
      </c>
      <c r="AI30" s="16"/>
      <c r="AJ30" s="16">
        <f>U35</f>
        <v>3980</v>
      </c>
    </row>
    <row r="31" spans="1:42" x14ac:dyDescent="0.3">
      <c r="B31" s="17">
        <v>421</v>
      </c>
      <c r="C31" s="15" t="s">
        <v>234</v>
      </c>
      <c r="D31" s="69"/>
      <c r="E31" s="69">
        <f>SUM(D29:D30)</f>
        <v>8496</v>
      </c>
      <c r="F31" s="16"/>
      <c r="G31" s="16"/>
      <c r="I31" s="17">
        <v>4654</v>
      </c>
      <c r="J31" s="15" t="s">
        <v>137</v>
      </c>
      <c r="K31" s="16">
        <f t="shared" si="0"/>
        <v>0</v>
      </c>
      <c r="L31" s="16">
        <f t="shared" si="1"/>
        <v>0</v>
      </c>
      <c r="M31" s="16"/>
      <c r="N31" s="16"/>
      <c r="O31" s="16">
        <f t="shared" si="6"/>
        <v>0</v>
      </c>
      <c r="P31" s="16">
        <f t="shared" si="7"/>
        <v>0</v>
      </c>
      <c r="Q31" s="16"/>
      <c r="R31" s="16"/>
      <c r="S31" s="16">
        <f t="shared" si="8"/>
        <v>0</v>
      </c>
      <c r="T31" s="16">
        <f t="shared" si="9"/>
        <v>0</v>
      </c>
      <c r="U31" s="16"/>
      <c r="V31" s="15"/>
      <c r="W31" s="16"/>
      <c r="X31" s="15"/>
      <c r="AA31" s="1" t="s">
        <v>41</v>
      </c>
      <c r="AB31" s="1"/>
      <c r="AG31" s="18" t="s">
        <v>74</v>
      </c>
      <c r="AH31" s="15"/>
      <c r="AI31" s="16"/>
      <c r="AJ31" s="16"/>
      <c r="AL31" s="1" t="s">
        <v>41</v>
      </c>
      <c r="AM31" s="1"/>
    </row>
    <row r="32" spans="1:42" x14ac:dyDescent="0.3">
      <c r="A32" s="2">
        <v>1</v>
      </c>
      <c r="B32" s="18" t="s">
        <v>48</v>
      </c>
      <c r="C32" s="15"/>
      <c r="D32" s="69"/>
      <c r="E32" s="69"/>
      <c r="F32" s="16"/>
      <c r="G32" s="16"/>
      <c r="I32" s="17">
        <v>501</v>
      </c>
      <c r="J32" s="15" t="s">
        <v>118</v>
      </c>
      <c r="K32" s="16">
        <f t="shared" si="0"/>
        <v>0</v>
      </c>
      <c r="L32" s="16">
        <f t="shared" si="1"/>
        <v>25000</v>
      </c>
      <c r="M32" s="16">
        <f t="shared" ref="M32:M58" si="33">SUMIFS($D$29:$D$304,$B$29:$B$304,I32)</f>
        <v>0</v>
      </c>
      <c r="N32" s="16">
        <f t="shared" ref="N32:N58" si="34">SUMIFS($E$29:$E$304,$B$29:$B$304,I32)</f>
        <v>0</v>
      </c>
      <c r="O32" s="16">
        <f t="shared" si="6"/>
        <v>0</v>
      </c>
      <c r="P32" s="16">
        <f t="shared" si="7"/>
        <v>25000</v>
      </c>
      <c r="Q32" s="16"/>
      <c r="R32" s="16"/>
      <c r="S32" s="16">
        <f t="shared" si="8"/>
        <v>0</v>
      </c>
      <c r="T32" s="16">
        <f t="shared" si="9"/>
        <v>25000</v>
      </c>
      <c r="U32" s="16"/>
      <c r="V32" s="15"/>
      <c r="W32" s="16"/>
      <c r="X32" s="15"/>
      <c r="AA32" t="s">
        <v>62</v>
      </c>
      <c r="AG32"/>
      <c r="AL32" t="s">
        <v>62</v>
      </c>
    </row>
    <row r="33" spans="1:39" x14ac:dyDescent="0.3">
      <c r="A33" s="2"/>
      <c r="D33" s="70"/>
      <c r="E33" s="70"/>
      <c r="F33" s="5"/>
      <c r="G33" s="5"/>
      <c r="I33" s="17">
        <v>591</v>
      </c>
      <c r="J33" s="15" t="s">
        <v>8</v>
      </c>
      <c r="K33" s="16">
        <f t="shared" si="0"/>
        <v>0</v>
      </c>
      <c r="L33" s="16">
        <f t="shared" si="1"/>
        <v>14000</v>
      </c>
      <c r="M33" s="16">
        <f t="shared" si="33"/>
        <v>0</v>
      </c>
      <c r="N33" s="16">
        <f t="shared" si="34"/>
        <v>0</v>
      </c>
      <c r="O33" s="16">
        <f t="shared" si="6"/>
        <v>0</v>
      </c>
      <c r="P33" s="16">
        <f t="shared" si="7"/>
        <v>14000</v>
      </c>
      <c r="Q33" s="16"/>
      <c r="R33" s="16"/>
      <c r="S33" s="16">
        <f t="shared" si="8"/>
        <v>0</v>
      </c>
      <c r="T33" s="16">
        <f t="shared" si="9"/>
        <v>14000</v>
      </c>
      <c r="U33" s="16"/>
      <c r="V33" s="15"/>
      <c r="W33" s="16"/>
      <c r="X33" s="15"/>
      <c r="AA33" t="s">
        <v>60</v>
      </c>
      <c r="AG33" s="17">
        <v>821</v>
      </c>
      <c r="AH33" s="15" t="s">
        <v>71</v>
      </c>
      <c r="AI33" s="16"/>
      <c r="AJ33" s="16">
        <f>AI34-AJ35-AJ36-AJ37-AJ38-AJ39</f>
        <v>8900</v>
      </c>
      <c r="AL33" t="s">
        <v>60</v>
      </c>
    </row>
    <row r="34" spans="1:39" x14ac:dyDescent="0.3">
      <c r="A34" s="2"/>
      <c r="B34" s="17">
        <v>201</v>
      </c>
      <c r="C34" s="15" t="s">
        <v>6</v>
      </c>
      <c r="D34" s="69">
        <f>D29</f>
        <v>7200</v>
      </c>
      <c r="E34" s="69"/>
      <c r="F34" s="16"/>
      <c r="G34" s="16"/>
      <c r="I34" s="17">
        <v>601</v>
      </c>
      <c r="J34" s="15" t="s">
        <v>6</v>
      </c>
      <c r="K34" s="16">
        <f t="shared" si="0"/>
        <v>0</v>
      </c>
      <c r="L34" s="16">
        <f t="shared" si="1"/>
        <v>0</v>
      </c>
      <c r="M34" s="16">
        <f t="shared" si="33"/>
        <v>7200</v>
      </c>
      <c r="N34" s="16">
        <f t="shared" si="34"/>
        <v>0</v>
      </c>
      <c r="O34" s="16">
        <f t="shared" si="6"/>
        <v>7200</v>
      </c>
      <c r="P34" s="16">
        <f t="shared" si="7"/>
        <v>0</v>
      </c>
      <c r="Q34" s="16"/>
      <c r="R34" s="16"/>
      <c r="S34" s="16"/>
      <c r="T34" s="16"/>
      <c r="U34" s="16">
        <f>IF(O34-P34+Q34-R34&gt;0,O34-P34+Q34-R34,0)</f>
        <v>7200</v>
      </c>
      <c r="V34" s="16">
        <f>IF(P34-O34+R34-Q34&gt;0,P34-O34+R34-Q34,0)</f>
        <v>0</v>
      </c>
      <c r="W34" s="16"/>
      <c r="X34" s="16"/>
      <c r="AG34" s="17">
        <v>801</v>
      </c>
      <c r="AH34" s="15" t="s">
        <v>70</v>
      </c>
      <c r="AI34" s="16">
        <f>AJ27</f>
        <v>15100</v>
      </c>
      <c r="AJ34" s="16"/>
    </row>
    <row r="35" spans="1:39" x14ac:dyDescent="0.3">
      <c r="A35" s="2"/>
      <c r="B35" s="17">
        <v>611</v>
      </c>
      <c r="C35" s="15" t="s">
        <v>10</v>
      </c>
      <c r="D35" s="69"/>
      <c r="E35" s="69">
        <f>D34</f>
        <v>7200</v>
      </c>
      <c r="F35" s="16"/>
      <c r="G35" s="16"/>
      <c r="I35" s="17">
        <v>611</v>
      </c>
      <c r="J35" s="15" t="s">
        <v>10</v>
      </c>
      <c r="K35" s="16">
        <f t="shared" si="0"/>
        <v>0</v>
      </c>
      <c r="L35" s="16">
        <f t="shared" si="1"/>
        <v>0</v>
      </c>
      <c r="M35" s="16">
        <f t="shared" si="33"/>
        <v>0</v>
      </c>
      <c r="N35" s="16">
        <f t="shared" si="34"/>
        <v>7200</v>
      </c>
      <c r="O35" s="16">
        <f t="shared" si="6"/>
        <v>0</v>
      </c>
      <c r="P35" s="16">
        <f t="shared" si="7"/>
        <v>7200</v>
      </c>
      <c r="Q35" s="16">
        <f>R53</f>
        <v>11180</v>
      </c>
      <c r="R35" s="16"/>
      <c r="S35" s="16"/>
      <c r="T35" s="15"/>
      <c r="U35" s="16">
        <f t="shared" ref="U35:U58" si="35">IF(O35-P35+Q35-R35&gt;0,O35-P35+Q35-R35,0)</f>
        <v>3980</v>
      </c>
      <c r="V35" s="16">
        <f t="shared" ref="V35:V58" si="36">IF(P35-O35+R35-Q35&gt;0,P35-O35+R35-Q35,0)</f>
        <v>0</v>
      </c>
      <c r="W35" s="16"/>
      <c r="X35" s="15"/>
      <c r="AG35" s="17">
        <v>6352</v>
      </c>
      <c r="AH35" s="15" t="s">
        <v>149</v>
      </c>
      <c r="AI35" s="16"/>
      <c r="AJ35" s="16">
        <f>U42</f>
        <v>3500</v>
      </c>
    </row>
    <row r="36" spans="1:39" x14ac:dyDescent="0.3">
      <c r="A36" s="2">
        <v>1</v>
      </c>
      <c r="B36" s="18" t="s">
        <v>49</v>
      </c>
      <c r="C36" s="15"/>
      <c r="D36" s="69"/>
      <c r="E36" s="69"/>
      <c r="F36" s="16"/>
      <c r="G36" s="16"/>
      <c r="I36" s="17">
        <v>6211</v>
      </c>
      <c r="J36" s="15" t="s">
        <v>165</v>
      </c>
      <c r="K36" s="16">
        <f t="shared" si="0"/>
        <v>0</v>
      </c>
      <c r="L36" s="16">
        <f t="shared" si="1"/>
        <v>0</v>
      </c>
      <c r="M36" s="16">
        <f t="shared" si="33"/>
        <v>4102.5</v>
      </c>
      <c r="N36" s="16">
        <f t="shared" si="34"/>
        <v>0</v>
      </c>
      <c r="O36" s="16">
        <f t="shared" si="6"/>
        <v>4102.5</v>
      </c>
      <c r="P36" s="16">
        <f t="shared" si="7"/>
        <v>0</v>
      </c>
      <c r="Q36" s="16"/>
      <c r="R36" s="16"/>
      <c r="S36" s="16"/>
      <c r="T36" s="15"/>
      <c r="U36" s="16">
        <f t="shared" si="35"/>
        <v>4102.5</v>
      </c>
      <c r="V36" s="16">
        <f t="shared" si="36"/>
        <v>0</v>
      </c>
      <c r="W36" s="16"/>
      <c r="X36" s="15"/>
      <c r="AA36" t="s">
        <v>42</v>
      </c>
      <c r="AB36" s="5">
        <f>X54</f>
        <v>26280</v>
      </c>
      <c r="AG36" s="17">
        <v>6361</v>
      </c>
      <c r="AH36" s="15" t="s">
        <v>14</v>
      </c>
      <c r="AI36" s="16"/>
      <c r="AJ36" s="16">
        <f>U43</f>
        <v>450</v>
      </c>
      <c r="AL36" t="s">
        <v>42</v>
      </c>
      <c r="AM36" s="5">
        <f>AB36</f>
        <v>26280</v>
      </c>
    </row>
    <row r="37" spans="1:39" ht="15" thickBot="1" x14ac:dyDescent="0.35">
      <c r="A37" s="2"/>
      <c r="D37" s="70"/>
      <c r="E37" s="70"/>
      <c r="F37" s="5"/>
      <c r="G37" s="5"/>
      <c r="I37" s="17">
        <v>6214</v>
      </c>
      <c r="J37" s="15" t="s">
        <v>169</v>
      </c>
      <c r="K37" s="16">
        <f t="shared" ref="K37:K58" si="37">SUMIFS($D$5:$D$26,$B$5:$B$26,I37)</f>
        <v>0</v>
      </c>
      <c r="L37" s="16">
        <f t="shared" ref="L37:L58" si="38">SUMIFS($E$5:$E$26,$B$5:$B$26,I37)</f>
        <v>0</v>
      </c>
      <c r="M37" s="16">
        <f t="shared" si="33"/>
        <v>683.75</v>
      </c>
      <c r="N37" s="16">
        <f t="shared" si="34"/>
        <v>0</v>
      </c>
      <c r="O37" s="16">
        <f t="shared" si="6"/>
        <v>683.75</v>
      </c>
      <c r="P37" s="16">
        <f t="shared" si="7"/>
        <v>0</v>
      </c>
      <c r="Q37" s="16"/>
      <c r="R37" s="16"/>
      <c r="S37" s="16"/>
      <c r="T37" s="15"/>
      <c r="U37" s="16">
        <f t="shared" si="35"/>
        <v>683.75</v>
      </c>
      <c r="V37" s="16">
        <f t="shared" si="36"/>
        <v>0</v>
      </c>
      <c r="W37" s="16"/>
      <c r="X37" s="15"/>
      <c r="AA37" t="s">
        <v>11</v>
      </c>
      <c r="AB37" s="5">
        <f>-W53</f>
        <v>-11180</v>
      </c>
      <c r="AG37" s="17">
        <v>6365</v>
      </c>
      <c r="AH37" s="15" t="s">
        <v>154</v>
      </c>
      <c r="AI37" s="16"/>
      <c r="AJ37" s="16">
        <f>U44</f>
        <v>650</v>
      </c>
      <c r="AL37" t="s">
        <v>11</v>
      </c>
      <c r="AM37" s="5">
        <f>AB37</f>
        <v>-11180</v>
      </c>
    </row>
    <row r="38" spans="1:39" x14ac:dyDescent="0.3">
      <c r="A38" s="2"/>
      <c r="B38" s="17">
        <v>421</v>
      </c>
      <c r="C38" s="15" t="s">
        <v>234</v>
      </c>
      <c r="D38" s="69">
        <f>'Datos (Hoja de Trabajo)'!I28+'Datos (Hoja de Trabajo)'!I29+'Datos (Hoja de Trabajo)'!I30</f>
        <v>1550</v>
      </c>
      <c r="E38" s="69"/>
      <c r="F38" s="16"/>
      <c r="G38" s="16"/>
      <c r="I38" s="17">
        <v>6215</v>
      </c>
      <c r="J38" s="15" t="s">
        <v>111</v>
      </c>
      <c r="K38" s="16">
        <f t="shared" si="37"/>
        <v>0</v>
      </c>
      <c r="L38" s="16">
        <f t="shared" si="38"/>
        <v>0</v>
      </c>
      <c r="M38" s="16">
        <f t="shared" si="33"/>
        <v>341.875</v>
      </c>
      <c r="N38" s="16">
        <f t="shared" si="34"/>
        <v>0</v>
      </c>
      <c r="O38" s="16">
        <f t="shared" si="6"/>
        <v>341.875</v>
      </c>
      <c r="P38" s="16">
        <f t="shared" si="7"/>
        <v>0</v>
      </c>
      <c r="Q38" s="16"/>
      <c r="R38" s="16"/>
      <c r="S38" s="16"/>
      <c r="T38" s="15"/>
      <c r="U38" s="16">
        <f t="shared" si="35"/>
        <v>341.875</v>
      </c>
      <c r="V38" s="16">
        <f t="shared" si="36"/>
        <v>0</v>
      </c>
      <c r="W38" s="16"/>
      <c r="X38" s="15"/>
      <c r="AA38" s="1" t="s">
        <v>43</v>
      </c>
      <c r="AB38" s="9">
        <f>SUM(AB36:AB37)</f>
        <v>15100</v>
      </c>
      <c r="AG38" s="17">
        <v>6391</v>
      </c>
      <c r="AH38" s="15" t="s">
        <v>193</v>
      </c>
      <c r="AI38" s="16"/>
      <c r="AJ38" s="16">
        <f>U45</f>
        <v>1000</v>
      </c>
      <c r="AL38" s="1" t="s">
        <v>43</v>
      </c>
      <c r="AM38" s="9">
        <f>SUM(AM36:AM37)</f>
        <v>15100</v>
      </c>
    </row>
    <row r="39" spans="1:39" x14ac:dyDescent="0.3">
      <c r="A39" s="2"/>
      <c r="B39" s="17">
        <v>104</v>
      </c>
      <c r="C39" s="15" t="s">
        <v>217</v>
      </c>
      <c r="D39" s="69"/>
      <c r="E39" s="69">
        <f>D38</f>
        <v>1550</v>
      </c>
      <c r="F39" s="16"/>
      <c r="G39" s="16"/>
      <c r="I39" s="17">
        <v>6271</v>
      </c>
      <c r="J39" s="15" t="s">
        <v>166</v>
      </c>
      <c r="K39" s="16">
        <f t="shared" si="37"/>
        <v>0</v>
      </c>
      <c r="L39" s="16">
        <f t="shared" si="38"/>
        <v>0</v>
      </c>
      <c r="M39" s="16">
        <f t="shared" si="33"/>
        <v>276.91875000000005</v>
      </c>
      <c r="N39" s="16">
        <f t="shared" si="34"/>
        <v>0</v>
      </c>
      <c r="O39" s="16">
        <f t="shared" si="6"/>
        <v>276.91875000000005</v>
      </c>
      <c r="P39" s="16">
        <f t="shared" si="7"/>
        <v>0</v>
      </c>
      <c r="Q39" s="16"/>
      <c r="R39" s="16"/>
      <c r="S39" s="16"/>
      <c r="T39" s="15"/>
      <c r="U39" s="16">
        <f t="shared" si="35"/>
        <v>276.91875000000005</v>
      </c>
      <c r="V39" s="16">
        <f t="shared" si="36"/>
        <v>0</v>
      </c>
      <c r="W39" s="16"/>
      <c r="X39" s="15"/>
      <c r="AA39" t="s">
        <v>44</v>
      </c>
      <c r="AB39" s="5">
        <f>-W57</f>
        <v>-7058.6020833333332</v>
      </c>
      <c r="AG39" s="17">
        <v>6363</v>
      </c>
      <c r="AH39" s="15" t="s">
        <v>276</v>
      </c>
      <c r="AJ39" s="5">
        <f>U49</f>
        <v>600</v>
      </c>
      <c r="AL39" t="s">
        <v>44</v>
      </c>
      <c r="AM39" s="5">
        <f t="shared" ref="AM39" si="39">AB39</f>
        <v>-7058.6020833333332</v>
      </c>
    </row>
    <row r="40" spans="1:39" ht="15" thickBot="1" x14ac:dyDescent="0.35">
      <c r="A40" s="2"/>
      <c r="B40" s="17"/>
      <c r="C40" s="15"/>
      <c r="D40" s="69"/>
      <c r="E40" s="69"/>
      <c r="F40" s="16"/>
      <c r="G40" s="16"/>
      <c r="I40" s="17">
        <v>6275</v>
      </c>
      <c r="J40" t="s">
        <v>281</v>
      </c>
      <c r="K40" s="16">
        <f t="shared" si="37"/>
        <v>0</v>
      </c>
      <c r="L40" s="16">
        <f t="shared" si="38"/>
        <v>0</v>
      </c>
      <c r="M40" s="16">
        <f t="shared" si="33"/>
        <v>92.306249999999991</v>
      </c>
      <c r="N40" s="16">
        <f t="shared" si="34"/>
        <v>0</v>
      </c>
      <c r="O40" s="16">
        <f t="shared" ref="O40" si="40">IF(K40-L40+M40-N40&gt;0,K40-L40+M40-N40,0)</f>
        <v>92.306249999999991</v>
      </c>
      <c r="P40" s="16">
        <f t="shared" ref="P40" si="41">IF(L40-K40+N40-M40&gt;0,L40-K40+N40-M40,0)</f>
        <v>0</v>
      </c>
      <c r="Q40" s="16"/>
      <c r="R40" s="16"/>
      <c r="S40" s="16"/>
      <c r="T40" s="15"/>
      <c r="U40" s="16">
        <f t="shared" ref="U40" si="42">IF(O40-P40+Q40-R40&gt;0,O40-P40+Q40-R40,0)</f>
        <v>92.306249999999991</v>
      </c>
      <c r="V40" s="16">
        <f t="shared" ref="V40" si="43">IF(P40-O40+R40-Q40&gt;0,P40-O40+R40-Q40,0)</f>
        <v>0</v>
      </c>
      <c r="W40" s="16"/>
      <c r="X40" s="15"/>
      <c r="AA40" t="s">
        <v>45</v>
      </c>
      <c r="AB40" s="5">
        <f>-W58</f>
        <v>-7858.6020833333323</v>
      </c>
      <c r="AG40" s="18" t="s">
        <v>75</v>
      </c>
      <c r="AH40" s="15"/>
      <c r="AI40" s="16"/>
      <c r="AJ40" s="16"/>
      <c r="AL40" t="s">
        <v>45</v>
      </c>
      <c r="AM40" s="5">
        <f>AB40</f>
        <v>-7858.6020833333323</v>
      </c>
    </row>
    <row r="41" spans="1:39" x14ac:dyDescent="0.3">
      <c r="A41" s="2">
        <v>2</v>
      </c>
      <c r="B41" s="18" t="s">
        <v>50</v>
      </c>
      <c r="C41" s="15"/>
      <c r="D41" s="69"/>
      <c r="E41" s="69"/>
      <c r="F41" s="16"/>
      <c r="G41" s="16"/>
      <c r="I41" s="17">
        <v>6291</v>
      </c>
      <c r="J41" s="15" t="s">
        <v>114</v>
      </c>
      <c r="K41" s="16">
        <f t="shared" si="37"/>
        <v>0</v>
      </c>
      <c r="L41" s="16">
        <f t="shared" si="38"/>
        <v>0</v>
      </c>
      <c r="M41" s="16">
        <f t="shared" si="33"/>
        <v>398.85416666666669</v>
      </c>
      <c r="N41" s="16">
        <f t="shared" si="34"/>
        <v>0</v>
      </c>
      <c r="O41" s="16">
        <f t="shared" si="6"/>
        <v>398.85416666666669</v>
      </c>
      <c r="P41" s="16">
        <f t="shared" si="7"/>
        <v>0</v>
      </c>
      <c r="Q41" s="16"/>
      <c r="R41" s="16"/>
      <c r="S41" s="16"/>
      <c r="T41" s="15"/>
      <c r="U41" s="16">
        <f t="shared" si="35"/>
        <v>398.85416666666669</v>
      </c>
      <c r="V41" s="16">
        <f t="shared" si="36"/>
        <v>0</v>
      </c>
      <c r="W41" s="16"/>
      <c r="X41" s="15"/>
      <c r="AA41" s="1" t="s">
        <v>46</v>
      </c>
      <c r="AB41" s="9">
        <f>SUM(AB38:AB40)</f>
        <v>182.79583333333449</v>
      </c>
      <c r="AG41"/>
      <c r="AL41" s="1" t="s">
        <v>46</v>
      </c>
      <c r="AM41" s="9">
        <f>SUM(AM38:AM40)</f>
        <v>182.79583333333449</v>
      </c>
    </row>
    <row r="42" spans="1:39" ht="15" thickBot="1" x14ac:dyDescent="0.35">
      <c r="A42" s="2"/>
      <c r="D42" s="70"/>
      <c r="E42" s="70"/>
      <c r="F42" s="5"/>
      <c r="G42" s="5"/>
      <c r="I42" s="17">
        <v>635</v>
      </c>
      <c r="J42" s="15" t="s">
        <v>275</v>
      </c>
      <c r="K42" s="16">
        <f t="shared" si="37"/>
        <v>0</v>
      </c>
      <c r="L42" s="16">
        <f t="shared" si="38"/>
        <v>0</v>
      </c>
      <c r="M42" s="16">
        <f t="shared" si="33"/>
        <v>3500</v>
      </c>
      <c r="N42" s="16">
        <f t="shared" si="34"/>
        <v>0</v>
      </c>
      <c r="O42" s="16">
        <f t="shared" si="6"/>
        <v>3500</v>
      </c>
      <c r="P42" s="16">
        <f t="shared" si="7"/>
        <v>0</v>
      </c>
      <c r="Q42" s="16"/>
      <c r="R42" s="16"/>
      <c r="S42" s="16"/>
      <c r="T42" s="15"/>
      <c r="U42" s="16">
        <f t="shared" si="35"/>
        <v>3500</v>
      </c>
      <c r="V42" s="16">
        <f t="shared" si="36"/>
        <v>0</v>
      </c>
      <c r="W42" s="16"/>
      <c r="X42" s="15"/>
      <c r="AA42" t="s">
        <v>201</v>
      </c>
      <c r="AB42" s="5">
        <f>-W55</f>
        <v>-300</v>
      </c>
      <c r="AG42" s="17">
        <v>831</v>
      </c>
      <c r="AH42" s="15" t="s">
        <v>72</v>
      </c>
      <c r="AI42" s="16"/>
      <c r="AJ42" s="16">
        <f>AI43-AJ44-AJ45-AJ46-AJ47-AJ48-AJ49-AJ50</f>
        <v>1003.795833333334</v>
      </c>
      <c r="AL42" t="s">
        <v>287</v>
      </c>
      <c r="AM42" s="5">
        <f>AB42</f>
        <v>-300</v>
      </c>
    </row>
    <row r="43" spans="1:39" x14ac:dyDescent="0.3">
      <c r="A43" s="2"/>
      <c r="B43" s="17">
        <v>104</v>
      </c>
      <c r="C43" s="15" t="s">
        <v>217</v>
      </c>
      <c r="D43" s="69">
        <f>E44</f>
        <v>16200</v>
      </c>
      <c r="E43" s="69"/>
      <c r="F43" s="16"/>
      <c r="G43" s="16"/>
      <c r="I43" s="17">
        <v>6361</v>
      </c>
      <c r="J43" s="15" t="s">
        <v>14</v>
      </c>
      <c r="K43" s="16">
        <f t="shared" si="37"/>
        <v>0</v>
      </c>
      <c r="L43" s="16">
        <f t="shared" si="38"/>
        <v>0</v>
      </c>
      <c r="M43" s="16">
        <f t="shared" si="33"/>
        <v>450</v>
      </c>
      <c r="N43" s="16">
        <f t="shared" si="34"/>
        <v>0</v>
      </c>
      <c r="O43" s="16">
        <f t="shared" si="6"/>
        <v>450</v>
      </c>
      <c r="P43" s="16">
        <f t="shared" si="7"/>
        <v>0</v>
      </c>
      <c r="Q43" s="16"/>
      <c r="R43" s="16"/>
      <c r="S43" s="16"/>
      <c r="T43" s="15"/>
      <c r="U43" s="16">
        <f t="shared" si="35"/>
        <v>450</v>
      </c>
      <c r="V43" s="16">
        <f t="shared" si="36"/>
        <v>0</v>
      </c>
      <c r="W43" s="16"/>
      <c r="X43" s="15"/>
      <c r="AA43" s="1" t="s">
        <v>205</v>
      </c>
      <c r="AB43" s="9">
        <f>SUM(AB41:AB42)</f>
        <v>-117.20416666666551</v>
      </c>
      <c r="AG43" s="17">
        <v>821</v>
      </c>
      <c r="AH43" s="15" t="s">
        <v>71</v>
      </c>
      <c r="AI43" s="16">
        <f>AJ33</f>
        <v>8900</v>
      </c>
      <c r="AJ43" s="16"/>
      <c r="AL43" s="1" t="s">
        <v>205</v>
      </c>
      <c r="AM43" s="9">
        <f>SUM(AM41:AM42)</f>
        <v>-117.20416666666551</v>
      </c>
    </row>
    <row r="44" spans="1:39" x14ac:dyDescent="0.3">
      <c r="A44" s="2"/>
      <c r="B44" s="17">
        <v>121</v>
      </c>
      <c r="C44" s="15" t="s">
        <v>223</v>
      </c>
      <c r="D44" s="69"/>
      <c r="E44" s="69">
        <f>'Datos (Hoja de Trabajo)'!H6+'Datos (Hoja de Trabajo)'!H7+'Datos (Hoja de Trabajo)'!H8</f>
        <v>16200</v>
      </c>
      <c r="F44" s="16"/>
      <c r="G44" s="16"/>
      <c r="I44" s="17">
        <v>6365</v>
      </c>
      <c r="J44" s="15" t="s">
        <v>154</v>
      </c>
      <c r="K44" s="16">
        <f t="shared" si="37"/>
        <v>0</v>
      </c>
      <c r="L44" s="16">
        <f t="shared" si="38"/>
        <v>0</v>
      </c>
      <c r="M44" s="16">
        <f t="shared" si="33"/>
        <v>650</v>
      </c>
      <c r="N44" s="16">
        <f t="shared" si="34"/>
        <v>0</v>
      </c>
      <c r="O44" s="16">
        <f t="shared" si="6"/>
        <v>650</v>
      </c>
      <c r="P44" s="16">
        <f t="shared" si="7"/>
        <v>0</v>
      </c>
      <c r="Q44" s="16"/>
      <c r="R44" s="16"/>
      <c r="S44" s="16"/>
      <c r="T44" s="15"/>
      <c r="U44" s="16">
        <f t="shared" si="35"/>
        <v>650</v>
      </c>
      <c r="V44" s="16">
        <f t="shared" si="36"/>
        <v>0</v>
      </c>
      <c r="W44" s="16"/>
      <c r="X44" s="15"/>
      <c r="AA44" t="s">
        <v>7</v>
      </c>
      <c r="AB44" s="5"/>
      <c r="AG44" s="17">
        <v>6275</v>
      </c>
      <c r="AH44" t="s">
        <v>281</v>
      </c>
      <c r="AI44" s="16"/>
      <c r="AJ44" s="16">
        <f>U40</f>
        <v>92.306249999999991</v>
      </c>
      <c r="AL44" t="s">
        <v>7</v>
      </c>
      <c r="AM44" s="5">
        <f>-AI11</f>
        <v>0</v>
      </c>
    </row>
    <row r="45" spans="1:39" ht="15" thickBot="1" x14ac:dyDescent="0.35">
      <c r="A45" s="2">
        <v>3</v>
      </c>
      <c r="B45" s="18" t="s">
        <v>51</v>
      </c>
      <c r="C45" s="15"/>
      <c r="D45" s="69"/>
      <c r="E45" s="69"/>
      <c r="F45" s="16"/>
      <c r="G45" s="16"/>
      <c r="I45" s="17">
        <v>639</v>
      </c>
      <c r="J45" s="15" t="s">
        <v>193</v>
      </c>
      <c r="K45" s="16">
        <f t="shared" si="37"/>
        <v>0</v>
      </c>
      <c r="L45" s="16">
        <f t="shared" si="38"/>
        <v>0</v>
      </c>
      <c r="M45" s="16">
        <f t="shared" si="33"/>
        <v>1000</v>
      </c>
      <c r="N45" s="16">
        <f t="shared" si="34"/>
        <v>0</v>
      </c>
      <c r="O45" s="16">
        <f t="shared" si="6"/>
        <v>1000</v>
      </c>
      <c r="P45" s="16">
        <f t="shared" si="7"/>
        <v>0</v>
      </c>
      <c r="Q45" s="16"/>
      <c r="R45" s="16"/>
      <c r="S45" s="16"/>
      <c r="T45" s="15"/>
      <c r="U45" s="16">
        <f t="shared" si="35"/>
        <v>1000</v>
      </c>
      <c r="V45" s="16">
        <f t="shared" si="36"/>
        <v>0</v>
      </c>
      <c r="W45" s="16"/>
      <c r="X45" s="15"/>
      <c r="AA45" s="1" t="s">
        <v>38</v>
      </c>
      <c r="AB45" s="33">
        <f>SUM(AB43:AB44)</f>
        <v>-117.20416666666551</v>
      </c>
      <c r="AG45" s="17">
        <v>6211</v>
      </c>
      <c r="AH45" s="15" t="s">
        <v>165</v>
      </c>
      <c r="AI45" s="16"/>
      <c r="AJ45" s="16">
        <f>U36</f>
        <v>4102.5</v>
      </c>
      <c r="AL45" s="1" t="s">
        <v>38</v>
      </c>
      <c r="AM45" s="35">
        <f>SUM(AM43:AM44)</f>
        <v>-117.20416666666551</v>
      </c>
    </row>
    <row r="46" spans="1:39" ht="15" thickTop="1" x14ac:dyDescent="0.3">
      <c r="A46" s="2"/>
      <c r="D46" s="70"/>
      <c r="E46" s="70"/>
      <c r="F46" s="5"/>
      <c r="G46" s="5"/>
      <c r="I46" s="17">
        <v>641</v>
      </c>
      <c r="J46" s="15" t="s">
        <v>188</v>
      </c>
      <c r="K46" s="16">
        <f t="shared" si="37"/>
        <v>0</v>
      </c>
      <c r="L46" s="16">
        <f t="shared" si="38"/>
        <v>0</v>
      </c>
      <c r="M46" s="16">
        <f t="shared" si="33"/>
        <v>2000</v>
      </c>
      <c r="N46" s="16">
        <f t="shared" si="34"/>
        <v>0</v>
      </c>
      <c r="O46" s="16">
        <f t="shared" si="6"/>
        <v>2000</v>
      </c>
      <c r="P46" s="16">
        <f t="shared" si="7"/>
        <v>0</v>
      </c>
      <c r="Q46" s="16"/>
      <c r="R46" s="16"/>
      <c r="S46" s="16"/>
      <c r="T46" s="15"/>
      <c r="U46" s="16">
        <f t="shared" si="35"/>
        <v>2000</v>
      </c>
      <c r="V46" s="16">
        <f t="shared" si="36"/>
        <v>0</v>
      </c>
      <c r="W46" s="16"/>
      <c r="X46" s="15"/>
      <c r="AG46" s="17">
        <v>6214</v>
      </c>
      <c r="AH46" s="15" t="s">
        <v>169</v>
      </c>
      <c r="AI46" s="16"/>
      <c r="AJ46" s="16">
        <f>U37</f>
        <v>683.75</v>
      </c>
    </row>
    <row r="47" spans="1:39" x14ac:dyDescent="0.3">
      <c r="A47" s="2"/>
      <c r="B47" s="17">
        <v>121</v>
      </c>
      <c r="C47" s="15" t="s">
        <v>223</v>
      </c>
      <c r="D47" s="69">
        <f>E48+E49</f>
        <v>31010.400000000001</v>
      </c>
      <c r="E47" s="69"/>
      <c r="F47" s="16"/>
      <c r="G47" s="16"/>
      <c r="I47" s="17">
        <v>651</v>
      </c>
      <c r="J47" s="15" t="s">
        <v>157</v>
      </c>
      <c r="K47" s="16">
        <f t="shared" si="37"/>
        <v>0</v>
      </c>
      <c r="L47" s="16">
        <f t="shared" si="38"/>
        <v>0</v>
      </c>
      <c r="M47" s="16">
        <f t="shared" si="33"/>
        <v>200</v>
      </c>
      <c r="N47" s="16">
        <f t="shared" si="34"/>
        <v>0</v>
      </c>
      <c r="O47" s="16">
        <f t="shared" si="6"/>
        <v>200</v>
      </c>
      <c r="P47" s="16">
        <f t="shared" si="7"/>
        <v>0</v>
      </c>
      <c r="Q47" s="16"/>
      <c r="R47" s="16"/>
      <c r="S47" s="16"/>
      <c r="T47" s="15"/>
      <c r="U47" s="16">
        <f t="shared" si="35"/>
        <v>200</v>
      </c>
      <c r="V47" s="16">
        <f t="shared" si="36"/>
        <v>0</v>
      </c>
      <c r="W47" s="16"/>
      <c r="X47" s="15"/>
      <c r="AG47" s="17">
        <v>6215</v>
      </c>
      <c r="AH47" s="15" t="s">
        <v>111</v>
      </c>
      <c r="AI47" s="16"/>
      <c r="AJ47" s="16">
        <f>U38</f>
        <v>341.875</v>
      </c>
    </row>
    <row r="48" spans="1:39" x14ac:dyDescent="0.3">
      <c r="A48" s="2"/>
      <c r="B48" s="17">
        <v>4011</v>
      </c>
      <c r="C48" s="15" t="s">
        <v>123</v>
      </c>
      <c r="D48" s="69"/>
      <c r="E48" s="69">
        <f>E49*0.18</f>
        <v>4730.3999999999996</v>
      </c>
      <c r="F48" s="16"/>
      <c r="G48" s="16"/>
      <c r="I48" s="17">
        <v>656</v>
      </c>
      <c r="J48" s="15" t="s">
        <v>277</v>
      </c>
      <c r="K48" s="16">
        <f t="shared" si="37"/>
        <v>0</v>
      </c>
      <c r="L48" s="16">
        <f t="shared" si="38"/>
        <v>0</v>
      </c>
      <c r="M48" s="16">
        <f t="shared" si="33"/>
        <v>300</v>
      </c>
      <c r="N48" s="16">
        <f t="shared" si="34"/>
        <v>0</v>
      </c>
      <c r="O48" s="16">
        <f t="shared" si="6"/>
        <v>300</v>
      </c>
      <c r="P48" s="16">
        <f t="shared" si="7"/>
        <v>0</v>
      </c>
      <c r="Q48" s="16"/>
      <c r="R48" s="16"/>
      <c r="S48" s="16"/>
      <c r="T48" s="15"/>
      <c r="U48" s="16">
        <f t="shared" si="35"/>
        <v>300</v>
      </c>
      <c r="V48" s="16">
        <f t="shared" si="36"/>
        <v>0</v>
      </c>
      <c r="W48" s="16"/>
      <c r="X48" s="15"/>
      <c r="AG48" s="17">
        <v>6271</v>
      </c>
      <c r="AH48" s="15" t="s">
        <v>166</v>
      </c>
      <c r="AI48" s="16"/>
      <c r="AJ48" s="16">
        <f>U39</f>
        <v>276.91875000000005</v>
      </c>
    </row>
    <row r="49" spans="1:39" x14ac:dyDescent="0.3">
      <c r="A49" s="2"/>
      <c r="B49" s="17">
        <v>701</v>
      </c>
      <c r="C49" s="15" t="s">
        <v>2</v>
      </c>
      <c r="D49" s="69"/>
      <c r="E49" s="69">
        <f>'Datos (Hoja de Trabajo)'!F53</f>
        <v>26280</v>
      </c>
      <c r="F49" s="16"/>
      <c r="G49" s="16"/>
      <c r="I49" s="17">
        <v>6363</v>
      </c>
      <c r="J49" s="15" t="s">
        <v>276</v>
      </c>
      <c r="K49" s="16">
        <f t="shared" si="37"/>
        <v>0</v>
      </c>
      <c r="L49" s="16">
        <f t="shared" si="38"/>
        <v>0</v>
      </c>
      <c r="M49" s="16">
        <f t="shared" si="33"/>
        <v>600</v>
      </c>
      <c r="N49" s="16">
        <f t="shared" si="34"/>
        <v>0</v>
      </c>
      <c r="O49" s="16">
        <f t="shared" si="6"/>
        <v>600</v>
      </c>
      <c r="P49" s="16">
        <f t="shared" si="7"/>
        <v>0</v>
      </c>
      <c r="Q49" s="16"/>
      <c r="R49" s="16"/>
      <c r="S49" s="16"/>
      <c r="T49" s="15"/>
      <c r="U49" s="16">
        <f t="shared" si="35"/>
        <v>600</v>
      </c>
      <c r="V49" s="16">
        <f t="shared" si="36"/>
        <v>0</v>
      </c>
      <c r="W49" s="16"/>
      <c r="X49" s="15"/>
      <c r="AG49" s="17">
        <v>6291</v>
      </c>
      <c r="AH49" s="15" t="s">
        <v>114</v>
      </c>
      <c r="AI49" s="16"/>
      <c r="AJ49" s="16">
        <f>U41</f>
        <v>398.85416666666669</v>
      </c>
    </row>
    <row r="50" spans="1:39" x14ac:dyDescent="0.3">
      <c r="A50" s="2">
        <v>4</v>
      </c>
      <c r="B50" s="18" t="s">
        <v>52</v>
      </c>
      <c r="C50" s="15"/>
      <c r="D50" s="69"/>
      <c r="E50" s="69"/>
      <c r="F50" s="16"/>
      <c r="G50" s="16"/>
      <c r="I50" s="17">
        <v>68413</v>
      </c>
      <c r="J50" s="15" t="s">
        <v>185</v>
      </c>
      <c r="K50" s="16">
        <f t="shared" si="37"/>
        <v>0</v>
      </c>
      <c r="L50" s="16">
        <f t="shared" si="38"/>
        <v>0</v>
      </c>
      <c r="M50" s="16">
        <f t="shared" si="33"/>
        <v>200</v>
      </c>
      <c r="N50" s="16">
        <f t="shared" si="34"/>
        <v>0</v>
      </c>
      <c r="O50" s="16">
        <f t="shared" si="6"/>
        <v>200</v>
      </c>
      <c r="P50" s="16">
        <f t="shared" si="7"/>
        <v>0</v>
      </c>
      <c r="Q50" s="16"/>
      <c r="R50" s="16"/>
      <c r="S50" s="16"/>
      <c r="T50" s="15"/>
      <c r="U50" s="16">
        <f t="shared" si="35"/>
        <v>200</v>
      </c>
      <c r="V50" s="16">
        <f t="shared" si="36"/>
        <v>0</v>
      </c>
      <c r="W50" s="16"/>
      <c r="X50" s="15"/>
      <c r="AG50" s="17">
        <v>6412</v>
      </c>
      <c r="AH50" s="15" t="s">
        <v>188</v>
      </c>
      <c r="AI50" s="16"/>
      <c r="AJ50" s="16">
        <f>U46</f>
        <v>2000</v>
      </c>
    </row>
    <row r="51" spans="1:39" x14ac:dyDescent="0.3">
      <c r="A51" s="2"/>
      <c r="D51" s="70"/>
      <c r="E51" s="70"/>
      <c r="F51" s="5"/>
      <c r="G51" s="5"/>
      <c r="I51" s="17">
        <v>68414</v>
      </c>
      <c r="J51" s="15" t="s">
        <v>186</v>
      </c>
      <c r="K51" s="16">
        <f t="shared" si="37"/>
        <v>0</v>
      </c>
      <c r="L51" s="16">
        <f t="shared" si="38"/>
        <v>0</v>
      </c>
      <c r="M51" s="16">
        <f t="shared" si="33"/>
        <v>38</v>
      </c>
      <c r="N51" s="16">
        <f t="shared" si="34"/>
        <v>0</v>
      </c>
      <c r="O51" s="16">
        <f t="shared" si="6"/>
        <v>38</v>
      </c>
      <c r="P51" s="16">
        <f t="shared" si="7"/>
        <v>0</v>
      </c>
      <c r="Q51" s="16"/>
      <c r="R51" s="16"/>
      <c r="S51" s="16"/>
      <c r="T51" s="15"/>
      <c r="U51" s="16">
        <f t="shared" si="35"/>
        <v>38</v>
      </c>
      <c r="V51" s="16">
        <f t="shared" si="36"/>
        <v>0</v>
      </c>
      <c r="W51" s="16"/>
      <c r="X51" s="15"/>
      <c r="AA51" s="1" t="s">
        <v>63</v>
      </c>
      <c r="AB51" s="1"/>
      <c r="AG51" s="18" t="s">
        <v>77</v>
      </c>
      <c r="AH51" s="15"/>
      <c r="AI51" s="16"/>
      <c r="AJ51" s="16"/>
      <c r="AL51" s="1" t="s">
        <v>63</v>
      </c>
      <c r="AM51" s="1"/>
    </row>
    <row r="52" spans="1:39" x14ac:dyDescent="0.3">
      <c r="A52" s="2"/>
      <c r="B52" s="17">
        <v>691</v>
      </c>
      <c r="C52" s="15" t="s">
        <v>11</v>
      </c>
      <c r="D52" s="69">
        <f>'Datos (Hoja de Trabajo)'!H53</f>
        <v>11180</v>
      </c>
      <c r="E52" s="69"/>
      <c r="F52" s="16"/>
      <c r="G52" s="16"/>
      <c r="I52" s="17">
        <v>68415</v>
      </c>
      <c r="J52" s="15" t="s">
        <v>187</v>
      </c>
      <c r="K52" s="16">
        <f t="shared" si="37"/>
        <v>0</v>
      </c>
      <c r="L52" s="16">
        <f t="shared" si="38"/>
        <v>0</v>
      </c>
      <c r="M52" s="16">
        <f t="shared" si="33"/>
        <v>83</v>
      </c>
      <c r="N52" s="16">
        <f t="shared" si="34"/>
        <v>0</v>
      </c>
      <c r="O52" s="16">
        <f t="shared" si="6"/>
        <v>83</v>
      </c>
      <c r="P52" s="16">
        <f t="shared" si="7"/>
        <v>0</v>
      </c>
      <c r="Q52" s="16"/>
      <c r="R52" s="16"/>
      <c r="S52" s="16"/>
      <c r="T52" s="15"/>
      <c r="U52" s="16">
        <f t="shared" si="35"/>
        <v>83</v>
      </c>
      <c r="V52" s="16">
        <f t="shared" si="36"/>
        <v>0</v>
      </c>
      <c r="W52" s="16"/>
      <c r="X52" s="15"/>
      <c r="AA52" t="s">
        <v>62</v>
      </c>
      <c r="AG52"/>
      <c r="AL52" t="s">
        <v>62</v>
      </c>
    </row>
    <row r="53" spans="1:39" x14ac:dyDescent="0.3">
      <c r="A53" s="2"/>
      <c r="B53" s="17">
        <v>201</v>
      </c>
      <c r="C53" s="15" t="s">
        <v>6</v>
      </c>
      <c r="D53" s="69"/>
      <c r="E53" s="69">
        <f>D52</f>
        <v>11180</v>
      </c>
      <c r="F53" s="16"/>
      <c r="G53" s="16"/>
      <c r="I53" s="17">
        <v>691</v>
      </c>
      <c r="J53" s="15" t="s">
        <v>11</v>
      </c>
      <c r="K53" s="16">
        <f t="shared" si="37"/>
        <v>0</v>
      </c>
      <c r="L53" s="16">
        <f t="shared" si="38"/>
        <v>0</v>
      </c>
      <c r="M53" s="16">
        <f t="shared" si="33"/>
        <v>11180</v>
      </c>
      <c r="N53" s="16">
        <f t="shared" si="34"/>
        <v>0</v>
      </c>
      <c r="O53" s="16">
        <f t="shared" si="6"/>
        <v>11180</v>
      </c>
      <c r="P53" s="16">
        <f t="shared" si="7"/>
        <v>0</v>
      </c>
      <c r="Q53" s="16"/>
      <c r="R53" s="16">
        <f>O53</f>
        <v>11180</v>
      </c>
      <c r="S53" s="16"/>
      <c r="T53" s="15"/>
      <c r="U53" s="16">
        <f t="shared" si="35"/>
        <v>0</v>
      </c>
      <c r="V53" s="16">
        <f t="shared" si="36"/>
        <v>0</v>
      </c>
      <c r="W53" s="16">
        <f>O53</f>
        <v>11180</v>
      </c>
      <c r="X53" s="15"/>
      <c r="AA53" t="s">
        <v>60</v>
      </c>
      <c r="AG53" s="17">
        <v>841</v>
      </c>
      <c r="AH53" s="15" t="s">
        <v>76</v>
      </c>
      <c r="AI53" s="16"/>
      <c r="AJ53" s="16">
        <f>AI54-AJ55-AJ56-AJ57-AJ58-AJ59</f>
        <v>182.79583333333403</v>
      </c>
      <c r="AL53" t="s">
        <v>60</v>
      </c>
    </row>
    <row r="54" spans="1:39" x14ac:dyDescent="0.3">
      <c r="A54" s="2">
        <v>4</v>
      </c>
      <c r="B54" s="18" t="s">
        <v>53</v>
      </c>
      <c r="C54" s="15"/>
      <c r="D54" s="69"/>
      <c r="E54" s="69"/>
      <c r="F54" s="16"/>
      <c r="G54" s="16"/>
      <c r="I54" s="17">
        <v>701</v>
      </c>
      <c r="J54" s="15" t="s">
        <v>2</v>
      </c>
      <c r="K54" s="16">
        <f t="shared" si="37"/>
        <v>0</v>
      </c>
      <c r="L54" s="16">
        <f t="shared" si="38"/>
        <v>0</v>
      </c>
      <c r="M54" s="16">
        <f t="shared" si="33"/>
        <v>0</v>
      </c>
      <c r="N54" s="16">
        <f t="shared" si="34"/>
        <v>26280</v>
      </c>
      <c r="O54" s="16">
        <f t="shared" si="6"/>
        <v>0</v>
      </c>
      <c r="P54" s="16">
        <f t="shared" si="7"/>
        <v>26280</v>
      </c>
      <c r="Q54" s="16"/>
      <c r="R54" s="16"/>
      <c r="S54" s="16"/>
      <c r="T54" s="15"/>
      <c r="U54" s="16">
        <f t="shared" si="35"/>
        <v>0</v>
      </c>
      <c r="V54" s="16">
        <f t="shared" si="36"/>
        <v>26280</v>
      </c>
      <c r="W54" s="16"/>
      <c r="X54" s="16">
        <f>P54</f>
        <v>26280</v>
      </c>
      <c r="AG54" s="17">
        <v>831</v>
      </c>
      <c r="AH54" s="15" t="s">
        <v>72</v>
      </c>
      <c r="AI54" s="16">
        <f>AJ42</f>
        <v>1003.795833333334</v>
      </c>
      <c r="AJ54" s="16"/>
    </row>
    <row r="55" spans="1:39" x14ac:dyDescent="0.3">
      <c r="A55" s="2"/>
      <c r="D55" s="70"/>
      <c r="E55" s="70"/>
      <c r="F55" s="5"/>
      <c r="G55" s="5"/>
      <c r="I55" s="17">
        <v>673</v>
      </c>
      <c r="J55" s="15" t="s">
        <v>278</v>
      </c>
      <c r="K55" s="16">
        <f t="shared" si="37"/>
        <v>0</v>
      </c>
      <c r="L55" s="16">
        <f t="shared" si="38"/>
        <v>0</v>
      </c>
      <c r="M55" s="16">
        <f t="shared" si="33"/>
        <v>300</v>
      </c>
      <c r="N55" s="16">
        <f t="shared" si="34"/>
        <v>0</v>
      </c>
      <c r="O55" s="16">
        <f t="shared" si="6"/>
        <v>300</v>
      </c>
      <c r="P55" s="16">
        <f t="shared" si="7"/>
        <v>0</v>
      </c>
      <c r="Q55" s="16"/>
      <c r="R55" s="16"/>
      <c r="S55" s="16"/>
      <c r="T55" s="15"/>
      <c r="U55" s="16">
        <f t="shared" si="35"/>
        <v>300</v>
      </c>
      <c r="V55" s="16">
        <f t="shared" si="36"/>
        <v>0</v>
      </c>
      <c r="W55" s="16">
        <f>U55</f>
        <v>300</v>
      </c>
      <c r="X55" s="16">
        <f>P55</f>
        <v>0</v>
      </c>
      <c r="AG55" s="17">
        <v>651</v>
      </c>
      <c r="AH55" s="15" t="s">
        <v>157</v>
      </c>
      <c r="AI55" s="16"/>
      <c r="AJ55" s="16">
        <f>U47</f>
        <v>200</v>
      </c>
    </row>
    <row r="56" spans="1:39" x14ac:dyDescent="0.3">
      <c r="A56" s="2"/>
      <c r="B56" s="17">
        <v>104</v>
      </c>
      <c r="C56" s="15" t="s">
        <v>217</v>
      </c>
      <c r="D56" s="69">
        <f>E57</f>
        <v>24808.320000000003</v>
      </c>
      <c r="E56" s="69"/>
      <c r="F56" s="16"/>
      <c r="G56" s="16"/>
      <c r="I56" s="17">
        <v>79</v>
      </c>
      <c r="J56" s="15" t="s">
        <v>13</v>
      </c>
      <c r="K56" s="16">
        <f t="shared" si="37"/>
        <v>0</v>
      </c>
      <c r="L56" s="16">
        <f t="shared" si="38"/>
        <v>0</v>
      </c>
      <c r="M56" s="16">
        <f t="shared" si="33"/>
        <v>0</v>
      </c>
      <c r="N56" s="16">
        <f t="shared" si="34"/>
        <v>14917.204166666665</v>
      </c>
      <c r="O56" s="16">
        <f t="shared" si="6"/>
        <v>0</v>
      </c>
      <c r="P56" s="16">
        <f t="shared" si="7"/>
        <v>14917.204166666665</v>
      </c>
      <c r="Q56" s="16">
        <f>P56</f>
        <v>14917.204166666665</v>
      </c>
      <c r="R56" s="16"/>
      <c r="S56" s="16"/>
      <c r="T56" s="15"/>
      <c r="U56" s="16">
        <f t="shared" si="35"/>
        <v>0</v>
      </c>
      <c r="V56" s="16">
        <f t="shared" si="36"/>
        <v>0</v>
      </c>
      <c r="W56" s="16"/>
      <c r="X56" s="15"/>
      <c r="AA56" t="s">
        <v>42</v>
      </c>
      <c r="AB56" s="5">
        <f>V54</f>
        <v>26280</v>
      </c>
      <c r="AG56" s="17">
        <v>656</v>
      </c>
      <c r="AH56" s="15" t="s">
        <v>173</v>
      </c>
      <c r="AI56" s="16"/>
      <c r="AJ56" s="16">
        <f>U48</f>
        <v>300</v>
      </c>
      <c r="AL56" t="s">
        <v>42</v>
      </c>
      <c r="AM56" s="5">
        <f>AB56</f>
        <v>26280</v>
      </c>
    </row>
    <row r="57" spans="1:39" x14ac:dyDescent="0.3">
      <c r="A57" s="2"/>
      <c r="B57" s="17">
        <v>121</v>
      </c>
      <c r="C57" s="15" t="s">
        <v>223</v>
      </c>
      <c r="D57" s="69"/>
      <c r="E57" s="69">
        <f>D47*0.8</f>
        <v>24808.320000000003</v>
      </c>
      <c r="F57" s="16"/>
      <c r="G57" s="16"/>
      <c r="I57" s="17">
        <v>94</v>
      </c>
      <c r="J57" s="15" t="s">
        <v>151</v>
      </c>
      <c r="K57" s="16">
        <f t="shared" si="37"/>
        <v>0</v>
      </c>
      <c r="L57" s="16">
        <f t="shared" si="38"/>
        <v>0</v>
      </c>
      <c r="M57" s="16">
        <f t="shared" si="33"/>
        <v>7058.6020833333332</v>
      </c>
      <c r="N57" s="16">
        <f t="shared" si="34"/>
        <v>0</v>
      </c>
      <c r="O57" s="16">
        <f t="shared" si="6"/>
        <v>7058.6020833333332</v>
      </c>
      <c r="P57" s="16">
        <f t="shared" si="7"/>
        <v>0</v>
      </c>
      <c r="Q57" s="16"/>
      <c r="R57" s="16">
        <f>O57</f>
        <v>7058.6020833333332</v>
      </c>
      <c r="S57" s="16"/>
      <c r="T57" s="15"/>
      <c r="U57" s="16">
        <f t="shared" si="35"/>
        <v>0</v>
      </c>
      <c r="V57" s="16">
        <f t="shared" si="36"/>
        <v>0</v>
      </c>
      <c r="W57" s="16">
        <f>O57</f>
        <v>7058.6020833333332</v>
      </c>
      <c r="X57" s="15"/>
      <c r="AA57" t="s">
        <v>64</v>
      </c>
      <c r="AB57" s="5">
        <f>-U34</f>
        <v>-7200</v>
      </c>
      <c r="AG57" s="17">
        <v>68413</v>
      </c>
      <c r="AH57" s="15" t="s">
        <v>185</v>
      </c>
      <c r="AI57" s="16"/>
      <c r="AJ57" s="16">
        <f>U50</f>
        <v>200</v>
      </c>
      <c r="AL57" t="s">
        <v>64</v>
      </c>
      <c r="AM57" s="5">
        <f t="shared" ref="AM57:AM58" si="44">AB57</f>
        <v>-7200</v>
      </c>
    </row>
    <row r="58" spans="1:39" ht="15" thickBot="1" x14ac:dyDescent="0.35">
      <c r="A58" s="2">
        <v>4</v>
      </c>
      <c r="B58" s="18" t="s">
        <v>244</v>
      </c>
      <c r="C58" s="15"/>
      <c r="D58" s="69"/>
      <c r="E58" s="69"/>
      <c r="F58" s="16"/>
      <c r="G58" s="16"/>
      <c r="I58" s="17">
        <v>95</v>
      </c>
      <c r="J58" s="15" t="s">
        <v>12</v>
      </c>
      <c r="K58" s="16">
        <f t="shared" si="37"/>
        <v>0</v>
      </c>
      <c r="L58" s="16">
        <f t="shared" si="38"/>
        <v>0</v>
      </c>
      <c r="M58" s="16">
        <f t="shared" si="33"/>
        <v>7858.6020833333323</v>
      </c>
      <c r="N58" s="16">
        <f t="shared" si="34"/>
        <v>0</v>
      </c>
      <c r="O58" s="16">
        <f t="shared" si="6"/>
        <v>7858.6020833333323</v>
      </c>
      <c r="P58" s="16">
        <f t="shared" si="7"/>
        <v>0</v>
      </c>
      <c r="Q58" s="16"/>
      <c r="R58" s="16">
        <f>O58</f>
        <v>7858.6020833333323</v>
      </c>
      <c r="S58" s="16"/>
      <c r="T58" s="15"/>
      <c r="U58" s="16">
        <f t="shared" si="35"/>
        <v>0</v>
      </c>
      <c r="V58" s="16">
        <f t="shared" si="36"/>
        <v>0</v>
      </c>
      <c r="W58" s="16">
        <f>O58</f>
        <v>7858.6020833333323</v>
      </c>
      <c r="X58" s="15"/>
      <c r="AA58" t="s">
        <v>10</v>
      </c>
      <c r="AB58" s="5">
        <f>-U35</f>
        <v>-3980</v>
      </c>
      <c r="AG58" s="17">
        <v>68414</v>
      </c>
      <c r="AH58" s="15" t="s">
        <v>186</v>
      </c>
      <c r="AI58" s="16"/>
      <c r="AJ58" s="16">
        <f>U51</f>
        <v>38</v>
      </c>
      <c r="AL58" t="s">
        <v>10</v>
      </c>
      <c r="AM58" s="5">
        <f t="shared" si="44"/>
        <v>-3980</v>
      </c>
    </row>
    <row r="59" spans="1:39" x14ac:dyDescent="0.3">
      <c r="A59" s="2"/>
      <c r="D59" s="70"/>
      <c r="E59" s="70"/>
      <c r="F59" s="5"/>
      <c r="G59" s="5"/>
      <c r="K59" s="5"/>
      <c r="L59" s="5"/>
      <c r="M59" s="5"/>
      <c r="N59" s="5"/>
      <c r="O59" s="5"/>
      <c r="AA59" s="1" t="s">
        <v>70</v>
      </c>
      <c r="AB59" s="9">
        <f>SUM(AB56:AB58)</f>
        <v>15100</v>
      </c>
      <c r="AG59" s="17">
        <v>68415</v>
      </c>
      <c r="AH59" s="15" t="s">
        <v>187</v>
      </c>
      <c r="AI59" s="16"/>
      <c r="AJ59" s="16">
        <f>U52</f>
        <v>83</v>
      </c>
      <c r="AL59" s="1" t="s">
        <v>70</v>
      </c>
      <c r="AM59" s="9">
        <f>SUM(AM56:AM58)</f>
        <v>15100</v>
      </c>
    </row>
    <row r="60" spans="1:39" ht="15" thickBot="1" x14ac:dyDescent="0.35">
      <c r="A60" s="2"/>
      <c r="B60" s="17">
        <v>6363</v>
      </c>
      <c r="C60" s="15" t="s">
        <v>276</v>
      </c>
      <c r="D60" s="69">
        <v>600</v>
      </c>
      <c r="E60" s="69"/>
      <c r="F60" s="16"/>
      <c r="G60" s="16"/>
      <c r="I60" s="19"/>
      <c r="J60" s="20" t="s">
        <v>59</v>
      </c>
      <c r="K60" s="21">
        <f t="shared" ref="K60:X60" si="45">SUM(K5:K59)</f>
        <v>108500</v>
      </c>
      <c r="L60" s="21">
        <f t="shared" si="45"/>
        <v>108500</v>
      </c>
      <c r="M60" s="21">
        <f t="shared" si="45"/>
        <v>148715.84708333333</v>
      </c>
      <c r="N60" s="21">
        <f t="shared" si="45"/>
        <v>148715.84708333333</v>
      </c>
      <c r="O60" s="21">
        <f t="shared" si="45"/>
        <v>164764.08958333332</v>
      </c>
      <c r="P60" s="21">
        <f t="shared" si="45"/>
        <v>164764.08958333332</v>
      </c>
      <c r="Q60" s="21">
        <f t="shared" si="45"/>
        <v>26097.204166666663</v>
      </c>
      <c r="R60" s="21">
        <f t="shared" si="45"/>
        <v>26097.204166666663</v>
      </c>
      <c r="S60" s="21">
        <f t="shared" si="45"/>
        <v>116249.68124999999</v>
      </c>
      <c r="T60" s="21">
        <f t="shared" si="45"/>
        <v>116366.88541666666</v>
      </c>
      <c r="U60" s="21">
        <f t="shared" si="45"/>
        <v>26397.20416666667</v>
      </c>
      <c r="V60" s="21">
        <f t="shared" si="45"/>
        <v>26280</v>
      </c>
      <c r="W60" s="21">
        <f t="shared" si="45"/>
        <v>26397.204166666663</v>
      </c>
      <c r="X60" s="22">
        <f t="shared" si="45"/>
        <v>26280</v>
      </c>
      <c r="AA60" t="s">
        <v>65</v>
      </c>
      <c r="AB60" s="5">
        <f>-U42-U43-U44-U45-U49</f>
        <v>-6200</v>
      </c>
      <c r="AG60" s="18" t="s">
        <v>78</v>
      </c>
      <c r="AH60" s="15"/>
      <c r="AI60" s="16"/>
      <c r="AJ60" s="16"/>
      <c r="AL60" t="s">
        <v>65</v>
      </c>
      <c r="AM60" s="5">
        <f>AB60</f>
        <v>-6200</v>
      </c>
    </row>
    <row r="61" spans="1:39" x14ac:dyDescent="0.3">
      <c r="A61" s="2"/>
      <c r="B61" s="17">
        <v>4011</v>
      </c>
      <c r="C61" s="15" t="s">
        <v>123</v>
      </c>
      <c r="D61" s="69">
        <f>D60*0.18</f>
        <v>108</v>
      </c>
      <c r="E61" s="69"/>
      <c r="F61" s="16"/>
      <c r="G61" s="16"/>
      <c r="K61" s="8">
        <f>K60-L60</f>
        <v>0</v>
      </c>
      <c r="L61" s="1"/>
      <c r="M61" s="8">
        <f>M60-N60</f>
        <v>0</v>
      </c>
      <c r="N61" s="1"/>
      <c r="O61" s="1"/>
      <c r="P61" s="1"/>
      <c r="Q61" s="1"/>
      <c r="R61" s="24" t="s">
        <v>84</v>
      </c>
      <c r="S61" s="23"/>
      <c r="T61" s="23">
        <f>S60-T60</f>
        <v>-117.20416666666279</v>
      </c>
      <c r="U61" s="23">
        <f>V60-U60</f>
        <v>-117.20416666667006</v>
      </c>
      <c r="V61" s="23"/>
      <c r="W61" s="23">
        <f>X60-W60</f>
        <v>-117.20416666666279</v>
      </c>
      <c r="X61" s="23"/>
      <c r="AA61" s="1" t="s">
        <v>71</v>
      </c>
      <c r="AB61" s="9">
        <f>SUM(AB59:AB60)</f>
        <v>8900</v>
      </c>
      <c r="AG61"/>
      <c r="AL61" s="1" t="s">
        <v>71</v>
      </c>
      <c r="AM61" s="9">
        <f>SUM(AM59:AM60)</f>
        <v>8900</v>
      </c>
    </row>
    <row r="62" spans="1:39" x14ac:dyDescent="0.3">
      <c r="A62" s="2"/>
      <c r="B62" s="17">
        <v>421</v>
      </c>
      <c r="C62" s="15" t="s">
        <v>234</v>
      </c>
      <c r="D62" s="69"/>
      <c r="E62" s="69">
        <f>D60+D61</f>
        <v>708</v>
      </c>
      <c r="F62" s="25"/>
      <c r="G62" s="16"/>
      <c r="S62" s="21">
        <f>S60+S61</f>
        <v>116249.68124999999</v>
      </c>
      <c r="T62" s="21">
        <f t="shared" ref="T62" si="46">T60+T61</f>
        <v>116249.68124999999</v>
      </c>
      <c r="U62" s="21">
        <f>U60+U61</f>
        <v>26280</v>
      </c>
      <c r="V62" s="21">
        <f t="shared" ref="V62" si="47">V60+V61</f>
        <v>26280</v>
      </c>
      <c r="W62" s="21">
        <f>W60+W61</f>
        <v>26280</v>
      </c>
      <c r="X62" s="21">
        <f t="shared" ref="X62" si="48">X60+X61</f>
        <v>26280</v>
      </c>
      <c r="AA62" t="s">
        <v>203</v>
      </c>
      <c r="AB62" s="5">
        <f>-U36-U37-U38-U39-U41-U40</f>
        <v>-5896.2041666666664</v>
      </c>
      <c r="AG62" s="17">
        <v>851</v>
      </c>
      <c r="AH62" s="15" t="s">
        <v>80</v>
      </c>
      <c r="AI62" s="16">
        <f>AJ64-AI63</f>
        <v>117.20416666666597</v>
      </c>
      <c r="AJ62" s="16"/>
      <c r="AL62" t="s">
        <v>203</v>
      </c>
      <c r="AM62" s="5">
        <f t="shared" ref="AM62:AM68" si="49">AB62</f>
        <v>-5896.2041666666664</v>
      </c>
    </row>
    <row r="63" spans="1:39" ht="15" thickBot="1" x14ac:dyDescent="0.35">
      <c r="A63" s="2">
        <v>5</v>
      </c>
      <c r="B63" s="18" t="s">
        <v>136</v>
      </c>
      <c r="C63" s="15"/>
      <c r="D63" s="69"/>
      <c r="E63" s="69"/>
      <c r="F63" s="16"/>
      <c r="G63" s="16"/>
      <c r="AA63" t="s">
        <v>204</v>
      </c>
      <c r="AB63" s="5">
        <f>-U46</f>
        <v>-2000</v>
      </c>
      <c r="AG63" s="17">
        <v>841</v>
      </c>
      <c r="AH63" s="15" t="s">
        <v>76</v>
      </c>
      <c r="AI63" s="16">
        <f>AJ53</f>
        <v>182.79583333333403</v>
      </c>
      <c r="AJ63" s="16"/>
      <c r="AL63" t="s">
        <v>204</v>
      </c>
      <c r="AM63" s="5">
        <f t="shared" si="49"/>
        <v>-2000</v>
      </c>
    </row>
    <row r="64" spans="1:39" x14ac:dyDescent="0.3">
      <c r="A64" s="2"/>
      <c r="D64" s="70"/>
      <c r="E64" s="70"/>
      <c r="F64" s="5"/>
      <c r="G64" s="5"/>
      <c r="AA64" s="1" t="s">
        <v>73</v>
      </c>
      <c r="AB64" s="9">
        <f>SUM(AB61:AB63)</f>
        <v>1003.7958333333336</v>
      </c>
      <c r="AG64" s="17">
        <v>673</v>
      </c>
      <c r="AH64" s="15" t="s">
        <v>278</v>
      </c>
      <c r="AI64" s="16"/>
      <c r="AJ64" s="16">
        <f>W55</f>
        <v>300</v>
      </c>
      <c r="AL64" s="1" t="s">
        <v>73</v>
      </c>
      <c r="AM64" s="9">
        <f>SUM(AM61:AM63)</f>
        <v>1003.7958333333336</v>
      </c>
    </row>
    <row r="65" spans="1:39" x14ac:dyDescent="0.3">
      <c r="A65" s="2"/>
      <c r="B65" s="17">
        <v>94</v>
      </c>
      <c r="C65" s="15" t="s">
        <v>151</v>
      </c>
      <c r="D65" s="69">
        <f>D60/2</f>
        <v>300</v>
      </c>
      <c r="E65" s="69"/>
      <c r="F65" s="16"/>
      <c r="G65" s="16"/>
      <c r="AA65" t="s">
        <v>66</v>
      </c>
      <c r="AB65" s="5">
        <f>-U47-U48</f>
        <v>-500</v>
      </c>
      <c r="AG65" s="17">
        <v>776</v>
      </c>
      <c r="AH65" s="15" t="s">
        <v>140</v>
      </c>
      <c r="AI65" s="16">
        <f>V55</f>
        <v>0</v>
      </c>
      <c r="AJ65" s="16"/>
      <c r="AL65" t="s">
        <v>66</v>
      </c>
      <c r="AM65" s="5">
        <f t="shared" si="49"/>
        <v>-500</v>
      </c>
    </row>
    <row r="66" spans="1:39" ht="15" thickBot="1" x14ac:dyDescent="0.35">
      <c r="A66" s="2"/>
      <c r="B66" s="17">
        <v>95</v>
      </c>
      <c r="C66" s="15" t="s">
        <v>12</v>
      </c>
      <c r="D66" s="69">
        <f>D65</f>
        <v>300</v>
      </c>
      <c r="E66" s="69"/>
      <c r="F66" s="16"/>
      <c r="G66" s="16"/>
      <c r="AA66" t="s">
        <v>67</v>
      </c>
      <c r="AB66" s="5">
        <f>-U50-U51-U52</f>
        <v>-321</v>
      </c>
      <c r="AG66" s="18" t="s">
        <v>81</v>
      </c>
      <c r="AH66" s="15"/>
      <c r="AI66" s="16"/>
      <c r="AJ66" s="16"/>
      <c r="AL66" t="s">
        <v>67</v>
      </c>
      <c r="AM66" s="5">
        <f t="shared" si="49"/>
        <v>-321</v>
      </c>
    </row>
    <row r="67" spans="1:39" x14ac:dyDescent="0.3">
      <c r="A67" s="2"/>
      <c r="B67" s="17">
        <v>79</v>
      </c>
      <c r="C67" s="15" t="s">
        <v>13</v>
      </c>
      <c r="D67" s="69"/>
      <c r="E67" s="69">
        <f>D65+D66</f>
        <v>600</v>
      </c>
      <c r="F67" s="16"/>
      <c r="G67" s="16"/>
      <c r="AA67" s="1" t="s">
        <v>79</v>
      </c>
      <c r="AB67" s="9">
        <f>SUM(AB64:AB66)</f>
        <v>182.79583333333358</v>
      </c>
      <c r="AG67"/>
      <c r="AL67" s="1" t="s">
        <v>79</v>
      </c>
      <c r="AM67" s="9">
        <f>SUM(AM64:AM66)</f>
        <v>182.79583333333358</v>
      </c>
    </row>
    <row r="68" spans="1:39" ht="15" thickBot="1" x14ac:dyDescent="0.35">
      <c r="A68" s="2">
        <v>5</v>
      </c>
      <c r="B68" s="18" t="s">
        <v>141</v>
      </c>
      <c r="C68" s="15"/>
      <c r="D68" s="69"/>
      <c r="E68" s="69"/>
      <c r="F68" s="16"/>
      <c r="G68" s="16"/>
      <c r="AA68" t="s">
        <v>287</v>
      </c>
      <c r="AB68" s="5">
        <f>-U55</f>
        <v>-300</v>
      </c>
      <c r="AG68" s="17">
        <v>891</v>
      </c>
      <c r="AH68" s="15" t="s">
        <v>288</v>
      </c>
      <c r="AI68" s="16">
        <f>AJ69</f>
        <v>117.20416666666597</v>
      </c>
      <c r="AJ68" s="16">
        <f>AI69-AJ70</f>
        <v>0</v>
      </c>
      <c r="AL68" t="s">
        <v>287</v>
      </c>
      <c r="AM68" s="5">
        <f t="shared" si="49"/>
        <v>-300</v>
      </c>
    </row>
    <row r="69" spans="1:39" x14ac:dyDescent="0.3">
      <c r="A69" s="2"/>
      <c r="D69" s="70"/>
      <c r="E69" s="70"/>
      <c r="F69" s="5"/>
      <c r="G69" s="5"/>
      <c r="AA69" s="1" t="s">
        <v>205</v>
      </c>
      <c r="AB69" s="9">
        <f>SUM(AB67:AB68)</f>
        <v>-117.20416666666642</v>
      </c>
      <c r="AG69" s="17">
        <v>851</v>
      </c>
      <c r="AH69" s="15" t="s">
        <v>80</v>
      </c>
      <c r="AI69" s="16">
        <f>AJ62</f>
        <v>0</v>
      </c>
      <c r="AJ69" s="16">
        <f>AI62</f>
        <v>117.20416666666597</v>
      </c>
      <c r="AL69" s="1" t="s">
        <v>205</v>
      </c>
      <c r="AM69" s="9">
        <f>SUM(AM67:AM68)</f>
        <v>-117.20416666666642</v>
      </c>
    </row>
    <row r="70" spans="1:39" x14ac:dyDescent="0.3">
      <c r="A70" s="2"/>
      <c r="B70" s="17">
        <v>4011</v>
      </c>
      <c r="C70" s="15" t="s">
        <v>123</v>
      </c>
      <c r="D70" s="69">
        <f>'Datos (Hoja de Trabajo)'!I25</f>
        <v>5200</v>
      </c>
      <c r="E70" s="69"/>
      <c r="F70" s="16"/>
      <c r="G70" s="16"/>
      <c r="AA70" t="s">
        <v>7</v>
      </c>
      <c r="AB70" s="5"/>
      <c r="AG70" s="17">
        <v>881</v>
      </c>
      <c r="AH70" s="15" t="s">
        <v>7</v>
      </c>
      <c r="AI70" s="16"/>
      <c r="AJ70" s="16">
        <f>AI11</f>
        <v>0</v>
      </c>
      <c r="AL70" t="s">
        <v>7</v>
      </c>
      <c r="AM70" s="5">
        <f>-AI11</f>
        <v>0</v>
      </c>
    </row>
    <row r="71" spans="1:39" ht="15" thickBot="1" x14ac:dyDescent="0.35">
      <c r="A71" s="2"/>
      <c r="B71" s="17">
        <v>4031</v>
      </c>
      <c r="C71" s="15" t="s">
        <v>145</v>
      </c>
      <c r="D71" s="69">
        <f>'Datos (Hoja de Trabajo)'!I26</f>
        <v>600</v>
      </c>
      <c r="E71" s="69"/>
      <c r="F71" s="16"/>
      <c r="G71" s="16"/>
      <c r="AA71" s="1" t="s">
        <v>38</v>
      </c>
      <c r="AB71" s="33">
        <f>SUM(AB69:AB70)</f>
        <v>-117.20416666666642</v>
      </c>
      <c r="AG71" s="18" t="s">
        <v>86</v>
      </c>
      <c r="AH71" s="15"/>
      <c r="AI71" s="16"/>
      <c r="AJ71" s="16"/>
      <c r="AL71" s="1" t="s">
        <v>38</v>
      </c>
      <c r="AM71" s="35">
        <f>SUM(AM69:AM70)</f>
        <v>-117.20416666666642</v>
      </c>
    </row>
    <row r="72" spans="1:39" ht="15" thickTop="1" x14ac:dyDescent="0.3">
      <c r="A72" s="2"/>
      <c r="B72" s="17">
        <v>417</v>
      </c>
      <c r="C72" s="15" t="s">
        <v>147</v>
      </c>
      <c r="D72" s="69">
        <f>'Datos (Hoja de Trabajo)'!I24</f>
        <v>800</v>
      </c>
      <c r="E72" s="69"/>
      <c r="F72" s="16"/>
      <c r="G72" s="16"/>
      <c r="AG72"/>
    </row>
    <row r="73" spans="1:39" x14ac:dyDescent="0.3">
      <c r="A73" s="2"/>
      <c r="B73" s="17">
        <v>104</v>
      </c>
      <c r="C73" s="15" t="s">
        <v>217</v>
      </c>
      <c r="D73" s="69"/>
      <c r="E73" s="69">
        <f>SUM(D70:D73)</f>
        <v>6600</v>
      </c>
      <c r="F73" s="16"/>
      <c r="G73" s="16"/>
      <c r="AG73" s="17">
        <v>591</v>
      </c>
      <c r="AH73" s="15" t="s">
        <v>8</v>
      </c>
      <c r="AI73" s="16">
        <f>AJ74</f>
        <v>117.20416666666597</v>
      </c>
      <c r="AJ73" s="16">
        <f>AI74</f>
        <v>0</v>
      </c>
    </row>
    <row r="74" spans="1:39" x14ac:dyDescent="0.3">
      <c r="A74" s="2">
        <v>6</v>
      </c>
      <c r="B74" s="18" t="s">
        <v>148</v>
      </c>
      <c r="C74" s="15"/>
      <c r="D74" s="69"/>
      <c r="E74" s="69"/>
      <c r="F74" s="16"/>
      <c r="G74" s="16"/>
      <c r="AG74" s="17">
        <v>891</v>
      </c>
      <c r="AH74" s="15" t="s">
        <v>288</v>
      </c>
      <c r="AI74" s="16">
        <f>AJ68</f>
        <v>0</v>
      </c>
      <c r="AJ74" s="16">
        <f>AI68</f>
        <v>117.20416666666597</v>
      </c>
    </row>
    <row r="75" spans="1:39" x14ac:dyDescent="0.3">
      <c r="A75" s="2"/>
      <c r="D75" s="70"/>
      <c r="E75" s="70"/>
      <c r="F75" s="5"/>
      <c r="G75" s="5"/>
      <c r="AG75" s="18" t="s">
        <v>87</v>
      </c>
      <c r="AH75" s="15"/>
      <c r="AI75" s="16"/>
      <c r="AJ75" s="16"/>
    </row>
    <row r="76" spans="1:39" x14ac:dyDescent="0.3">
      <c r="A76" s="2"/>
      <c r="B76" s="17">
        <v>635</v>
      </c>
      <c r="C76" s="15" t="s">
        <v>275</v>
      </c>
      <c r="D76" s="69">
        <v>3500</v>
      </c>
      <c r="E76" s="69"/>
      <c r="F76" s="16"/>
      <c r="G76" s="16"/>
      <c r="AG76"/>
    </row>
    <row r="77" spans="1:39" x14ac:dyDescent="0.3">
      <c r="A77" s="2"/>
      <c r="B77" s="17">
        <v>4011</v>
      </c>
      <c r="C77" s="15" t="s">
        <v>123</v>
      </c>
      <c r="D77" s="69">
        <f>D76*0.18</f>
        <v>630</v>
      </c>
      <c r="E77" s="69"/>
      <c r="F77" s="16"/>
      <c r="G77" s="16"/>
      <c r="AG77" s="17">
        <f>I5</f>
        <v>104</v>
      </c>
      <c r="AH77" s="63" t="str">
        <f>J5</f>
        <v>Cuentas corrientes en instituciones financieras</v>
      </c>
      <c r="AI77" s="16">
        <f>T5</f>
        <v>0</v>
      </c>
      <c r="AJ77" s="16">
        <f t="shared" ref="AJ77:AJ87" si="50">S5</f>
        <v>35727.601250000007</v>
      </c>
    </row>
    <row r="78" spans="1:39" x14ac:dyDescent="0.3">
      <c r="A78" s="2"/>
      <c r="B78" s="17">
        <v>4213</v>
      </c>
      <c r="C78" s="15" t="s">
        <v>150</v>
      </c>
      <c r="D78" s="69"/>
      <c r="E78" s="69"/>
      <c r="F78" s="16"/>
      <c r="G78" s="16"/>
      <c r="AG78" s="17">
        <f t="shared" ref="AG78:AH78" si="51">I6</f>
        <v>106</v>
      </c>
      <c r="AH78" s="63" t="str">
        <f t="shared" si="51"/>
        <v>Depósitos en instituciones financieras</v>
      </c>
      <c r="AI78" s="16">
        <f>T6</f>
        <v>0</v>
      </c>
      <c r="AJ78" s="16">
        <f t="shared" si="50"/>
        <v>32000</v>
      </c>
    </row>
    <row r="79" spans="1:39" x14ac:dyDescent="0.3">
      <c r="A79" s="2"/>
      <c r="B79" s="17">
        <v>421</v>
      </c>
      <c r="C79" s="15" t="s">
        <v>234</v>
      </c>
      <c r="D79" s="69"/>
      <c r="E79" s="69">
        <f>D76+D77</f>
        <v>4130</v>
      </c>
      <c r="F79" s="16"/>
      <c r="G79" s="16"/>
      <c r="AG79" s="17">
        <f t="shared" ref="AG79:AH79" si="52">I7</f>
        <v>121</v>
      </c>
      <c r="AH79" s="63" t="str">
        <f t="shared" si="52"/>
        <v xml:space="preserve">Facturas, boletas y otros comprobantes por cobrar </v>
      </c>
      <c r="AI79" s="16">
        <f>T7</f>
        <v>0</v>
      </c>
      <c r="AJ79" s="16">
        <f t="shared" si="50"/>
        <v>6202.0799999999945</v>
      </c>
    </row>
    <row r="80" spans="1:39" x14ac:dyDescent="0.3">
      <c r="A80" s="2">
        <v>7.1</v>
      </c>
      <c r="B80" s="18" t="s">
        <v>152</v>
      </c>
      <c r="C80" s="15"/>
      <c r="D80" s="69"/>
      <c r="E80" s="69"/>
      <c r="F80" s="16"/>
      <c r="G80" s="16"/>
      <c r="AG80" s="17">
        <f t="shared" ref="AG80:AH80" si="53">I8</f>
        <v>123</v>
      </c>
      <c r="AH80" s="63" t="str">
        <f t="shared" si="53"/>
        <v>Letras por cobrar</v>
      </c>
      <c r="AI80" s="16">
        <f>T8</f>
        <v>0</v>
      </c>
      <c r="AJ80" s="16">
        <f t="shared" si="50"/>
        <v>10000</v>
      </c>
    </row>
    <row r="81" spans="1:36" x14ac:dyDescent="0.3">
      <c r="A81" s="2"/>
      <c r="D81" s="70"/>
      <c r="E81" s="70"/>
      <c r="F81" s="5"/>
      <c r="G81" s="5"/>
      <c r="AG81" s="17">
        <f t="shared" ref="AG81:AH81" si="54">I9</f>
        <v>142</v>
      </c>
      <c r="AH81" s="63" t="str">
        <f t="shared" si="54"/>
        <v>Préstamos a accionistas</v>
      </c>
      <c r="AJ81" s="5">
        <f t="shared" si="50"/>
        <v>5000</v>
      </c>
    </row>
    <row r="82" spans="1:36" x14ac:dyDescent="0.3">
      <c r="A82" s="2"/>
      <c r="B82" s="17">
        <v>95</v>
      </c>
      <c r="C82" s="15" t="s">
        <v>12</v>
      </c>
      <c r="D82" s="69">
        <f>D76</f>
        <v>3500</v>
      </c>
      <c r="E82" s="69"/>
      <c r="F82" s="16"/>
      <c r="G82" s="16"/>
      <c r="AG82" s="17">
        <f t="shared" ref="AG82:AH82" si="55">I10</f>
        <v>182</v>
      </c>
      <c r="AH82" s="63" t="str">
        <f t="shared" si="55"/>
        <v>Seguros</v>
      </c>
      <c r="AI82" s="16">
        <f>T10</f>
        <v>0</v>
      </c>
      <c r="AJ82" s="16">
        <f t="shared" si="50"/>
        <v>1000</v>
      </c>
    </row>
    <row r="83" spans="1:36" x14ac:dyDescent="0.3">
      <c r="A83" s="2"/>
      <c r="B83" s="17">
        <v>94</v>
      </c>
      <c r="C83" s="15" t="s">
        <v>151</v>
      </c>
      <c r="D83" s="69"/>
      <c r="E83" s="69"/>
      <c r="F83" s="16"/>
      <c r="G83" s="16"/>
      <c r="AG83" s="17">
        <f t="shared" ref="AG83:AH83" si="56">I11</f>
        <v>201</v>
      </c>
      <c r="AH83" s="63" t="str">
        <f t="shared" si="56"/>
        <v>Mercaderías</v>
      </c>
      <c r="AI83" s="16">
        <f>T11</f>
        <v>0</v>
      </c>
      <c r="AJ83" s="16">
        <f t="shared" si="50"/>
        <v>5820</v>
      </c>
    </row>
    <row r="84" spans="1:36" x14ac:dyDescent="0.3">
      <c r="A84" s="2"/>
      <c r="B84" s="17">
        <v>79</v>
      </c>
      <c r="C84" s="15" t="s">
        <v>13</v>
      </c>
      <c r="D84" s="69"/>
      <c r="E84" s="69">
        <f>D82+D83</f>
        <v>3500</v>
      </c>
      <c r="F84" s="16"/>
      <c r="G84" s="16"/>
      <c r="AG84" s="17">
        <f t="shared" ref="AG84:AH84" si="57">I12</f>
        <v>334</v>
      </c>
      <c r="AH84" s="63" t="str">
        <f t="shared" si="57"/>
        <v>Unidades de transporte - Costo</v>
      </c>
      <c r="AI84" s="16">
        <f>T12</f>
        <v>0</v>
      </c>
      <c r="AJ84" s="16">
        <f t="shared" si="50"/>
        <v>12000</v>
      </c>
    </row>
    <row r="85" spans="1:36" x14ac:dyDescent="0.3">
      <c r="A85" s="2">
        <v>7.1</v>
      </c>
      <c r="B85" s="18" t="s">
        <v>153</v>
      </c>
      <c r="C85" s="15"/>
      <c r="D85" s="69"/>
      <c r="E85" s="69"/>
      <c r="F85" s="16"/>
      <c r="G85" s="16"/>
      <c r="AG85" s="17">
        <f t="shared" ref="AG85:AH85" si="58">I13</f>
        <v>335</v>
      </c>
      <c r="AH85" s="63" t="str">
        <f t="shared" si="58"/>
        <v>Muebles y enseres - Costo</v>
      </c>
      <c r="AJ85" s="5">
        <f t="shared" si="50"/>
        <v>4500</v>
      </c>
    </row>
    <row r="86" spans="1:36" x14ac:dyDescent="0.3">
      <c r="A86" s="2"/>
      <c r="B86"/>
      <c r="D86" s="71"/>
      <c r="E86" s="71"/>
      <c r="AG86" s="17">
        <f t="shared" ref="AG86:AH86" si="59">I14</f>
        <v>336</v>
      </c>
      <c r="AH86" s="63" t="str">
        <f t="shared" si="59"/>
        <v>Equipos de procesamiento de datos - Costo</v>
      </c>
      <c r="AI86" s="16">
        <f>T14</f>
        <v>0</v>
      </c>
      <c r="AJ86" s="16">
        <f t="shared" si="50"/>
        <v>4000</v>
      </c>
    </row>
    <row r="87" spans="1:36" x14ac:dyDescent="0.3">
      <c r="A87" s="2"/>
      <c r="B87" s="17">
        <v>4213</v>
      </c>
      <c r="C87" s="15" t="s">
        <v>150</v>
      </c>
      <c r="D87" s="69">
        <f>E78</f>
        <v>0</v>
      </c>
      <c r="E87" s="69"/>
      <c r="F87" s="16"/>
      <c r="G87" s="16"/>
      <c r="AG87" s="17">
        <f>I16</f>
        <v>40173</v>
      </c>
      <c r="AH87" s="63" t="str">
        <f>J16</f>
        <v>Renta de quinta categoría</v>
      </c>
      <c r="AI87" s="16">
        <f>T16</f>
        <v>328.2</v>
      </c>
      <c r="AJ87" s="16">
        <f t="shared" si="50"/>
        <v>0</v>
      </c>
    </row>
    <row r="88" spans="1:36" x14ac:dyDescent="0.3">
      <c r="A88" s="2"/>
      <c r="B88" s="17">
        <v>421</v>
      </c>
      <c r="C88" s="15" t="s">
        <v>234</v>
      </c>
      <c r="D88" s="69">
        <f>E79</f>
        <v>4130</v>
      </c>
      <c r="E88" s="69"/>
      <c r="F88" s="16"/>
      <c r="G88" s="16"/>
      <c r="AG88" s="17">
        <f t="shared" ref="AG88:AG104" si="60">I17</f>
        <v>39525</v>
      </c>
      <c r="AH88" s="63" t="str">
        <f t="shared" ref="AH88:AH104" si="61">J17</f>
        <v>Unidades de transporte - Dep</v>
      </c>
      <c r="AI88" s="16">
        <f>T17</f>
        <v>2600</v>
      </c>
      <c r="AJ88" s="16">
        <f t="shared" ref="AJ88:AJ94" si="62">S17</f>
        <v>0</v>
      </c>
    </row>
    <row r="89" spans="1:36" x14ac:dyDescent="0.3">
      <c r="A89" s="2"/>
      <c r="B89" s="17">
        <v>104</v>
      </c>
      <c r="C89" s="15" t="s">
        <v>217</v>
      </c>
      <c r="D89" s="69"/>
      <c r="E89" s="69">
        <f>D87+D88</f>
        <v>4130</v>
      </c>
      <c r="F89" s="16"/>
      <c r="G89" s="16"/>
      <c r="AG89" s="17">
        <f t="shared" si="60"/>
        <v>39526</v>
      </c>
      <c r="AH89" s="63" t="str">
        <f t="shared" si="61"/>
        <v>Muebles y enseres - Dep</v>
      </c>
      <c r="AI89" s="16">
        <f>T18</f>
        <v>488</v>
      </c>
      <c r="AJ89" s="16">
        <f t="shared" si="62"/>
        <v>0</v>
      </c>
    </row>
    <row r="90" spans="1:36" x14ac:dyDescent="0.3">
      <c r="A90" s="2">
        <v>7.1</v>
      </c>
      <c r="B90" s="18" t="s">
        <v>159</v>
      </c>
      <c r="C90" s="15"/>
      <c r="D90" s="69"/>
      <c r="E90" s="69"/>
      <c r="F90" s="16"/>
      <c r="G90" s="16"/>
      <c r="AG90" s="17">
        <f t="shared" si="60"/>
        <v>39527</v>
      </c>
      <c r="AH90" s="63" t="str">
        <f t="shared" si="61"/>
        <v>Equipos de procesamiento de datos - Dep</v>
      </c>
      <c r="AI90" s="16">
        <f>T19</f>
        <v>1083</v>
      </c>
      <c r="AJ90" s="16">
        <f t="shared" si="62"/>
        <v>0</v>
      </c>
    </row>
    <row r="91" spans="1:36" x14ac:dyDescent="0.3">
      <c r="A91" s="2"/>
      <c r="D91" s="70"/>
      <c r="E91" s="70"/>
      <c r="F91" s="5"/>
      <c r="G91" s="5"/>
      <c r="AG91" s="17">
        <f t="shared" si="60"/>
        <v>4011</v>
      </c>
      <c r="AH91" s="63" t="str">
        <f t="shared" si="61"/>
        <v>IGV cuenta propia</v>
      </c>
      <c r="AI91" s="16">
        <f>T20</f>
        <v>2228.3999999999996</v>
      </c>
      <c r="AJ91" s="16">
        <f t="shared" si="62"/>
        <v>0</v>
      </c>
    </row>
    <row r="92" spans="1:36" x14ac:dyDescent="0.3">
      <c r="A92" s="2"/>
      <c r="B92" s="17">
        <v>6361</v>
      </c>
      <c r="C92" s="15" t="s">
        <v>14</v>
      </c>
      <c r="D92" s="69">
        <v>450</v>
      </c>
      <c r="E92" s="69"/>
      <c r="F92" s="16"/>
      <c r="G92" s="16"/>
      <c r="AG92" s="17">
        <f t="shared" si="60"/>
        <v>40171</v>
      </c>
      <c r="AH92" s="63" t="str">
        <f t="shared" si="61"/>
        <v>Impuesto a la renta de tercera categoría</v>
      </c>
      <c r="AI92" s="16">
        <f>T21+AJ12</f>
        <v>6000</v>
      </c>
      <c r="AJ92" s="16">
        <f t="shared" si="62"/>
        <v>0</v>
      </c>
    </row>
    <row r="93" spans="1:36" x14ac:dyDescent="0.3">
      <c r="A93" s="2"/>
      <c r="B93" s="17">
        <v>4011</v>
      </c>
      <c r="C93" s="15" t="s">
        <v>123</v>
      </c>
      <c r="D93" s="69">
        <f>D92*0.18</f>
        <v>81</v>
      </c>
      <c r="E93" s="69"/>
      <c r="F93" s="16"/>
      <c r="G93" s="16"/>
      <c r="AG93" s="17">
        <f t="shared" si="60"/>
        <v>4031</v>
      </c>
      <c r="AH93" s="63" t="str">
        <f t="shared" si="61"/>
        <v>EsSalud</v>
      </c>
      <c r="AI93" s="16">
        <f t="shared" ref="AI93:AI103" si="63">T22</f>
        <v>276.91875000000005</v>
      </c>
      <c r="AJ93" s="16">
        <f t="shared" si="62"/>
        <v>0</v>
      </c>
    </row>
    <row r="94" spans="1:36" x14ac:dyDescent="0.3">
      <c r="A94" s="2"/>
      <c r="B94" s="17">
        <v>421</v>
      </c>
      <c r="C94" s="15" t="s">
        <v>234</v>
      </c>
      <c r="D94" s="69"/>
      <c r="E94" s="69">
        <f>D92+D93</f>
        <v>531</v>
      </c>
      <c r="F94" s="16"/>
      <c r="G94" s="16"/>
      <c r="AG94" s="17">
        <f t="shared" si="60"/>
        <v>4111</v>
      </c>
      <c r="AH94" s="63" t="str">
        <f t="shared" si="61"/>
        <v>Sueldos y salarios por pagar</v>
      </c>
      <c r="AI94" s="16">
        <f t="shared" si="63"/>
        <v>0</v>
      </c>
      <c r="AJ94" s="16">
        <f t="shared" si="62"/>
        <v>0</v>
      </c>
    </row>
    <row r="95" spans="1:36" x14ac:dyDescent="0.3">
      <c r="A95" s="2">
        <v>7.2</v>
      </c>
      <c r="B95" s="18" t="s">
        <v>56</v>
      </c>
      <c r="C95" s="15"/>
      <c r="D95" s="69"/>
      <c r="E95" s="69"/>
      <c r="F95" s="16"/>
      <c r="G95" s="16"/>
      <c r="AG95" s="17">
        <f t="shared" si="60"/>
        <v>404</v>
      </c>
      <c r="AH95" s="63" t="str">
        <f t="shared" si="61"/>
        <v>Instituciones privadas</v>
      </c>
      <c r="AI95" s="16">
        <f t="shared" si="63"/>
        <v>92.306249999999991</v>
      </c>
    </row>
    <row r="96" spans="1:36" x14ac:dyDescent="0.3">
      <c r="A96" s="2"/>
      <c r="B96"/>
      <c r="D96" s="71"/>
      <c r="E96" s="71"/>
      <c r="AG96" s="17">
        <f t="shared" si="60"/>
        <v>4114</v>
      </c>
      <c r="AH96" s="63" t="str">
        <f t="shared" si="61"/>
        <v>Gratificaciones</v>
      </c>
      <c r="AI96" s="16">
        <f t="shared" si="63"/>
        <v>683.75</v>
      </c>
      <c r="AJ96" s="16">
        <f t="shared" ref="AJ96:AJ104" si="64">S25</f>
        <v>0</v>
      </c>
    </row>
    <row r="97" spans="1:36" x14ac:dyDescent="0.3">
      <c r="A97" s="2"/>
      <c r="B97" s="17">
        <v>94</v>
      </c>
      <c r="C97" s="15" t="s">
        <v>151</v>
      </c>
      <c r="D97" s="69">
        <f>D92/2</f>
        <v>225</v>
      </c>
      <c r="E97" s="69"/>
      <c r="F97" s="16"/>
      <c r="G97" s="16"/>
      <c r="AG97" s="17">
        <f t="shared" si="60"/>
        <v>4115</v>
      </c>
      <c r="AH97" s="63" t="str">
        <f t="shared" si="61"/>
        <v>Vacaciones por pagar</v>
      </c>
      <c r="AI97" s="16">
        <f t="shared" si="63"/>
        <v>7841.875</v>
      </c>
      <c r="AJ97" s="16">
        <f t="shared" si="64"/>
        <v>0</v>
      </c>
    </row>
    <row r="98" spans="1:36" x14ac:dyDescent="0.3">
      <c r="A98" s="2"/>
      <c r="B98" s="17">
        <v>95</v>
      </c>
      <c r="C98" s="15" t="s">
        <v>12</v>
      </c>
      <c r="D98" s="69">
        <f>D97</f>
        <v>225</v>
      </c>
      <c r="E98" s="69"/>
      <c r="F98" s="16"/>
      <c r="G98" s="16"/>
      <c r="AG98" s="17">
        <f t="shared" si="60"/>
        <v>415</v>
      </c>
      <c r="AH98" s="63" t="str">
        <f t="shared" si="61"/>
        <v>CTS por pagar</v>
      </c>
      <c r="AI98" s="16">
        <f t="shared" si="63"/>
        <v>2398.8541666666665</v>
      </c>
      <c r="AJ98" s="16">
        <f t="shared" si="64"/>
        <v>0</v>
      </c>
    </row>
    <row r="99" spans="1:36" x14ac:dyDescent="0.3">
      <c r="A99" s="2"/>
      <c r="B99" s="17">
        <v>79</v>
      </c>
      <c r="C99" s="15" t="s">
        <v>13</v>
      </c>
      <c r="D99" s="69"/>
      <c r="E99" s="69">
        <f>D97+D98</f>
        <v>450</v>
      </c>
      <c r="F99" s="16"/>
      <c r="G99" s="16"/>
      <c r="AG99" s="17">
        <f t="shared" si="60"/>
        <v>417</v>
      </c>
      <c r="AH99" s="63" t="str">
        <f t="shared" si="61"/>
        <v>Administradoras de fondos de pensiones</v>
      </c>
      <c r="AI99" s="16">
        <f t="shared" si="63"/>
        <v>543.58124999999995</v>
      </c>
      <c r="AJ99" s="16">
        <f t="shared" si="64"/>
        <v>0</v>
      </c>
    </row>
    <row r="100" spans="1:36" x14ac:dyDescent="0.3">
      <c r="A100" s="2">
        <v>7.2</v>
      </c>
      <c r="B100" s="18" t="s">
        <v>57</v>
      </c>
      <c r="C100" s="15"/>
      <c r="D100" s="69"/>
      <c r="E100" s="69"/>
      <c r="F100" s="16"/>
      <c r="G100" s="16"/>
      <c r="AG100" s="17">
        <f t="shared" si="60"/>
        <v>421</v>
      </c>
      <c r="AH100" s="63" t="str">
        <f t="shared" si="61"/>
        <v>Facturas, boletas y otros comprobantes por pagar</v>
      </c>
      <c r="AI100" s="16">
        <f t="shared" si="63"/>
        <v>22502</v>
      </c>
      <c r="AJ100" s="16">
        <f t="shared" si="64"/>
        <v>0</v>
      </c>
    </row>
    <row r="101" spans="1:36" x14ac:dyDescent="0.3">
      <c r="A101" s="2"/>
      <c r="B101"/>
      <c r="D101" s="71"/>
      <c r="E101" s="71"/>
      <c r="AG101" s="17">
        <f t="shared" si="60"/>
        <v>451</v>
      </c>
      <c r="AH101" s="63" t="str">
        <f t="shared" si="61"/>
        <v xml:space="preserve">Préstamos de instituciones financieras y otras entidades </v>
      </c>
      <c r="AI101" s="16">
        <f t="shared" si="63"/>
        <v>30300</v>
      </c>
      <c r="AJ101" s="16">
        <f t="shared" si="64"/>
        <v>0</v>
      </c>
    </row>
    <row r="102" spans="1:36" x14ac:dyDescent="0.3">
      <c r="A102" s="2"/>
      <c r="B102" s="17">
        <v>6365</v>
      </c>
      <c r="C102" s="15" t="s">
        <v>154</v>
      </c>
      <c r="D102" s="69">
        <v>650</v>
      </c>
      <c r="E102" s="69"/>
      <c r="F102" s="16"/>
      <c r="G102" s="16"/>
      <c r="AG102" s="17">
        <f t="shared" si="60"/>
        <v>4654</v>
      </c>
      <c r="AH102" s="63" t="str">
        <f t="shared" si="61"/>
        <v>Pasivo por compra de PPE</v>
      </c>
      <c r="AI102" s="16">
        <f t="shared" si="63"/>
        <v>0</v>
      </c>
      <c r="AJ102" s="16">
        <f t="shared" si="64"/>
        <v>0</v>
      </c>
    </row>
    <row r="103" spans="1:36" x14ac:dyDescent="0.3">
      <c r="A103" s="2"/>
      <c r="B103" s="17">
        <v>4011</v>
      </c>
      <c r="C103" s="15" t="s">
        <v>123</v>
      </c>
      <c r="D103" s="69">
        <f>D102*0.18</f>
        <v>117</v>
      </c>
      <c r="E103" s="69"/>
      <c r="F103" s="16"/>
      <c r="G103" s="16"/>
      <c r="AG103" s="17">
        <f t="shared" si="60"/>
        <v>501</v>
      </c>
      <c r="AH103" s="63" t="str">
        <f t="shared" si="61"/>
        <v>Capital social</v>
      </c>
      <c r="AI103" s="16">
        <f t="shared" si="63"/>
        <v>25000</v>
      </c>
      <c r="AJ103" s="16">
        <f t="shared" si="64"/>
        <v>0</v>
      </c>
    </row>
    <row r="104" spans="1:36" x14ac:dyDescent="0.3">
      <c r="A104" s="2"/>
      <c r="B104" s="17">
        <v>421</v>
      </c>
      <c r="C104" s="15" t="s">
        <v>234</v>
      </c>
      <c r="D104" s="69"/>
      <c r="E104" s="69">
        <f>D102+D103</f>
        <v>767</v>
      </c>
      <c r="F104" s="16"/>
      <c r="G104" s="16"/>
      <c r="AG104" s="17">
        <f t="shared" si="60"/>
        <v>591</v>
      </c>
      <c r="AH104" s="63" t="str">
        <f t="shared" si="61"/>
        <v>Resultados acumulados</v>
      </c>
      <c r="AI104" s="16">
        <f>T33-AI73</f>
        <v>13882.795833333334</v>
      </c>
      <c r="AJ104" s="16">
        <f t="shared" si="64"/>
        <v>0</v>
      </c>
    </row>
    <row r="105" spans="1:36" x14ac:dyDescent="0.3">
      <c r="A105" s="2">
        <v>7.2</v>
      </c>
      <c r="B105" s="18" t="s">
        <v>155</v>
      </c>
      <c r="C105" s="15"/>
      <c r="D105" s="69"/>
      <c r="E105" s="69"/>
      <c r="F105" s="16"/>
      <c r="G105" s="16"/>
      <c r="AG105" s="18" t="s">
        <v>88</v>
      </c>
      <c r="AH105" s="15"/>
      <c r="AI105" s="16"/>
      <c r="AJ105" s="16"/>
    </row>
    <row r="106" spans="1:36" x14ac:dyDescent="0.3">
      <c r="A106" s="2"/>
      <c r="B106"/>
      <c r="D106" s="71"/>
      <c r="E106" s="71"/>
    </row>
    <row r="107" spans="1:36" x14ac:dyDescent="0.3">
      <c r="A107" s="2"/>
      <c r="B107" s="17">
        <v>94</v>
      </c>
      <c r="C107" s="15" t="s">
        <v>151</v>
      </c>
      <c r="D107" s="69">
        <f>D102/2</f>
        <v>325</v>
      </c>
      <c r="E107" s="69"/>
      <c r="F107" s="16"/>
      <c r="G107" s="16"/>
    </row>
    <row r="108" spans="1:36" x14ac:dyDescent="0.3">
      <c r="A108" s="2"/>
      <c r="B108" s="17">
        <v>95</v>
      </c>
      <c r="C108" s="15" t="s">
        <v>12</v>
      </c>
      <c r="D108" s="69">
        <f>D107</f>
        <v>325</v>
      </c>
      <c r="E108" s="69"/>
      <c r="F108" s="16"/>
      <c r="G108" s="16"/>
    </row>
    <row r="109" spans="1:36" x14ac:dyDescent="0.3">
      <c r="A109" s="2"/>
      <c r="B109" s="17">
        <v>79</v>
      </c>
      <c r="C109" s="15" t="s">
        <v>13</v>
      </c>
      <c r="D109" s="69"/>
      <c r="E109" s="69">
        <f>D107+D108</f>
        <v>650</v>
      </c>
      <c r="F109" s="16"/>
      <c r="G109" s="16"/>
    </row>
    <row r="110" spans="1:36" x14ac:dyDescent="0.3">
      <c r="A110" s="2">
        <v>7.2</v>
      </c>
      <c r="B110" s="18" t="s">
        <v>156</v>
      </c>
      <c r="C110" s="15"/>
      <c r="D110" s="69"/>
      <c r="E110" s="69"/>
      <c r="F110" s="16"/>
      <c r="G110" s="16"/>
    </row>
    <row r="111" spans="1:36" x14ac:dyDescent="0.3">
      <c r="A111" s="2"/>
      <c r="B111"/>
      <c r="D111" s="71"/>
      <c r="E111" s="71"/>
    </row>
    <row r="112" spans="1:36" x14ac:dyDescent="0.3">
      <c r="A112" s="2"/>
      <c r="B112" s="17">
        <v>182</v>
      </c>
      <c r="C112" s="15" t="s">
        <v>157</v>
      </c>
      <c r="D112" s="69">
        <v>1200</v>
      </c>
      <c r="E112" s="69"/>
      <c r="F112" s="16"/>
      <c r="G112" s="16"/>
    </row>
    <row r="113" spans="1:7" x14ac:dyDescent="0.3">
      <c r="A113" s="2"/>
      <c r="B113" s="17">
        <v>4011</v>
      </c>
      <c r="C113" s="15" t="s">
        <v>123</v>
      </c>
      <c r="D113" s="69">
        <f>D112*0.18</f>
        <v>216</v>
      </c>
      <c r="E113" s="69"/>
      <c r="F113" s="16"/>
      <c r="G113" s="16"/>
    </row>
    <row r="114" spans="1:7" x14ac:dyDescent="0.3">
      <c r="A114" s="2"/>
      <c r="B114" s="17">
        <v>421</v>
      </c>
      <c r="C114" s="15" t="s">
        <v>234</v>
      </c>
      <c r="D114" s="69"/>
      <c r="E114" s="69">
        <f>D112+D113</f>
        <v>1416</v>
      </c>
      <c r="F114" s="16"/>
      <c r="G114" s="16"/>
    </row>
    <row r="115" spans="1:7" x14ac:dyDescent="0.3">
      <c r="A115" s="2">
        <v>7.3</v>
      </c>
      <c r="B115" s="18" t="s">
        <v>158</v>
      </c>
      <c r="C115" s="15"/>
      <c r="D115" s="69"/>
      <c r="E115" s="69"/>
      <c r="F115" s="16"/>
      <c r="G115" s="16"/>
    </row>
    <row r="116" spans="1:7" x14ac:dyDescent="0.3">
      <c r="A116" s="2"/>
      <c r="B116"/>
      <c r="D116" s="71"/>
      <c r="E116" s="71"/>
    </row>
    <row r="117" spans="1:7" x14ac:dyDescent="0.3">
      <c r="A117" s="2"/>
      <c r="B117" s="17">
        <v>651</v>
      </c>
      <c r="C117" s="15" t="s">
        <v>157</v>
      </c>
      <c r="D117" s="69">
        <f>D112/6</f>
        <v>200</v>
      </c>
      <c r="E117" s="69"/>
      <c r="F117" s="16"/>
      <c r="G117" s="16"/>
    </row>
    <row r="118" spans="1:7" x14ac:dyDescent="0.3">
      <c r="A118" s="2"/>
      <c r="B118" s="17">
        <v>182</v>
      </c>
      <c r="C118" s="15" t="s">
        <v>157</v>
      </c>
      <c r="D118" s="69"/>
      <c r="E118" s="69">
        <f>D117</f>
        <v>200</v>
      </c>
      <c r="F118" s="16"/>
      <c r="G118" s="16"/>
    </row>
    <row r="119" spans="1:7" x14ac:dyDescent="0.3">
      <c r="A119" s="2">
        <v>7.3</v>
      </c>
      <c r="B119" s="18" t="s">
        <v>160</v>
      </c>
      <c r="C119" s="15"/>
      <c r="D119" s="69"/>
      <c r="E119" s="69"/>
      <c r="F119" s="16"/>
      <c r="G119" s="16"/>
    </row>
    <row r="120" spans="1:7" x14ac:dyDescent="0.3">
      <c r="A120" s="2"/>
      <c r="D120" s="71"/>
      <c r="E120" s="71"/>
    </row>
    <row r="121" spans="1:7" x14ac:dyDescent="0.3">
      <c r="A121" s="2"/>
      <c r="B121" s="17">
        <v>94</v>
      </c>
      <c r="C121" s="15" t="s">
        <v>151</v>
      </c>
      <c r="D121" s="69">
        <f>D117</f>
        <v>200</v>
      </c>
      <c r="E121" s="69"/>
      <c r="F121" s="16"/>
      <c r="G121" s="16"/>
    </row>
    <row r="122" spans="1:7" x14ac:dyDescent="0.3">
      <c r="A122" s="2"/>
      <c r="B122" s="17">
        <v>79</v>
      </c>
      <c r="C122" s="15" t="s">
        <v>13</v>
      </c>
      <c r="D122" s="69"/>
      <c r="E122" s="69">
        <f>D121</f>
        <v>200</v>
      </c>
      <c r="F122" s="16"/>
      <c r="G122" s="16"/>
    </row>
    <row r="123" spans="1:7" x14ac:dyDescent="0.3">
      <c r="A123" s="2">
        <v>7.3</v>
      </c>
      <c r="B123" s="18" t="s">
        <v>216</v>
      </c>
      <c r="C123" s="15"/>
      <c r="D123" s="69"/>
      <c r="E123" s="69"/>
      <c r="F123" s="16"/>
      <c r="G123" s="16"/>
    </row>
    <row r="124" spans="1:7" x14ac:dyDescent="0.3">
      <c r="A124" s="2"/>
      <c r="D124" s="71"/>
      <c r="E124" s="71"/>
    </row>
    <row r="125" spans="1:7" x14ac:dyDescent="0.3">
      <c r="A125" s="2"/>
      <c r="B125" s="17">
        <v>421</v>
      </c>
      <c r="C125" s="15" t="s">
        <v>234</v>
      </c>
      <c r="D125" s="69">
        <f>E114</f>
        <v>1416</v>
      </c>
      <c r="E125" s="69"/>
      <c r="F125" s="16"/>
      <c r="G125" s="16"/>
    </row>
    <row r="126" spans="1:7" x14ac:dyDescent="0.3">
      <c r="A126" s="2"/>
      <c r="B126" s="17">
        <v>104</v>
      </c>
      <c r="C126" s="15" t="s">
        <v>217</v>
      </c>
      <c r="D126" s="69"/>
      <c r="E126" s="69">
        <f>D125</f>
        <v>1416</v>
      </c>
      <c r="F126" s="16"/>
      <c r="G126" s="16"/>
    </row>
    <row r="127" spans="1:7" x14ac:dyDescent="0.3">
      <c r="A127" s="2">
        <v>7.3</v>
      </c>
      <c r="B127" s="18" t="s">
        <v>174</v>
      </c>
      <c r="C127" s="15"/>
      <c r="D127" s="69"/>
      <c r="E127" s="69"/>
      <c r="F127" s="16"/>
      <c r="G127" s="16"/>
    </row>
    <row r="128" spans="1:7" x14ac:dyDescent="0.3">
      <c r="A128" s="2"/>
      <c r="D128" s="70"/>
      <c r="E128" s="70"/>
      <c r="F128" s="5"/>
      <c r="G128" s="5"/>
    </row>
    <row r="129" spans="1:7" x14ac:dyDescent="0.3">
      <c r="A129" s="2"/>
      <c r="B129" s="17">
        <v>656</v>
      </c>
      <c r="C129" s="15" t="s">
        <v>277</v>
      </c>
      <c r="D129" s="69">
        <v>300</v>
      </c>
      <c r="E129" s="69"/>
      <c r="F129" s="16"/>
      <c r="G129" s="16"/>
    </row>
    <row r="130" spans="1:7" x14ac:dyDescent="0.3">
      <c r="A130" s="2"/>
      <c r="B130" s="17">
        <v>4011</v>
      </c>
      <c r="C130" s="15" t="s">
        <v>123</v>
      </c>
      <c r="D130" s="69">
        <f>D129*0.18</f>
        <v>54</v>
      </c>
      <c r="E130" s="69"/>
      <c r="F130" s="16"/>
      <c r="G130" s="16"/>
    </row>
    <row r="131" spans="1:7" x14ac:dyDescent="0.3">
      <c r="A131" s="2"/>
      <c r="B131" s="17">
        <v>421</v>
      </c>
      <c r="C131" s="15" t="s">
        <v>234</v>
      </c>
      <c r="D131" s="69"/>
      <c r="E131" s="69">
        <f>D129+D130</f>
        <v>354</v>
      </c>
      <c r="F131" s="16"/>
      <c r="G131" s="16"/>
    </row>
    <row r="132" spans="1:7" x14ac:dyDescent="0.3">
      <c r="A132" s="2">
        <v>7.4</v>
      </c>
      <c r="B132" s="18" t="s">
        <v>175</v>
      </c>
      <c r="C132" s="15"/>
      <c r="D132" s="69"/>
      <c r="E132" s="69"/>
      <c r="F132" s="16"/>
      <c r="G132" s="16"/>
    </row>
    <row r="133" spans="1:7" x14ac:dyDescent="0.3">
      <c r="A133" s="2"/>
      <c r="B133"/>
      <c r="D133" s="71"/>
      <c r="E133" s="71"/>
    </row>
    <row r="134" spans="1:7" x14ac:dyDescent="0.3">
      <c r="A134" s="2"/>
      <c r="B134" s="17">
        <v>95</v>
      </c>
      <c r="C134" s="15" t="s">
        <v>12</v>
      </c>
      <c r="D134" s="69">
        <f>D129</f>
        <v>300</v>
      </c>
      <c r="E134" s="69"/>
      <c r="F134" s="16"/>
      <c r="G134" s="16"/>
    </row>
    <row r="135" spans="1:7" x14ac:dyDescent="0.3">
      <c r="A135" s="2"/>
      <c r="B135" s="17">
        <v>79</v>
      </c>
      <c r="C135" s="15" t="s">
        <v>13</v>
      </c>
      <c r="D135" s="69"/>
      <c r="E135" s="69">
        <f>D134</f>
        <v>300</v>
      </c>
      <c r="F135" s="16"/>
      <c r="G135" s="16"/>
    </row>
    <row r="136" spans="1:7" x14ac:dyDescent="0.3">
      <c r="A136" s="2">
        <v>7.4</v>
      </c>
      <c r="B136" s="18" t="s">
        <v>176</v>
      </c>
      <c r="C136" s="15"/>
      <c r="D136" s="69"/>
      <c r="E136" s="69"/>
      <c r="F136" s="16"/>
      <c r="G136" s="16"/>
    </row>
    <row r="137" spans="1:7" x14ac:dyDescent="0.3">
      <c r="A137" s="2"/>
      <c r="B137"/>
      <c r="D137" s="71"/>
      <c r="E137" s="71"/>
    </row>
    <row r="138" spans="1:7" x14ac:dyDescent="0.3">
      <c r="A138" s="2"/>
      <c r="B138" s="17">
        <v>421</v>
      </c>
      <c r="C138" s="15" t="s">
        <v>234</v>
      </c>
      <c r="D138" s="69">
        <f>E131</f>
        <v>354</v>
      </c>
      <c r="E138" s="69"/>
      <c r="F138" s="16"/>
      <c r="G138" s="16"/>
    </row>
    <row r="139" spans="1:7" x14ac:dyDescent="0.3">
      <c r="A139" s="2"/>
      <c r="B139" s="17">
        <v>104</v>
      </c>
      <c r="C139" s="15" t="s">
        <v>217</v>
      </c>
      <c r="D139" s="69"/>
      <c r="E139" s="69">
        <f>D138</f>
        <v>354</v>
      </c>
      <c r="F139" s="16"/>
      <c r="G139" s="16"/>
    </row>
    <row r="140" spans="1:7" x14ac:dyDescent="0.3">
      <c r="A140" s="2">
        <v>7.4</v>
      </c>
      <c r="B140" s="18" t="s">
        <v>177</v>
      </c>
      <c r="C140" s="15"/>
      <c r="D140" s="69"/>
      <c r="E140" s="69"/>
      <c r="F140" s="16"/>
      <c r="G140" s="16"/>
    </row>
    <row r="141" spans="1:7" x14ac:dyDescent="0.3">
      <c r="A141" s="2"/>
      <c r="D141" s="70"/>
      <c r="E141" s="70"/>
      <c r="F141" s="5"/>
      <c r="G141" s="5"/>
    </row>
    <row r="142" spans="1:7" x14ac:dyDescent="0.3">
      <c r="A142" s="2"/>
      <c r="B142" s="17">
        <v>6211</v>
      </c>
      <c r="C142" s="15" t="s">
        <v>279</v>
      </c>
      <c r="D142" s="69">
        <f>'Cálculo Planilla (Opcional) '!H5</f>
        <v>4102.5</v>
      </c>
      <c r="E142" s="69"/>
      <c r="F142" s="16"/>
      <c r="G142" s="16"/>
    </row>
    <row r="143" spans="1:7" x14ac:dyDescent="0.3">
      <c r="A143" s="2"/>
      <c r="B143" s="17">
        <v>6271</v>
      </c>
      <c r="C143" s="15" t="s">
        <v>166</v>
      </c>
      <c r="D143" s="69">
        <f>'Cálculo Planilla (Opcional) '!O5</f>
        <v>276.91875000000005</v>
      </c>
      <c r="E143" s="69"/>
      <c r="F143" s="16"/>
      <c r="G143" s="16"/>
    </row>
    <row r="144" spans="1:7" x14ac:dyDescent="0.3">
      <c r="A144" s="2"/>
      <c r="B144" s="17">
        <v>6275</v>
      </c>
      <c r="C144" t="s">
        <v>281</v>
      </c>
      <c r="D144" s="69">
        <f>'Cálculo Planilla (Opcional) '!P5</f>
        <v>92.306249999999991</v>
      </c>
      <c r="E144" s="69"/>
      <c r="F144" s="16"/>
      <c r="G144" s="16"/>
    </row>
    <row r="145" spans="1:7" x14ac:dyDescent="0.3">
      <c r="A145" s="2"/>
      <c r="B145" s="17">
        <v>4031</v>
      </c>
      <c r="C145" s="15" t="s">
        <v>145</v>
      </c>
      <c r="D145" s="69"/>
      <c r="E145" s="69">
        <f>'Cálculo Planilla (Opcional) '!O5</f>
        <v>276.91875000000005</v>
      </c>
      <c r="F145" s="16"/>
      <c r="G145" s="16"/>
    </row>
    <row r="146" spans="1:7" x14ac:dyDescent="0.3">
      <c r="A146" s="2"/>
      <c r="B146" s="17">
        <v>404</v>
      </c>
      <c r="C146" s="15" t="s">
        <v>283</v>
      </c>
      <c r="D146" s="69"/>
      <c r="E146" s="69">
        <f>'Cálculo Planilla (Opcional) '!P5</f>
        <v>92.306249999999991</v>
      </c>
      <c r="F146" s="16"/>
      <c r="G146" s="16"/>
    </row>
    <row r="147" spans="1:7" x14ac:dyDescent="0.3">
      <c r="A147" s="2"/>
      <c r="B147" s="17">
        <v>4111</v>
      </c>
      <c r="C147" s="15" t="s">
        <v>280</v>
      </c>
      <c r="D147" s="69"/>
      <c r="E147" s="69">
        <f>'Cálculo Planilla (Opcional) '!N5</f>
        <v>3230.71875</v>
      </c>
      <c r="F147" s="16"/>
      <c r="G147" s="16"/>
    </row>
    <row r="148" spans="1:7" x14ac:dyDescent="0.3">
      <c r="A148" s="2"/>
      <c r="B148" s="17">
        <v>40173</v>
      </c>
      <c r="C148" s="15" t="s">
        <v>282</v>
      </c>
      <c r="D148" s="69"/>
      <c r="E148" s="69">
        <f>'Cálculo Planilla (Opcional) '!K5</f>
        <v>328.2</v>
      </c>
      <c r="F148" s="16"/>
      <c r="G148" s="16"/>
    </row>
    <row r="149" spans="1:7" x14ac:dyDescent="0.3">
      <c r="A149" s="2"/>
      <c r="B149" s="17">
        <v>417</v>
      </c>
      <c r="C149" s="15" t="s">
        <v>232</v>
      </c>
      <c r="D149" s="69"/>
      <c r="E149" s="69">
        <f>'Cálculo Planilla (Opcional) '!I5</f>
        <v>543.58124999999995</v>
      </c>
      <c r="F149" s="16"/>
      <c r="G149" s="16"/>
    </row>
    <row r="150" spans="1:7" x14ac:dyDescent="0.3">
      <c r="A150" s="2">
        <v>8</v>
      </c>
      <c r="B150" s="18" t="s">
        <v>167</v>
      </c>
      <c r="C150" s="15"/>
      <c r="D150" s="69"/>
      <c r="E150" s="69"/>
      <c r="F150" s="16"/>
      <c r="G150" s="16"/>
    </row>
    <row r="151" spans="1:7" x14ac:dyDescent="0.3">
      <c r="A151" s="2"/>
      <c r="B151"/>
      <c r="D151" s="71"/>
      <c r="E151" s="71"/>
    </row>
    <row r="152" spans="1:7" x14ac:dyDescent="0.3">
      <c r="A152" s="2"/>
      <c r="B152" s="17">
        <v>94</v>
      </c>
      <c r="C152" s="15" t="s">
        <v>151</v>
      </c>
      <c r="D152" s="69">
        <f>E154*0.5</f>
        <v>2235.8624999999997</v>
      </c>
      <c r="E152" s="69"/>
      <c r="F152" s="16"/>
      <c r="G152" s="16"/>
    </row>
    <row r="153" spans="1:7" x14ac:dyDescent="0.3">
      <c r="A153" s="2"/>
      <c r="B153" s="17">
        <v>95</v>
      </c>
      <c r="C153" s="15" t="s">
        <v>12</v>
      </c>
      <c r="D153" s="69">
        <f>D152</f>
        <v>2235.8624999999997</v>
      </c>
      <c r="E153" s="69"/>
      <c r="F153" s="16"/>
      <c r="G153" s="16"/>
    </row>
    <row r="154" spans="1:7" x14ac:dyDescent="0.3">
      <c r="A154" s="2"/>
      <c r="B154" s="17">
        <v>79</v>
      </c>
      <c r="C154" s="15" t="s">
        <v>13</v>
      </c>
      <c r="D154" s="69"/>
      <c r="E154" s="69">
        <f>SUM(D142:D144)</f>
        <v>4471.7249999999995</v>
      </c>
      <c r="F154" s="16"/>
      <c r="G154" s="16"/>
    </row>
    <row r="155" spans="1:7" x14ac:dyDescent="0.3">
      <c r="A155" s="2">
        <v>8</v>
      </c>
      <c r="B155" s="18" t="s">
        <v>168</v>
      </c>
      <c r="C155" s="15"/>
      <c r="D155" s="69"/>
      <c r="E155" s="69"/>
      <c r="F155" s="16"/>
      <c r="G155" s="16"/>
    </row>
    <row r="156" spans="1:7" x14ac:dyDescent="0.3">
      <c r="A156" s="2"/>
      <c r="B156"/>
      <c r="D156" s="71"/>
      <c r="E156" s="71"/>
    </row>
    <row r="157" spans="1:7" x14ac:dyDescent="0.3">
      <c r="A157" s="2"/>
      <c r="B157" s="17">
        <v>4111</v>
      </c>
      <c r="C157" s="15" t="s">
        <v>280</v>
      </c>
      <c r="D157" s="69">
        <f>E147</f>
        <v>3230.71875</v>
      </c>
      <c r="E157" s="69"/>
      <c r="F157" s="16"/>
      <c r="G157" s="16"/>
    </row>
    <row r="158" spans="1:7" x14ac:dyDescent="0.3">
      <c r="A158" s="2"/>
      <c r="B158" s="17">
        <v>104</v>
      </c>
      <c r="C158" s="15" t="s">
        <v>217</v>
      </c>
      <c r="D158" s="69"/>
      <c r="E158" s="69">
        <f>D157</f>
        <v>3230.71875</v>
      </c>
      <c r="F158" s="16"/>
      <c r="G158" s="16"/>
    </row>
    <row r="159" spans="1:7" x14ac:dyDescent="0.3">
      <c r="A159" s="2">
        <v>8</v>
      </c>
      <c r="B159" s="18" t="s">
        <v>178</v>
      </c>
      <c r="C159" s="15"/>
      <c r="D159" s="69"/>
      <c r="E159" s="69"/>
      <c r="F159" s="16"/>
      <c r="G159" s="16"/>
    </row>
    <row r="160" spans="1:7" x14ac:dyDescent="0.3">
      <c r="A160" s="2"/>
      <c r="D160" s="70"/>
      <c r="E160" s="70"/>
      <c r="F160" s="5"/>
      <c r="G160" s="5"/>
    </row>
    <row r="161" spans="1:7" x14ac:dyDescent="0.3">
      <c r="A161" s="2"/>
      <c r="B161" s="17">
        <v>6214</v>
      </c>
      <c r="C161" s="15" t="s">
        <v>169</v>
      </c>
      <c r="D161" s="69">
        <f>'Cálculo BBSS (Opcional)'!B16</f>
        <v>683.75</v>
      </c>
      <c r="E161" s="69"/>
      <c r="F161" s="16"/>
      <c r="G161" s="16"/>
    </row>
    <row r="162" spans="1:7" x14ac:dyDescent="0.3">
      <c r="A162" s="2"/>
      <c r="B162" s="17">
        <v>6215</v>
      </c>
      <c r="C162" s="15" t="s">
        <v>111</v>
      </c>
      <c r="D162" s="69">
        <f>'Cálculo BBSS (Opcional)'!E14</f>
        <v>341.875</v>
      </c>
      <c r="E162" s="69"/>
      <c r="F162" s="16"/>
      <c r="G162" s="16"/>
    </row>
    <row r="163" spans="1:7" x14ac:dyDescent="0.3">
      <c r="A163" s="2"/>
      <c r="B163" s="17">
        <v>6291</v>
      </c>
      <c r="C163" s="15" t="s">
        <v>114</v>
      </c>
      <c r="D163" s="69">
        <f>'Cálculo BBSS (Opcional)'!H14</f>
        <v>398.85416666666669</v>
      </c>
      <c r="E163" s="69"/>
      <c r="F163" s="16"/>
      <c r="G163" s="16"/>
    </row>
    <row r="164" spans="1:7" x14ac:dyDescent="0.3">
      <c r="A164" s="2"/>
      <c r="B164" s="17">
        <v>4114</v>
      </c>
      <c r="C164" s="15" t="s">
        <v>169</v>
      </c>
      <c r="D164" s="69"/>
      <c r="E164" s="69">
        <f>D161</f>
        <v>683.75</v>
      </c>
      <c r="F164" s="16"/>
      <c r="G164" s="16"/>
    </row>
    <row r="165" spans="1:7" x14ac:dyDescent="0.3">
      <c r="A165" s="2"/>
      <c r="B165" s="17">
        <v>4115</v>
      </c>
      <c r="C165" s="15" t="s">
        <v>124</v>
      </c>
      <c r="D165" s="69"/>
      <c r="E165" s="69">
        <f t="shared" ref="E165:E166" si="65">D162</f>
        <v>341.875</v>
      </c>
      <c r="F165" s="16"/>
      <c r="G165" s="16"/>
    </row>
    <row r="166" spans="1:7" x14ac:dyDescent="0.3">
      <c r="A166" s="2"/>
      <c r="B166" s="17">
        <v>415</v>
      </c>
      <c r="C166" s="15" t="s">
        <v>125</v>
      </c>
      <c r="D166" s="69"/>
      <c r="E166" s="69">
        <f t="shared" si="65"/>
        <v>398.85416666666669</v>
      </c>
      <c r="F166" s="16"/>
      <c r="G166" s="16"/>
    </row>
    <row r="167" spans="1:7" x14ac:dyDescent="0.3">
      <c r="A167" s="2">
        <v>8</v>
      </c>
      <c r="B167" s="18" t="s">
        <v>170</v>
      </c>
      <c r="C167" s="15"/>
      <c r="D167" s="69"/>
      <c r="E167" s="69"/>
      <c r="F167" s="16"/>
      <c r="G167" s="16"/>
    </row>
    <row r="168" spans="1:7" x14ac:dyDescent="0.3">
      <c r="A168" s="2"/>
      <c r="B168"/>
      <c r="D168" s="71"/>
      <c r="E168" s="71"/>
    </row>
    <row r="169" spans="1:7" x14ac:dyDescent="0.3">
      <c r="A169" s="2"/>
      <c r="B169" s="17">
        <v>94</v>
      </c>
      <c r="C169" s="15" t="s">
        <v>151</v>
      </c>
      <c r="D169" s="69">
        <f>(D161+D162+D163)*0.5</f>
        <v>712.23958333333337</v>
      </c>
      <c r="E169" s="69"/>
      <c r="F169" s="16"/>
      <c r="G169" s="16"/>
    </row>
    <row r="170" spans="1:7" x14ac:dyDescent="0.3">
      <c r="A170" s="2"/>
      <c r="B170" s="17">
        <v>95</v>
      </c>
      <c r="C170" s="15" t="s">
        <v>12</v>
      </c>
      <c r="D170" s="69">
        <f>D169</f>
        <v>712.23958333333337</v>
      </c>
      <c r="E170" s="69"/>
      <c r="F170" s="16"/>
      <c r="G170" s="16"/>
    </row>
    <row r="171" spans="1:7" x14ac:dyDescent="0.3">
      <c r="A171" s="2"/>
      <c r="B171" s="17">
        <v>79</v>
      </c>
      <c r="C171" s="15" t="s">
        <v>13</v>
      </c>
      <c r="D171" s="69"/>
      <c r="E171" s="69">
        <f>SUM(D161:D163)</f>
        <v>1424.4791666666667</v>
      </c>
      <c r="F171" s="16"/>
      <c r="G171" s="16"/>
    </row>
    <row r="172" spans="1:7" x14ac:dyDescent="0.3">
      <c r="A172" s="2">
        <v>8</v>
      </c>
      <c r="B172" s="18" t="s">
        <v>171</v>
      </c>
      <c r="C172" s="15"/>
      <c r="D172" s="69"/>
      <c r="E172" s="69"/>
      <c r="F172" s="16"/>
      <c r="G172" s="16"/>
    </row>
    <row r="173" spans="1:7" x14ac:dyDescent="0.3">
      <c r="A173" s="2"/>
      <c r="B173"/>
      <c r="D173" s="71"/>
      <c r="E173" s="71"/>
    </row>
    <row r="174" spans="1:7" x14ac:dyDescent="0.3">
      <c r="A174" s="2"/>
      <c r="B174" s="17">
        <v>68413</v>
      </c>
      <c r="C174" s="15" t="s">
        <v>185</v>
      </c>
      <c r="D174" s="69">
        <f>'Datos (Hoja de Trabajo)'!H69</f>
        <v>200</v>
      </c>
      <c r="E174" s="69"/>
      <c r="F174" s="16"/>
      <c r="G174" s="16"/>
    </row>
    <row r="175" spans="1:7" x14ac:dyDescent="0.3">
      <c r="A175" s="2"/>
      <c r="B175" s="17">
        <v>68414</v>
      </c>
      <c r="C175" s="15" t="s">
        <v>186</v>
      </c>
      <c r="D175" s="69">
        <f>'Datos (Hoja de Trabajo)'!H67+'Datos (Hoja de Trabajo)'!H68</f>
        <v>38</v>
      </c>
      <c r="E175" s="69"/>
      <c r="F175" s="16"/>
      <c r="G175" s="16"/>
    </row>
    <row r="176" spans="1:7" x14ac:dyDescent="0.3">
      <c r="A176" s="2"/>
      <c r="B176" s="17">
        <v>68415</v>
      </c>
      <c r="C176" s="15" t="s">
        <v>187</v>
      </c>
      <c r="D176" s="69">
        <f>'Datos (Hoja de Trabajo)'!H66</f>
        <v>83</v>
      </c>
      <c r="E176" s="69"/>
      <c r="F176" s="16"/>
      <c r="G176" s="16"/>
    </row>
    <row r="177" spans="1:7" x14ac:dyDescent="0.3">
      <c r="A177" s="2"/>
      <c r="B177" s="17">
        <v>39525</v>
      </c>
      <c r="C177" s="15" t="s">
        <v>241</v>
      </c>
      <c r="D177" s="69"/>
      <c r="E177" s="69">
        <f>D174</f>
        <v>200</v>
      </c>
      <c r="F177" s="16"/>
      <c r="G177" s="16"/>
    </row>
    <row r="178" spans="1:7" x14ac:dyDescent="0.3">
      <c r="A178" s="2"/>
      <c r="B178" s="17">
        <v>39526</v>
      </c>
      <c r="C178" s="15" t="s">
        <v>122</v>
      </c>
      <c r="D178" s="69"/>
      <c r="E178" s="69">
        <f t="shared" ref="E178:E179" si="66">D175</f>
        <v>38</v>
      </c>
      <c r="F178" s="16"/>
      <c r="G178" s="16"/>
    </row>
    <row r="179" spans="1:7" x14ac:dyDescent="0.3">
      <c r="A179" s="2"/>
      <c r="B179" s="17">
        <v>39527</v>
      </c>
      <c r="C179" s="15" t="s">
        <v>121</v>
      </c>
      <c r="D179" s="69"/>
      <c r="E179" s="69">
        <f t="shared" si="66"/>
        <v>83</v>
      </c>
      <c r="F179" s="16"/>
      <c r="G179" s="16"/>
    </row>
    <row r="180" spans="1:7" x14ac:dyDescent="0.3">
      <c r="A180" s="2">
        <v>9</v>
      </c>
      <c r="B180" s="18" t="s">
        <v>54</v>
      </c>
      <c r="C180" s="15"/>
      <c r="D180" s="69"/>
      <c r="E180" s="69"/>
      <c r="F180" s="16"/>
      <c r="G180" s="16"/>
    </row>
    <row r="181" spans="1:7" x14ac:dyDescent="0.3">
      <c r="A181" s="2"/>
      <c r="B181"/>
      <c r="D181" s="71"/>
      <c r="E181" s="71"/>
    </row>
    <row r="182" spans="1:7" x14ac:dyDescent="0.3">
      <c r="A182" s="2"/>
      <c r="B182" s="17">
        <v>94</v>
      </c>
      <c r="C182" s="15" t="s">
        <v>151</v>
      </c>
      <c r="D182" s="69">
        <f>'Datos (Hoja de Trabajo)'!I62</f>
        <v>60.5</v>
      </c>
      <c r="E182" s="69"/>
      <c r="F182" s="16"/>
      <c r="G182" s="16"/>
    </row>
    <row r="183" spans="1:7" x14ac:dyDescent="0.3">
      <c r="A183" s="2"/>
      <c r="B183" s="17">
        <v>95</v>
      </c>
      <c r="C183" s="15" t="s">
        <v>12</v>
      </c>
      <c r="D183" s="69">
        <f>'Datos (Hoja de Trabajo)'!J62</f>
        <v>260.5</v>
      </c>
      <c r="E183" s="69"/>
      <c r="F183" s="16"/>
      <c r="G183" s="16"/>
    </row>
    <row r="184" spans="1:7" x14ac:dyDescent="0.3">
      <c r="A184" s="2"/>
      <c r="B184" s="17">
        <v>79</v>
      </c>
      <c r="C184" s="15" t="s">
        <v>13</v>
      </c>
      <c r="D184" s="69"/>
      <c r="E184" s="69">
        <f>SUM(D182:D184)</f>
        <v>321</v>
      </c>
      <c r="F184" s="16"/>
      <c r="G184" s="16"/>
    </row>
    <row r="185" spans="1:7" x14ac:dyDescent="0.3">
      <c r="A185" s="2">
        <v>9</v>
      </c>
      <c r="B185" s="18" t="s">
        <v>55</v>
      </c>
      <c r="C185" s="15"/>
      <c r="D185" s="69"/>
      <c r="E185" s="69"/>
      <c r="F185" s="16"/>
      <c r="G185" s="16"/>
    </row>
    <row r="186" spans="1:7" x14ac:dyDescent="0.3">
      <c r="A186" s="2"/>
      <c r="B186"/>
      <c r="D186" s="71"/>
      <c r="E186" s="71"/>
    </row>
    <row r="187" spans="1:7" x14ac:dyDescent="0.3">
      <c r="A187" s="2"/>
      <c r="B187" s="17">
        <v>639</v>
      </c>
      <c r="C187" s="15" t="s">
        <v>193</v>
      </c>
      <c r="D187" s="69">
        <f>'Datos (Hoja de Trabajo)'!F77+'Datos (Hoja de Trabajo)'!F78</f>
        <v>1000</v>
      </c>
      <c r="E187" s="69"/>
      <c r="F187" s="16"/>
      <c r="G187" s="16"/>
    </row>
    <row r="188" spans="1:7" x14ac:dyDescent="0.3">
      <c r="A188" s="2"/>
      <c r="B188" s="17">
        <v>641</v>
      </c>
      <c r="C188" s="15" t="s">
        <v>188</v>
      </c>
      <c r="D188" s="69">
        <f>'Datos (Hoja de Trabajo)'!F75+'Datos (Hoja de Trabajo)'!F76</f>
        <v>2000</v>
      </c>
      <c r="E188" s="69"/>
      <c r="F188" s="16"/>
      <c r="G188" s="16"/>
    </row>
    <row r="189" spans="1:7" x14ac:dyDescent="0.3">
      <c r="A189" s="2"/>
      <c r="B189" s="17">
        <v>104</v>
      </c>
      <c r="C189" s="15" t="s">
        <v>217</v>
      </c>
      <c r="D189" s="69"/>
      <c r="E189" s="69">
        <f>'Datos (Hoja de Trabajo)'!F75+'Datos (Hoja de Trabajo)'!F77</f>
        <v>3000</v>
      </c>
      <c r="F189" s="16"/>
      <c r="G189" s="16"/>
    </row>
    <row r="190" spans="1:7" x14ac:dyDescent="0.3">
      <c r="A190" s="2"/>
      <c r="B190" s="17">
        <v>10412</v>
      </c>
      <c r="C190" s="15" t="s">
        <v>97</v>
      </c>
      <c r="D190" s="69"/>
      <c r="E190" s="69">
        <f>'Datos (Hoja de Trabajo)'!F76+'Datos (Hoja de Trabajo)'!F78</f>
        <v>0</v>
      </c>
      <c r="F190" s="16"/>
      <c r="G190" s="16">
        <f>'Datos (Hoja de Trabajo)'!D76+'Datos (Hoja de Trabajo)'!D78</f>
        <v>0</v>
      </c>
    </row>
    <row r="191" spans="1:7" x14ac:dyDescent="0.3">
      <c r="A191" s="2">
        <v>10</v>
      </c>
      <c r="B191" s="18" t="s">
        <v>196</v>
      </c>
      <c r="C191" s="15"/>
      <c r="D191" s="69"/>
      <c r="E191" s="69"/>
      <c r="F191" s="16"/>
      <c r="G191" s="16"/>
    </row>
    <row r="192" spans="1:7" x14ac:dyDescent="0.3">
      <c r="A192" s="2"/>
      <c r="B192"/>
      <c r="D192" s="71"/>
      <c r="E192" s="71"/>
    </row>
    <row r="193" spans="1:8" x14ac:dyDescent="0.3">
      <c r="A193" s="2"/>
      <c r="B193" s="17">
        <v>94</v>
      </c>
      <c r="C193" s="15" t="s">
        <v>151</v>
      </c>
      <c r="D193" s="69">
        <f>D187+D188</f>
        <v>3000</v>
      </c>
      <c r="E193" s="69"/>
      <c r="F193" s="16"/>
      <c r="G193" s="16"/>
    </row>
    <row r="194" spans="1:8" x14ac:dyDescent="0.3">
      <c r="A194" s="2"/>
      <c r="B194" s="17">
        <v>79</v>
      </c>
      <c r="C194" s="15" t="s">
        <v>13</v>
      </c>
      <c r="D194" s="69"/>
      <c r="E194" s="69">
        <f>SUM(D193:D194)</f>
        <v>3000</v>
      </c>
      <c r="F194" s="16"/>
      <c r="G194" s="16"/>
      <c r="H194" s="5"/>
    </row>
    <row r="195" spans="1:8" x14ac:dyDescent="0.3">
      <c r="A195" s="2">
        <v>10</v>
      </c>
      <c r="B195" s="18" t="s">
        <v>197</v>
      </c>
      <c r="C195" s="15"/>
      <c r="D195" s="69"/>
      <c r="E195" s="69"/>
      <c r="F195" s="16"/>
      <c r="G195" s="16"/>
    </row>
    <row r="196" spans="1:8" x14ac:dyDescent="0.3">
      <c r="A196" s="2"/>
      <c r="B196"/>
      <c r="D196" s="71"/>
      <c r="E196" s="71"/>
    </row>
    <row r="197" spans="1:8" x14ac:dyDescent="0.3">
      <c r="A197" s="2"/>
      <c r="B197" s="17">
        <v>673</v>
      </c>
      <c r="C197" s="15" t="s">
        <v>278</v>
      </c>
      <c r="D197" s="69">
        <f>E24*0.01</f>
        <v>300</v>
      </c>
      <c r="E197" s="69"/>
      <c r="F197" s="16"/>
      <c r="G197" s="16"/>
    </row>
    <row r="198" spans="1:8" x14ac:dyDescent="0.3">
      <c r="B198" s="17">
        <v>451</v>
      </c>
      <c r="C198" s="15" t="s">
        <v>236</v>
      </c>
      <c r="D198" s="69"/>
      <c r="E198" s="69">
        <f>D197</f>
        <v>300</v>
      </c>
      <c r="F198" s="16"/>
      <c r="G198" s="16"/>
    </row>
    <row r="199" spans="1:8" x14ac:dyDescent="0.3">
      <c r="A199" s="2">
        <v>11</v>
      </c>
      <c r="B199" s="18" t="s">
        <v>142</v>
      </c>
      <c r="C199" s="15"/>
      <c r="D199" s="69"/>
      <c r="E199" s="69"/>
      <c r="F199" s="16"/>
      <c r="G199" s="16"/>
    </row>
    <row r="200" spans="1:8" x14ac:dyDescent="0.3">
      <c r="D200" s="70"/>
      <c r="E200" s="70"/>
      <c r="F200" s="5"/>
      <c r="G200" s="5"/>
      <c r="H200" s="28"/>
    </row>
    <row r="201" spans="1:8" x14ac:dyDescent="0.3">
      <c r="B201" s="17">
        <v>10412</v>
      </c>
      <c r="C201" s="15" t="s">
        <v>97</v>
      </c>
      <c r="D201" s="69">
        <f>'Datos (Hoja de Trabajo)'!D89</f>
        <v>0</v>
      </c>
      <c r="E201" s="69"/>
      <c r="F201" s="16"/>
      <c r="G201" s="16"/>
    </row>
    <row r="202" spans="1:8" x14ac:dyDescent="0.3">
      <c r="B202" s="17">
        <v>776</v>
      </c>
      <c r="C202" s="15" t="s">
        <v>140</v>
      </c>
      <c r="D202" s="69"/>
      <c r="E202" s="69">
        <f>D201</f>
        <v>0</v>
      </c>
      <c r="F202" s="16"/>
      <c r="G202" s="16"/>
    </row>
    <row r="203" spans="1:8" x14ac:dyDescent="0.3">
      <c r="A203" s="2">
        <v>11</v>
      </c>
      <c r="B203" s="18" t="s">
        <v>142</v>
      </c>
      <c r="C203" s="15"/>
      <c r="D203" s="69"/>
      <c r="E203" s="69"/>
      <c r="F203" s="16"/>
      <c r="G203" s="16"/>
    </row>
    <row r="204" spans="1:8" x14ac:dyDescent="0.3">
      <c r="D204" s="71"/>
      <c r="E204" s="71"/>
    </row>
    <row r="205" spans="1:8" ht="15" thickBot="1" x14ac:dyDescent="0.35">
      <c r="D205" s="72">
        <f>SUM(D5:D204)</f>
        <v>257215.84708333333</v>
      </c>
      <c r="E205" s="72">
        <f>SUM(E5:E204)</f>
        <v>257215.84708333333</v>
      </c>
    </row>
    <row r="206" spans="1:8" ht="15" thickTop="1" x14ac:dyDescent="0.3"/>
    <row r="243" spans="9:9" x14ac:dyDescent="0.3">
      <c r="I243" s="5"/>
    </row>
  </sheetData>
  <autoFilter ref="A3:AP203" xr:uid="{008640D4-4F8F-4383-9F2B-09D1AE53675D}"/>
  <mergeCells count="7">
    <mergeCell ref="W2:X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52DD-58BF-4D28-8D28-84CA712EF9FB}">
  <dimension ref="B1:T90"/>
  <sheetViews>
    <sheetView topLeftCell="A60" workbookViewId="0">
      <selection activeCell="B96" sqref="B96"/>
    </sheetView>
  </sheetViews>
  <sheetFormatPr baseColWidth="10" defaultColWidth="8.88671875" defaultRowHeight="14.4" x14ac:dyDescent="0.3"/>
  <cols>
    <col min="3" max="3" width="41.44140625" bestFit="1" customWidth="1"/>
    <col min="4" max="5" width="10.44140625" customWidth="1"/>
    <col min="6" max="6" width="8.6640625" customWidth="1"/>
    <col min="7" max="7" width="10.5546875" bestFit="1" customWidth="1"/>
    <col min="8" max="8" width="9.5546875" bestFit="1" customWidth="1"/>
    <col min="9" max="9" width="10.5546875" bestFit="1" customWidth="1"/>
    <col min="11" max="11" width="47.5546875" bestFit="1" customWidth="1"/>
    <col min="12" max="12" width="8" customWidth="1"/>
    <col min="13" max="13" width="13.109375" hidden="1" customWidth="1"/>
    <col min="14" max="15" width="10.5546875" hidden="1" customWidth="1"/>
    <col min="16" max="16" width="10.44140625" hidden="1" customWidth="1"/>
    <col min="17" max="22" width="0" hidden="1" customWidth="1"/>
  </cols>
  <sheetData>
    <row r="1" spans="2:14" x14ac:dyDescent="0.3">
      <c r="B1" s="7" t="s">
        <v>210</v>
      </c>
    </row>
    <row r="2" spans="2:14" x14ac:dyDescent="0.3">
      <c r="H2" s="12" t="s">
        <v>106</v>
      </c>
      <c r="I2" s="12" t="s">
        <v>107</v>
      </c>
    </row>
    <row r="3" spans="2:14" x14ac:dyDescent="0.3">
      <c r="B3" s="12" t="s">
        <v>95</v>
      </c>
      <c r="C3" s="12" t="s">
        <v>96</v>
      </c>
      <c r="D3" s="12" t="s">
        <v>98</v>
      </c>
      <c r="E3" s="12" t="s">
        <v>99</v>
      </c>
      <c r="F3" s="12" t="s">
        <v>91</v>
      </c>
      <c r="G3" s="12" t="s">
        <v>92</v>
      </c>
      <c r="H3" s="12" t="s">
        <v>90</v>
      </c>
      <c r="I3" s="12" t="s">
        <v>90</v>
      </c>
      <c r="J3" s="12" t="s">
        <v>0</v>
      </c>
      <c r="K3" s="12" t="s">
        <v>1</v>
      </c>
    </row>
    <row r="4" spans="2:14" x14ac:dyDescent="0.3">
      <c r="B4" s="17">
        <v>1</v>
      </c>
      <c r="C4" s="15" t="s">
        <v>93</v>
      </c>
      <c r="D4" s="15"/>
      <c r="E4" s="15"/>
      <c r="F4" s="16"/>
      <c r="G4" s="26"/>
      <c r="H4" s="16">
        <v>15000</v>
      </c>
      <c r="I4" s="16"/>
      <c r="J4" s="17">
        <v>104</v>
      </c>
      <c r="K4" s="15" t="s">
        <v>217</v>
      </c>
    </row>
    <row r="5" spans="2:14" x14ac:dyDescent="0.3">
      <c r="B5" s="17">
        <v>1</v>
      </c>
      <c r="C5" s="15" t="s">
        <v>94</v>
      </c>
      <c r="D5" s="15"/>
      <c r="E5" s="15"/>
      <c r="F5" s="16"/>
      <c r="G5" s="26"/>
      <c r="H5" s="16">
        <v>32000</v>
      </c>
      <c r="I5" s="16"/>
      <c r="J5" s="17">
        <v>106</v>
      </c>
      <c r="K5" s="15" t="s">
        <v>218</v>
      </c>
    </row>
    <row r="6" spans="2:14" x14ac:dyDescent="0.3">
      <c r="B6" s="17">
        <v>2</v>
      </c>
      <c r="C6" s="15" t="s">
        <v>219</v>
      </c>
      <c r="D6" s="15"/>
      <c r="E6" s="15"/>
      <c r="F6" s="16"/>
      <c r="G6" s="26"/>
      <c r="H6" s="16">
        <v>8500</v>
      </c>
      <c r="I6" s="16"/>
      <c r="J6" s="17">
        <v>121</v>
      </c>
      <c r="K6" s="15" t="s">
        <v>223</v>
      </c>
      <c r="M6" s="27"/>
      <c r="N6" s="27"/>
    </row>
    <row r="7" spans="2:14" x14ac:dyDescent="0.3">
      <c r="B7" s="17">
        <v>2</v>
      </c>
      <c r="C7" s="15" t="s">
        <v>220</v>
      </c>
      <c r="D7" s="15"/>
      <c r="E7" s="15"/>
      <c r="F7" s="16"/>
      <c r="G7" s="26"/>
      <c r="H7" s="16">
        <v>4200</v>
      </c>
      <c r="I7" s="16"/>
      <c r="J7" s="17">
        <v>121</v>
      </c>
      <c r="K7" s="15" t="s">
        <v>223</v>
      </c>
      <c r="M7" s="27"/>
      <c r="N7" s="27"/>
    </row>
    <row r="8" spans="2:14" x14ac:dyDescent="0.3">
      <c r="B8" s="17">
        <v>2</v>
      </c>
      <c r="C8" s="15" t="s">
        <v>221</v>
      </c>
      <c r="D8" s="15"/>
      <c r="E8" s="15"/>
      <c r="F8" s="16"/>
      <c r="G8" s="26"/>
      <c r="H8" s="16">
        <v>3500</v>
      </c>
      <c r="I8" s="16"/>
      <c r="J8" s="17">
        <v>121</v>
      </c>
      <c r="K8" s="15" t="s">
        <v>223</v>
      </c>
      <c r="M8" s="27"/>
      <c r="N8" s="27"/>
    </row>
    <row r="9" spans="2:14" x14ac:dyDescent="0.3">
      <c r="B9" s="17">
        <v>2</v>
      </c>
      <c r="C9" s="15" t="s">
        <v>222</v>
      </c>
      <c r="D9" s="15"/>
      <c r="E9" s="15"/>
      <c r="F9" s="16"/>
      <c r="G9" s="26"/>
      <c r="H9" s="16">
        <v>10000</v>
      </c>
      <c r="I9" s="16"/>
      <c r="J9" s="17">
        <v>123</v>
      </c>
      <c r="K9" s="15" t="s">
        <v>224</v>
      </c>
      <c r="M9" s="27"/>
      <c r="N9" s="27"/>
    </row>
    <row r="10" spans="2:14" x14ac:dyDescent="0.3">
      <c r="B10" s="17">
        <v>3</v>
      </c>
      <c r="C10" s="15" t="s">
        <v>226</v>
      </c>
      <c r="D10" s="15"/>
      <c r="E10" s="15"/>
      <c r="F10" s="16"/>
      <c r="G10" s="26"/>
      <c r="H10" s="38">
        <v>5000</v>
      </c>
      <c r="I10" s="16"/>
      <c r="J10" s="17">
        <v>142</v>
      </c>
      <c r="K10" s="15" t="s">
        <v>225</v>
      </c>
    </row>
    <row r="11" spans="2:14" x14ac:dyDescent="0.3">
      <c r="B11" s="17">
        <v>4</v>
      </c>
      <c r="C11" s="15" t="s">
        <v>100</v>
      </c>
      <c r="D11" s="15">
        <v>200</v>
      </c>
      <c r="E11" s="15">
        <v>15</v>
      </c>
      <c r="F11" s="16"/>
      <c r="G11" s="26"/>
      <c r="H11" s="16">
        <f>D11*E11</f>
        <v>3000</v>
      </c>
      <c r="I11" s="16"/>
      <c r="J11" s="17">
        <v>201</v>
      </c>
      <c r="K11" s="15" t="s">
        <v>6</v>
      </c>
    </row>
    <row r="12" spans="2:14" x14ac:dyDescent="0.3">
      <c r="B12" s="17">
        <v>4</v>
      </c>
      <c r="C12" s="15" t="s">
        <v>101</v>
      </c>
      <c r="D12" s="15">
        <v>800</v>
      </c>
      <c r="E12" s="15">
        <v>6</v>
      </c>
      <c r="F12" s="16"/>
      <c r="G12" s="26"/>
      <c r="H12" s="16">
        <f t="shared" ref="H12:H13" si="0">D12*E12</f>
        <v>4800</v>
      </c>
      <c r="I12" s="16"/>
      <c r="J12" s="17">
        <v>201</v>
      </c>
      <c r="K12" s="15" t="s">
        <v>6</v>
      </c>
    </row>
    <row r="13" spans="2:14" x14ac:dyDescent="0.3">
      <c r="B13" s="17">
        <v>4</v>
      </c>
      <c r="C13" s="15" t="s">
        <v>102</v>
      </c>
      <c r="D13" s="15">
        <v>100</v>
      </c>
      <c r="E13" s="15">
        <v>20</v>
      </c>
      <c r="F13" s="16"/>
      <c r="G13" s="26"/>
      <c r="H13" s="16">
        <f t="shared" si="0"/>
        <v>2000</v>
      </c>
      <c r="I13" s="16"/>
      <c r="J13" s="17">
        <v>201</v>
      </c>
      <c r="K13" s="15" t="s">
        <v>6</v>
      </c>
    </row>
    <row r="14" spans="2:14" x14ac:dyDescent="0.3">
      <c r="B14" s="17">
        <v>5</v>
      </c>
      <c r="C14" s="15" t="s">
        <v>242</v>
      </c>
      <c r="D14" s="15"/>
      <c r="E14" s="15"/>
      <c r="F14" s="16"/>
      <c r="G14" s="26"/>
      <c r="H14" s="16">
        <v>4000</v>
      </c>
      <c r="I14" s="16"/>
      <c r="J14" s="17">
        <v>336</v>
      </c>
      <c r="K14" s="15" t="s">
        <v>119</v>
      </c>
    </row>
    <row r="15" spans="2:14" x14ac:dyDescent="0.3">
      <c r="B15" s="17">
        <v>5</v>
      </c>
      <c r="C15" s="15" t="s">
        <v>227</v>
      </c>
      <c r="D15" s="15"/>
      <c r="E15" s="15"/>
      <c r="F15" s="16"/>
      <c r="G15" s="26"/>
      <c r="H15" s="16">
        <v>2000</v>
      </c>
      <c r="I15" s="16"/>
      <c r="J15" s="17">
        <v>335</v>
      </c>
      <c r="K15" s="15" t="s">
        <v>120</v>
      </c>
    </row>
    <row r="16" spans="2:14" x14ac:dyDescent="0.3">
      <c r="B16" s="17">
        <v>5</v>
      </c>
      <c r="C16" s="15" t="s">
        <v>243</v>
      </c>
      <c r="D16" s="15"/>
      <c r="E16" s="15"/>
      <c r="F16" s="16"/>
      <c r="G16" s="26"/>
      <c r="H16" s="16">
        <v>2500</v>
      </c>
      <c r="I16" s="16"/>
      <c r="J16" s="17">
        <v>335</v>
      </c>
      <c r="K16" s="15" t="s">
        <v>120</v>
      </c>
    </row>
    <row r="17" spans="2:20" x14ac:dyDescent="0.3">
      <c r="B17" s="17">
        <v>5</v>
      </c>
      <c r="C17" s="15" t="s">
        <v>230</v>
      </c>
      <c r="D17" s="15"/>
      <c r="E17" s="15"/>
      <c r="F17" s="16"/>
      <c r="G17" s="26"/>
      <c r="H17" s="16">
        <v>12000</v>
      </c>
      <c r="I17" s="16"/>
      <c r="J17" s="17">
        <v>334</v>
      </c>
      <c r="K17" s="15" t="s">
        <v>240</v>
      </c>
    </row>
    <row r="18" spans="2:20" x14ac:dyDescent="0.3">
      <c r="B18" s="17">
        <v>5</v>
      </c>
      <c r="C18" s="15" t="s">
        <v>104</v>
      </c>
      <c r="D18" s="15"/>
      <c r="E18" s="15"/>
      <c r="F18" s="16"/>
      <c r="G18" s="26"/>
      <c r="H18" s="16"/>
      <c r="I18" s="16">
        <v>1000</v>
      </c>
      <c r="J18" s="17">
        <v>39527</v>
      </c>
      <c r="K18" s="15" t="s">
        <v>121</v>
      </c>
    </row>
    <row r="19" spans="2:20" x14ac:dyDescent="0.3">
      <c r="B19" s="17">
        <v>5</v>
      </c>
      <c r="C19" s="15" t="s">
        <v>229</v>
      </c>
      <c r="D19" s="15"/>
      <c r="E19" s="15"/>
      <c r="F19" s="16"/>
      <c r="G19" s="26"/>
      <c r="H19" s="16"/>
      <c r="I19" s="16">
        <v>200</v>
      </c>
      <c r="J19" s="17">
        <v>39526</v>
      </c>
      <c r="K19" s="15" t="s">
        <v>122</v>
      </c>
      <c r="N19" s="12" t="s">
        <v>112</v>
      </c>
      <c r="O19" s="12" t="s">
        <v>143</v>
      </c>
      <c r="P19" s="12" t="s">
        <v>59</v>
      </c>
      <c r="R19" t="s">
        <v>162</v>
      </c>
    </row>
    <row r="20" spans="2:20" x14ac:dyDescent="0.3">
      <c r="B20" s="17">
        <v>5</v>
      </c>
      <c r="C20" s="15" t="s">
        <v>228</v>
      </c>
      <c r="D20" s="15"/>
      <c r="E20" s="15"/>
      <c r="F20" s="16"/>
      <c r="G20" s="26"/>
      <c r="H20" s="16"/>
      <c r="I20" s="16">
        <v>250</v>
      </c>
      <c r="J20" s="17">
        <v>39526</v>
      </c>
      <c r="K20" s="15" t="s">
        <v>122</v>
      </c>
      <c r="M20" t="s">
        <v>144</v>
      </c>
      <c r="N20" s="16">
        <v>1440</v>
      </c>
      <c r="O20" s="16">
        <f>N20*3</f>
        <v>4320</v>
      </c>
      <c r="P20">
        <f t="shared" ref="P20:P25" si="1">SUM(N20:O20)</f>
        <v>5760</v>
      </c>
      <c r="Q20" t="s">
        <v>113</v>
      </c>
      <c r="R20">
        <v>6</v>
      </c>
      <c r="S20">
        <v>12</v>
      </c>
    </row>
    <row r="21" spans="2:20" x14ac:dyDescent="0.3">
      <c r="B21" s="17">
        <v>5</v>
      </c>
      <c r="C21" s="15" t="s">
        <v>231</v>
      </c>
      <c r="D21" s="15"/>
      <c r="E21" s="15"/>
      <c r="F21" s="16"/>
      <c r="G21" s="26"/>
      <c r="H21" s="16"/>
      <c r="I21" s="16">
        <v>2400</v>
      </c>
      <c r="J21" s="17">
        <v>39525</v>
      </c>
      <c r="K21" s="15" t="s">
        <v>241</v>
      </c>
      <c r="M21" t="s">
        <v>145</v>
      </c>
      <c r="N21" s="16">
        <f>ROUND(N20*0.09,0)</f>
        <v>130</v>
      </c>
      <c r="O21" s="16">
        <f>ROUND(O20*0.09,0)</f>
        <v>389</v>
      </c>
      <c r="P21">
        <f t="shared" si="1"/>
        <v>519</v>
      </c>
      <c r="R21" s="1">
        <f>P21</f>
        <v>519</v>
      </c>
    </row>
    <row r="22" spans="2:20" x14ac:dyDescent="0.3">
      <c r="B22" s="17">
        <v>6</v>
      </c>
      <c r="C22" s="15" t="s">
        <v>108</v>
      </c>
      <c r="D22" s="15"/>
      <c r="E22" s="15"/>
      <c r="F22" s="16"/>
      <c r="G22" s="26"/>
      <c r="H22" s="16"/>
      <c r="I22" s="16">
        <v>7500</v>
      </c>
      <c r="J22" s="17">
        <v>4115</v>
      </c>
      <c r="K22" s="15" t="s">
        <v>124</v>
      </c>
      <c r="M22" t="s">
        <v>147</v>
      </c>
      <c r="N22" s="16">
        <f>ROUND(N20*0.13,0)</f>
        <v>187</v>
      </c>
      <c r="O22" s="16">
        <f>ROUND(O20*0.13,0)</f>
        <v>562</v>
      </c>
      <c r="P22">
        <f t="shared" si="1"/>
        <v>749</v>
      </c>
      <c r="R22" s="1">
        <f>P22*2</f>
        <v>1498</v>
      </c>
      <c r="S22" t="s">
        <v>164</v>
      </c>
    </row>
    <row r="23" spans="2:20" x14ac:dyDescent="0.3">
      <c r="B23" s="17">
        <v>6</v>
      </c>
      <c r="C23" s="15" t="s">
        <v>109</v>
      </c>
      <c r="D23" s="15"/>
      <c r="E23" s="15"/>
      <c r="F23" s="16"/>
      <c r="G23" s="26"/>
      <c r="H23" s="16"/>
      <c r="I23" s="16">
        <v>2000</v>
      </c>
      <c r="J23" s="17">
        <v>415</v>
      </c>
      <c r="K23" s="15" t="s">
        <v>125</v>
      </c>
      <c r="M23" t="s">
        <v>111</v>
      </c>
      <c r="N23" s="16">
        <f>N20/12</f>
        <v>120</v>
      </c>
      <c r="O23" s="16">
        <f>O20/12</f>
        <v>360</v>
      </c>
      <c r="P23">
        <f t="shared" si="1"/>
        <v>480</v>
      </c>
      <c r="R23">
        <f>N23*R20</f>
        <v>720</v>
      </c>
      <c r="S23">
        <f>O23*S20</f>
        <v>4320</v>
      </c>
      <c r="T23" s="1">
        <f>SUM(R23:S23)</f>
        <v>5040</v>
      </c>
    </row>
    <row r="24" spans="2:20" x14ac:dyDescent="0.3">
      <c r="B24" s="17">
        <v>7</v>
      </c>
      <c r="C24" s="15" t="s">
        <v>147</v>
      </c>
      <c r="D24" s="15"/>
      <c r="E24" s="15"/>
      <c r="F24" s="16"/>
      <c r="G24" s="26"/>
      <c r="H24" s="16"/>
      <c r="I24" s="37">
        <v>800</v>
      </c>
      <c r="J24" s="17">
        <v>417</v>
      </c>
      <c r="K24" s="15" t="s">
        <v>232</v>
      </c>
      <c r="M24" t="s">
        <v>114</v>
      </c>
      <c r="N24" s="16">
        <f>(N20*14)/12/12</f>
        <v>140</v>
      </c>
      <c r="O24" s="16">
        <f>(O20*14)/12/12</f>
        <v>420</v>
      </c>
      <c r="P24">
        <f t="shared" si="1"/>
        <v>560</v>
      </c>
      <c r="R24">
        <f>P24*2</f>
        <v>1120</v>
      </c>
      <c r="S24" t="s">
        <v>163</v>
      </c>
    </row>
    <row r="25" spans="2:20" x14ac:dyDescent="0.3">
      <c r="B25" s="17">
        <v>8</v>
      </c>
      <c r="C25" s="15" t="s">
        <v>110</v>
      </c>
      <c r="D25" s="15"/>
      <c r="E25" s="15"/>
      <c r="F25" s="16"/>
      <c r="G25" s="26"/>
      <c r="H25" s="16"/>
      <c r="I25" s="37">
        <v>5200</v>
      </c>
      <c r="J25" s="17">
        <v>4011</v>
      </c>
      <c r="K25" s="15" t="s">
        <v>123</v>
      </c>
      <c r="M25" t="s">
        <v>161</v>
      </c>
      <c r="N25" s="16">
        <f>N20/6</f>
        <v>240</v>
      </c>
      <c r="O25" s="16">
        <f>O20/6</f>
        <v>720</v>
      </c>
      <c r="P25">
        <f t="shared" si="1"/>
        <v>960</v>
      </c>
      <c r="R25">
        <v>0</v>
      </c>
    </row>
    <row r="26" spans="2:20" x14ac:dyDescent="0.3">
      <c r="B26" s="17">
        <v>8</v>
      </c>
      <c r="C26" s="15" t="s">
        <v>146</v>
      </c>
      <c r="D26" s="15"/>
      <c r="E26" s="15"/>
      <c r="F26" s="16"/>
      <c r="G26" s="26"/>
      <c r="H26" s="16"/>
      <c r="I26" s="37">
        <v>600</v>
      </c>
      <c r="J26" s="17">
        <v>4031</v>
      </c>
      <c r="K26" s="15" t="s">
        <v>145</v>
      </c>
    </row>
    <row r="27" spans="2:20" x14ac:dyDescent="0.3">
      <c r="B27" s="17">
        <v>8</v>
      </c>
      <c r="C27" s="15" t="s">
        <v>117</v>
      </c>
      <c r="D27" s="15"/>
      <c r="E27" s="15"/>
      <c r="F27" s="16"/>
      <c r="G27" s="26"/>
      <c r="H27" s="16"/>
      <c r="I27" s="16">
        <v>6000</v>
      </c>
      <c r="J27" s="17">
        <v>40171</v>
      </c>
      <c r="K27" s="15" t="s">
        <v>238</v>
      </c>
      <c r="M27" s="27">
        <f>I27*100/29.5</f>
        <v>20338.983050847459</v>
      </c>
      <c r="O27" s="27">
        <f>M27-I27</f>
        <v>14338.983050847459</v>
      </c>
    </row>
    <row r="28" spans="2:20" x14ac:dyDescent="0.3">
      <c r="B28" s="17">
        <v>9</v>
      </c>
      <c r="C28" s="15" t="s">
        <v>115</v>
      </c>
      <c r="D28" s="15"/>
      <c r="E28" s="15"/>
      <c r="F28" s="16"/>
      <c r="G28" s="26"/>
      <c r="H28" s="16"/>
      <c r="I28" s="16">
        <v>400</v>
      </c>
      <c r="J28" s="17">
        <v>421</v>
      </c>
      <c r="K28" s="15" t="s">
        <v>234</v>
      </c>
      <c r="M28" s="27">
        <v>200</v>
      </c>
      <c r="N28" s="27">
        <f t="shared" ref="N28:N30" si="2">M28*0.18</f>
        <v>36</v>
      </c>
    </row>
    <row r="29" spans="2:20" x14ac:dyDescent="0.3">
      <c r="B29" s="17">
        <v>9</v>
      </c>
      <c r="C29" s="15" t="s">
        <v>116</v>
      </c>
      <c r="D29" s="15"/>
      <c r="E29" s="15"/>
      <c r="F29" s="16"/>
      <c r="G29" s="26"/>
      <c r="H29" s="16"/>
      <c r="I29" s="16">
        <v>550</v>
      </c>
      <c r="J29" s="17">
        <v>421</v>
      </c>
      <c r="K29" s="15" t="s">
        <v>234</v>
      </c>
      <c r="M29" s="27">
        <v>300</v>
      </c>
      <c r="N29" s="27">
        <f t="shared" si="2"/>
        <v>54</v>
      </c>
    </row>
    <row r="30" spans="2:20" x14ac:dyDescent="0.3">
      <c r="B30" s="17">
        <v>9</v>
      </c>
      <c r="C30" s="15" t="s">
        <v>233</v>
      </c>
      <c r="D30" s="15"/>
      <c r="E30" s="15"/>
      <c r="F30" s="16"/>
      <c r="G30" s="26"/>
      <c r="H30" s="16"/>
      <c r="I30" s="16">
        <v>600</v>
      </c>
      <c r="J30" s="17">
        <v>421</v>
      </c>
      <c r="K30" s="15" t="s">
        <v>234</v>
      </c>
      <c r="M30" s="27">
        <v>500</v>
      </c>
      <c r="N30" s="27">
        <f t="shared" si="2"/>
        <v>90</v>
      </c>
    </row>
    <row r="31" spans="2:20" x14ac:dyDescent="0.3">
      <c r="B31" s="17">
        <v>9</v>
      </c>
      <c r="C31" s="15" t="s">
        <v>235</v>
      </c>
      <c r="D31" s="15"/>
      <c r="E31" s="15"/>
      <c r="F31" s="16"/>
      <c r="G31" s="26"/>
      <c r="H31" s="16"/>
      <c r="I31" s="16">
        <v>12000</v>
      </c>
      <c r="J31" s="17">
        <v>421</v>
      </c>
      <c r="K31" s="15" t="s">
        <v>234</v>
      </c>
    </row>
    <row r="32" spans="2:20" x14ac:dyDescent="0.3">
      <c r="B32" s="17">
        <v>10</v>
      </c>
      <c r="C32" s="15" t="s">
        <v>237</v>
      </c>
      <c r="D32" s="15"/>
      <c r="E32" s="15"/>
      <c r="F32" s="16"/>
      <c r="G32" s="26"/>
      <c r="H32" s="16"/>
      <c r="I32" s="29">
        <v>30000</v>
      </c>
      <c r="J32" s="17">
        <v>451</v>
      </c>
      <c r="K32" s="15" t="s">
        <v>236</v>
      </c>
    </row>
    <row r="33" spans="2:18" x14ac:dyDescent="0.3">
      <c r="B33" s="17">
        <v>11</v>
      </c>
      <c r="C33" s="15" t="s">
        <v>118</v>
      </c>
      <c r="D33" s="15"/>
      <c r="E33" s="15"/>
      <c r="F33" s="16"/>
      <c r="G33" s="26"/>
      <c r="H33" s="16"/>
      <c r="I33" s="29">
        <v>25000</v>
      </c>
      <c r="J33" s="17">
        <v>501</v>
      </c>
      <c r="K33" s="15" t="s">
        <v>118</v>
      </c>
    </row>
    <row r="34" spans="2:18" x14ac:dyDescent="0.3">
      <c r="B34" s="17">
        <v>12</v>
      </c>
      <c r="C34" s="15" t="s">
        <v>239</v>
      </c>
      <c r="D34" s="15"/>
      <c r="E34" s="15"/>
      <c r="F34" s="16"/>
      <c r="G34" s="26"/>
      <c r="H34" s="16"/>
      <c r="I34" s="16">
        <v>14000</v>
      </c>
      <c r="J34" s="17">
        <v>591</v>
      </c>
      <c r="K34" s="15" t="s">
        <v>8</v>
      </c>
    </row>
    <row r="35" spans="2:18" x14ac:dyDescent="0.3">
      <c r="H35" s="8">
        <f>SUM(H4:H34)</f>
        <v>108500</v>
      </c>
      <c r="I35" s="8">
        <f>SUM(I4:I34)</f>
        <v>108500</v>
      </c>
    </row>
    <row r="36" spans="2:18" x14ac:dyDescent="0.3">
      <c r="B36" s="7" t="s">
        <v>211</v>
      </c>
      <c r="I36" s="5">
        <f>H35-I35</f>
        <v>0</v>
      </c>
      <c r="R36">
        <v>70</v>
      </c>
    </row>
    <row r="37" spans="2:18" x14ac:dyDescent="0.3">
      <c r="B37" s="7"/>
      <c r="I37" s="5"/>
    </row>
    <row r="38" spans="2:18" x14ac:dyDescent="0.3">
      <c r="B38" s="7" t="s">
        <v>212</v>
      </c>
      <c r="I38" s="27"/>
    </row>
    <row r="39" spans="2:18" x14ac:dyDescent="0.3">
      <c r="B39" s="7"/>
      <c r="I39" s="27"/>
    </row>
    <row r="40" spans="2:18" x14ac:dyDescent="0.3">
      <c r="B40" s="7"/>
      <c r="C40" s="13" t="s">
        <v>130</v>
      </c>
      <c r="D40" s="13" t="s">
        <v>98</v>
      </c>
      <c r="E40" s="13" t="s">
        <v>134</v>
      </c>
      <c r="F40" s="13" t="s">
        <v>59</v>
      </c>
      <c r="I40" s="27"/>
    </row>
    <row r="41" spans="2:18" x14ac:dyDescent="0.3">
      <c r="C41" s="15" t="s">
        <v>126</v>
      </c>
      <c r="D41" s="15">
        <v>200</v>
      </c>
      <c r="E41" s="15">
        <v>20</v>
      </c>
      <c r="F41" s="16">
        <f>D41*E41</f>
        <v>4000</v>
      </c>
      <c r="I41" s="27"/>
    </row>
    <row r="42" spans="2:18" x14ac:dyDescent="0.3">
      <c r="C42" s="15" t="s">
        <v>127</v>
      </c>
      <c r="D42" s="15">
        <v>80</v>
      </c>
      <c r="E42" s="15">
        <v>40</v>
      </c>
      <c r="F42" s="16">
        <f>D42*E42</f>
        <v>3200</v>
      </c>
      <c r="I42" s="27"/>
    </row>
    <row r="43" spans="2:18" x14ac:dyDescent="0.3">
      <c r="F43" s="8">
        <f>SUM(F41:F42)</f>
        <v>7200</v>
      </c>
      <c r="G43" s="30"/>
      <c r="H43" s="5"/>
      <c r="I43" s="5"/>
      <c r="J43" s="6"/>
    </row>
    <row r="44" spans="2:18" x14ac:dyDescent="0.3">
      <c r="F44" s="8"/>
      <c r="G44" s="30"/>
      <c r="H44" s="5"/>
      <c r="I44" s="5"/>
      <c r="J44" s="6"/>
    </row>
    <row r="45" spans="2:18" x14ac:dyDescent="0.3">
      <c r="B45" s="7" t="s">
        <v>289</v>
      </c>
      <c r="F45" s="5"/>
      <c r="G45" s="30"/>
      <c r="H45" s="5"/>
      <c r="I45" s="5"/>
      <c r="J45" s="6"/>
    </row>
    <row r="46" spans="2:18" x14ac:dyDescent="0.3">
      <c r="B46" s="7"/>
      <c r="F46" s="5"/>
      <c r="G46" s="30"/>
      <c r="H46" s="5"/>
      <c r="I46" s="5"/>
      <c r="J46" s="6"/>
    </row>
    <row r="47" spans="2:18" ht="28.8" x14ac:dyDescent="0.3">
      <c r="C47" s="13" t="s">
        <v>130</v>
      </c>
      <c r="D47" s="13" t="s">
        <v>98</v>
      </c>
      <c r="E47" s="13" t="s">
        <v>133</v>
      </c>
      <c r="F47" s="13" t="s">
        <v>131</v>
      </c>
      <c r="G47" s="13" t="s">
        <v>134</v>
      </c>
      <c r="H47" s="13" t="s">
        <v>135</v>
      </c>
      <c r="I47" s="5"/>
      <c r="J47" s="6"/>
    </row>
    <row r="48" spans="2:18" x14ac:dyDescent="0.3">
      <c r="C48" s="15" t="s">
        <v>100</v>
      </c>
      <c r="D48" s="15">
        <f>D11*0.7</f>
        <v>140</v>
      </c>
      <c r="E48" s="16">
        <v>30</v>
      </c>
      <c r="F48" s="16">
        <f>D48*E48</f>
        <v>4200</v>
      </c>
      <c r="G48" s="15">
        <f>E11</f>
        <v>15</v>
      </c>
      <c r="H48" s="16">
        <f>D48*G48</f>
        <v>2100</v>
      </c>
      <c r="I48" s="5"/>
      <c r="J48" s="6"/>
    </row>
    <row r="49" spans="2:18" x14ac:dyDescent="0.3">
      <c r="C49" s="15" t="s">
        <v>101</v>
      </c>
      <c r="D49" s="15">
        <f>D12*0.7</f>
        <v>560</v>
      </c>
      <c r="E49" s="16">
        <v>10</v>
      </c>
      <c r="F49" s="16">
        <f t="shared" ref="F49:F52" si="3">D49*E49</f>
        <v>5600</v>
      </c>
      <c r="G49" s="15">
        <f>E12</f>
        <v>6</v>
      </c>
      <c r="H49" s="16">
        <f>D49*G49</f>
        <v>3360</v>
      </c>
      <c r="I49" s="5"/>
      <c r="J49" s="6"/>
      <c r="R49">
        <v>70</v>
      </c>
    </row>
    <row r="50" spans="2:18" x14ac:dyDescent="0.3">
      <c r="C50" s="15" t="s">
        <v>102</v>
      </c>
      <c r="D50" s="15">
        <f>D13*0.7</f>
        <v>70</v>
      </c>
      <c r="E50" s="16">
        <v>40</v>
      </c>
      <c r="F50" s="16">
        <f t="shared" si="3"/>
        <v>2800</v>
      </c>
      <c r="G50" s="15">
        <f>E13</f>
        <v>20</v>
      </c>
      <c r="H50" s="16">
        <f>D50*G50</f>
        <v>1400</v>
      </c>
      <c r="I50" s="5"/>
      <c r="J50" s="6"/>
    </row>
    <row r="51" spans="2:18" x14ac:dyDescent="0.3">
      <c r="C51" s="15" t="s">
        <v>126</v>
      </c>
      <c r="D51" s="15">
        <f>D41*0.6</f>
        <v>120</v>
      </c>
      <c r="E51" s="16">
        <v>70</v>
      </c>
      <c r="F51" s="16">
        <f t="shared" si="3"/>
        <v>8400</v>
      </c>
      <c r="G51" s="15">
        <f>E41</f>
        <v>20</v>
      </c>
      <c r="H51" s="16">
        <f>D51*G51</f>
        <v>2400</v>
      </c>
      <c r="I51" s="5"/>
      <c r="J51" s="6"/>
    </row>
    <row r="52" spans="2:18" x14ac:dyDescent="0.3">
      <c r="C52" s="15" t="s">
        <v>127</v>
      </c>
      <c r="D52" s="15">
        <f>D42*0.6</f>
        <v>48</v>
      </c>
      <c r="E52" s="16">
        <v>110</v>
      </c>
      <c r="F52" s="16">
        <f t="shared" si="3"/>
        <v>5280</v>
      </c>
      <c r="G52" s="15">
        <f>E42</f>
        <v>40</v>
      </c>
      <c r="H52" s="16">
        <f>D52*G52</f>
        <v>1920</v>
      </c>
      <c r="I52" s="5"/>
      <c r="J52" s="6"/>
    </row>
    <row r="53" spans="2:18" x14ac:dyDescent="0.3">
      <c r="F53" s="8">
        <f>SUM(F48:F52)</f>
        <v>26280</v>
      </c>
      <c r="G53" s="1"/>
      <c r="H53" s="8">
        <f>SUM(H48:H52)</f>
        <v>11180</v>
      </c>
    </row>
    <row r="55" spans="2:18" x14ac:dyDescent="0.3">
      <c r="B55" s="7" t="s">
        <v>290</v>
      </c>
    </row>
    <row r="56" spans="2:18" x14ac:dyDescent="0.3">
      <c r="B56" s="7"/>
    </row>
    <row r="57" spans="2:18" ht="28.8" x14ac:dyDescent="0.3">
      <c r="C57" s="13" t="s">
        <v>22</v>
      </c>
      <c r="D57" s="13" t="s">
        <v>132</v>
      </c>
      <c r="E57" s="13" t="s">
        <v>105</v>
      </c>
      <c r="F57" s="13" t="s">
        <v>128</v>
      </c>
      <c r="G57" s="13" t="s">
        <v>129</v>
      </c>
      <c r="H57" s="13" t="s">
        <v>172</v>
      </c>
      <c r="I57" s="13" t="s">
        <v>183</v>
      </c>
      <c r="J57" s="13" t="s">
        <v>45</v>
      </c>
    </row>
    <row r="58" spans="2:18" x14ac:dyDescent="0.3">
      <c r="C58" s="15" t="str">
        <f>C14</f>
        <v xml:space="preserve">Laptop </v>
      </c>
      <c r="D58" s="41">
        <f>H14</f>
        <v>4000</v>
      </c>
      <c r="E58" s="15">
        <v>4</v>
      </c>
      <c r="F58" s="42">
        <f>1/E58</f>
        <v>0.25</v>
      </c>
      <c r="G58" s="41">
        <f>D58*F58</f>
        <v>1000</v>
      </c>
      <c r="H58" s="16">
        <f>ROUND(G58/12,0)</f>
        <v>83</v>
      </c>
      <c r="I58" s="40">
        <f>H66/2</f>
        <v>41.5</v>
      </c>
      <c r="J58" s="40">
        <f>H58*0.5</f>
        <v>41.5</v>
      </c>
    </row>
    <row r="59" spans="2:18" x14ac:dyDescent="0.3">
      <c r="C59" s="15" t="str">
        <f>C15</f>
        <v>Escritorios</v>
      </c>
      <c r="D59" s="41">
        <f>H15</f>
        <v>2000</v>
      </c>
      <c r="E59" s="15">
        <v>10</v>
      </c>
      <c r="F59" s="42">
        <f t="shared" ref="F59:F61" si="4">1/E59</f>
        <v>0.1</v>
      </c>
      <c r="G59" s="41">
        <f t="shared" ref="G59:G61" si="5">D59*F59</f>
        <v>200</v>
      </c>
      <c r="H59" s="16">
        <f t="shared" ref="H59:H61" si="6">ROUND(G59/12,0)</f>
        <v>17</v>
      </c>
      <c r="I59" s="40">
        <f>H67/2</f>
        <v>8.5</v>
      </c>
      <c r="J59" s="40">
        <f t="shared" ref="J59:J60" si="7">H59*0.5</f>
        <v>8.5</v>
      </c>
    </row>
    <row r="60" spans="2:18" x14ac:dyDescent="0.3">
      <c r="C60" s="15" t="str">
        <f>C16</f>
        <v>Sillas ejecutivas</v>
      </c>
      <c r="D60" s="41">
        <f>H16</f>
        <v>2500</v>
      </c>
      <c r="E60" s="15">
        <v>10</v>
      </c>
      <c r="F60" s="42">
        <f t="shared" si="4"/>
        <v>0.1</v>
      </c>
      <c r="G60" s="41">
        <f t="shared" si="5"/>
        <v>250</v>
      </c>
      <c r="H60" s="16">
        <f t="shared" si="6"/>
        <v>21</v>
      </c>
      <c r="I60" s="40">
        <f>H68/2</f>
        <v>10.5</v>
      </c>
      <c r="J60" s="40">
        <f t="shared" si="7"/>
        <v>10.5</v>
      </c>
    </row>
    <row r="61" spans="2:18" x14ac:dyDescent="0.3">
      <c r="C61" s="15" t="str">
        <f>C17</f>
        <v>Motocicleta</v>
      </c>
      <c r="D61" s="41">
        <f>H17</f>
        <v>12000</v>
      </c>
      <c r="E61" s="16">
        <v>5</v>
      </c>
      <c r="F61" s="42">
        <f t="shared" si="4"/>
        <v>0.2</v>
      </c>
      <c r="G61" s="41">
        <f t="shared" si="5"/>
        <v>2400</v>
      </c>
      <c r="H61" s="16">
        <f t="shared" si="6"/>
        <v>200</v>
      </c>
      <c r="I61" s="40"/>
      <c r="J61" s="40">
        <f>H61*1</f>
        <v>200</v>
      </c>
    </row>
    <row r="62" spans="2:18" x14ac:dyDescent="0.3">
      <c r="D62" s="8">
        <f>SUM(D58:D61)</f>
        <v>20500</v>
      </c>
      <c r="F62" s="39"/>
      <c r="G62" s="8">
        <f>SUM(G58:G61)</f>
        <v>3850</v>
      </c>
      <c r="H62" s="8">
        <f>SUM(H58:H61)</f>
        <v>321</v>
      </c>
      <c r="I62" s="44">
        <f>SUM(I58:I61)</f>
        <v>60.5</v>
      </c>
      <c r="J62" s="44">
        <f>SUM(J58:J61)</f>
        <v>260.5</v>
      </c>
    </row>
    <row r="64" spans="2:18" x14ac:dyDescent="0.3">
      <c r="D64" s="64" t="s">
        <v>132</v>
      </c>
      <c r="E64" s="64"/>
      <c r="F64" s="64"/>
      <c r="G64" s="64" t="s">
        <v>179</v>
      </c>
      <c r="H64" s="64"/>
      <c r="I64" s="64"/>
    </row>
    <row r="65" spans="2:14" ht="28.8" x14ac:dyDescent="0.3">
      <c r="C65" s="13" t="s">
        <v>22</v>
      </c>
      <c r="D65" s="13" t="s">
        <v>15</v>
      </c>
      <c r="E65" s="13" t="s">
        <v>64</v>
      </c>
      <c r="F65" s="13" t="s">
        <v>180</v>
      </c>
      <c r="G65" s="13" t="s">
        <v>15</v>
      </c>
      <c r="H65" s="13" t="s">
        <v>181</v>
      </c>
      <c r="I65" s="13" t="s">
        <v>180</v>
      </c>
      <c r="J65" s="13" t="s">
        <v>182</v>
      </c>
      <c r="M65" s="13" t="s">
        <v>184</v>
      </c>
      <c r="N65" s="13" t="s">
        <v>59</v>
      </c>
    </row>
    <row r="66" spans="2:14" x14ac:dyDescent="0.3">
      <c r="C66" s="15" t="str">
        <f>C58</f>
        <v xml:space="preserve">Laptop </v>
      </c>
      <c r="D66" s="16">
        <f>D58</f>
        <v>4000</v>
      </c>
      <c r="E66" s="16"/>
      <c r="F66" s="16">
        <f>SUM(D66:E66)</f>
        <v>4000</v>
      </c>
      <c r="G66" s="16">
        <f>I18</f>
        <v>1000</v>
      </c>
      <c r="H66" s="16">
        <f>H58</f>
        <v>83</v>
      </c>
      <c r="I66" s="16">
        <f>SUM(G66:H66)</f>
        <v>1083</v>
      </c>
      <c r="J66" s="16">
        <f>F66-I66</f>
        <v>2917</v>
      </c>
      <c r="M66" s="16">
        <f>I58</f>
        <v>41.5</v>
      </c>
      <c r="N66" s="31">
        <f>SUM(L66:M66)</f>
        <v>41.5</v>
      </c>
    </row>
    <row r="67" spans="2:14" x14ac:dyDescent="0.3">
      <c r="C67" s="15" t="str">
        <f t="shared" ref="C67:C69" si="8">C59</f>
        <v>Escritorios</v>
      </c>
      <c r="D67" s="16">
        <f t="shared" ref="D67:D69" si="9">D59</f>
        <v>2000</v>
      </c>
      <c r="E67" s="16"/>
      <c r="F67" s="16">
        <f t="shared" ref="F67:F70" si="10">SUM(D67:E67)</f>
        <v>2000</v>
      </c>
      <c r="G67" s="16">
        <f>I19</f>
        <v>200</v>
      </c>
      <c r="H67" s="16">
        <f t="shared" ref="H67:H69" si="11">H59</f>
        <v>17</v>
      </c>
      <c r="I67" s="16">
        <f t="shared" ref="I67:I70" si="12">SUM(G67:H67)</f>
        <v>217</v>
      </c>
      <c r="J67" s="16">
        <f t="shared" ref="J67:J70" si="13">F67-I67</f>
        <v>1783</v>
      </c>
      <c r="M67" s="16">
        <f>I59</f>
        <v>8.5</v>
      </c>
      <c r="N67" s="31">
        <f>SUM(L67:M67)</f>
        <v>8.5</v>
      </c>
    </row>
    <row r="68" spans="2:14" x14ac:dyDescent="0.3">
      <c r="C68" s="15" t="str">
        <f t="shared" si="8"/>
        <v>Sillas ejecutivas</v>
      </c>
      <c r="D68" s="16">
        <f t="shared" si="9"/>
        <v>2500</v>
      </c>
      <c r="E68" s="16"/>
      <c r="F68" s="16">
        <f t="shared" si="10"/>
        <v>2500</v>
      </c>
      <c r="G68" s="16">
        <f>I20</f>
        <v>250</v>
      </c>
      <c r="H68" s="16">
        <f t="shared" si="11"/>
        <v>21</v>
      </c>
      <c r="I68" s="16">
        <f t="shared" si="12"/>
        <v>271</v>
      </c>
      <c r="J68" s="16">
        <f t="shared" si="13"/>
        <v>2229</v>
      </c>
      <c r="M68" s="16"/>
      <c r="N68" s="31">
        <f t="shared" ref="N68:N70" si="14">SUM(L68:M68)</f>
        <v>0</v>
      </c>
    </row>
    <row r="69" spans="2:14" x14ac:dyDescent="0.3">
      <c r="C69" s="15" t="str">
        <f t="shared" si="8"/>
        <v>Motocicleta</v>
      </c>
      <c r="D69" s="16">
        <f t="shared" si="9"/>
        <v>12000</v>
      </c>
      <c r="E69" s="16"/>
      <c r="F69" s="16">
        <f t="shared" si="10"/>
        <v>12000</v>
      </c>
      <c r="G69" s="16">
        <f>I21</f>
        <v>2400</v>
      </c>
      <c r="H69" s="16">
        <f t="shared" si="11"/>
        <v>200</v>
      </c>
      <c r="I69" s="16">
        <f t="shared" si="12"/>
        <v>2600</v>
      </c>
      <c r="J69" s="16">
        <f t="shared" si="13"/>
        <v>9400</v>
      </c>
      <c r="M69" s="16"/>
      <c r="N69" s="31">
        <f t="shared" si="14"/>
        <v>0</v>
      </c>
    </row>
    <row r="70" spans="2:14" x14ac:dyDescent="0.3">
      <c r="C70" s="15"/>
      <c r="D70" s="16"/>
      <c r="E70" s="16"/>
      <c r="F70" s="16">
        <f t="shared" si="10"/>
        <v>0</v>
      </c>
      <c r="G70" s="16"/>
      <c r="H70" s="16"/>
      <c r="I70" s="16">
        <f t="shared" si="12"/>
        <v>0</v>
      </c>
      <c r="J70" s="16">
        <f t="shared" si="13"/>
        <v>0</v>
      </c>
      <c r="L70" s="16"/>
      <c r="M70" s="16">
        <f>H70</f>
        <v>0</v>
      </c>
      <c r="N70" s="31">
        <f t="shared" si="14"/>
        <v>0</v>
      </c>
    </row>
    <row r="71" spans="2:14" x14ac:dyDescent="0.3">
      <c r="D71" s="8">
        <f>SUM(D66:D70)</f>
        <v>20500</v>
      </c>
      <c r="E71" s="8">
        <f t="shared" ref="E71:J71" si="15">SUM(E66:E70)</f>
        <v>0</v>
      </c>
      <c r="F71" s="8">
        <f t="shared" si="15"/>
        <v>20500</v>
      </c>
      <c r="G71" s="8">
        <f t="shared" si="15"/>
        <v>3850</v>
      </c>
      <c r="H71" s="8">
        <f t="shared" si="15"/>
        <v>321</v>
      </c>
      <c r="I71" s="8">
        <f t="shared" si="15"/>
        <v>4171</v>
      </c>
      <c r="J71" s="8">
        <f t="shared" si="15"/>
        <v>16329</v>
      </c>
      <c r="L71" s="31">
        <f>SUM(L66:L70)</f>
        <v>0</v>
      </c>
      <c r="M71" s="31">
        <f t="shared" ref="M71:N71" si="16">SUM(M66:M70)</f>
        <v>50</v>
      </c>
      <c r="N71" s="31">
        <f t="shared" si="16"/>
        <v>50</v>
      </c>
    </row>
    <row r="73" spans="2:14" x14ac:dyDescent="0.3">
      <c r="B73" s="7" t="s">
        <v>291</v>
      </c>
    </row>
    <row r="74" spans="2:14" x14ac:dyDescent="0.3">
      <c r="D74" s="13" t="s">
        <v>91</v>
      </c>
      <c r="E74" s="13" t="s">
        <v>138</v>
      </c>
      <c r="F74" s="13" t="s">
        <v>139</v>
      </c>
    </row>
    <row r="75" spans="2:14" x14ac:dyDescent="0.3">
      <c r="C75" s="15" t="s">
        <v>189</v>
      </c>
      <c r="D75" s="16"/>
      <c r="E75" s="16"/>
      <c r="F75" s="16">
        <v>2000</v>
      </c>
    </row>
    <row r="76" spans="2:14" x14ac:dyDescent="0.3">
      <c r="C76" s="15" t="s">
        <v>190</v>
      </c>
      <c r="D76" s="16"/>
      <c r="E76" s="16"/>
      <c r="F76" s="16"/>
    </row>
    <row r="77" spans="2:14" x14ac:dyDescent="0.3">
      <c r="C77" s="15" t="s">
        <v>192</v>
      </c>
      <c r="D77" s="16"/>
      <c r="E77" s="16"/>
      <c r="F77" s="16">
        <v>1000</v>
      </c>
    </row>
    <row r="78" spans="2:14" x14ac:dyDescent="0.3">
      <c r="C78" s="15" t="s">
        <v>191</v>
      </c>
      <c r="D78" s="16"/>
      <c r="E78" s="16"/>
      <c r="F78" s="16"/>
    </row>
    <row r="80" spans="2:14" hidden="1" x14ac:dyDescent="0.3">
      <c r="B80" s="7" t="s">
        <v>213</v>
      </c>
    </row>
    <row r="81" spans="2:7" hidden="1" x14ac:dyDescent="0.3"/>
    <row r="82" spans="2:7" ht="28.8" hidden="1" x14ac:dyDescent="0.3">
      <c r="B82" s="11" t="s">
        <v>0</v>
      </c>
      <c r="C82" s="12" t="s">
        <v>1</v>
      </c>
      <c r="D82" s="13" t="s">
        <v>3</v>
      </c>
      <c r="E82" s="13" t="s">
        <v>4</v>
      </c>
      <c r="F82" s="13" t="s">
        <v>195</v>
      </c>
      <c r="G82" s="13" t="s">
        <v>194</v>
      </c>
    </row>
    <row r="83" spans="2:7" hidden="1" x14ac:dyDescent="0.3">
      <c r="B83" s="17">
        <v>10412</v>
      </c>
      <c r="C83" s="15" t="s">
        <v>97</v>
      </c>
      <c r="D83" s="16"/>
      <c r="E83" s="16"/>
      <c r="F83" s="16">
        <f>Solución!F6</f>
        <v>0</v>
      </c>
      <c r="G83" s="16"/>
    </row>
    <row r="84" spans="2:7" hidden="1" x14ac:dyDescent="0.3">
      <c r="B84" s="17">
        <v>10412</v>
      </c>
      <c r="C84" s="15" t="s">
        <v>97</v>
      </c>
      <c r="D84" s="16"/>
      <c r="E84" s="16"/>
      <c r="F84" s="16"/>
      <c r="G84" s="16">
        <f>Solución!G67</f>
        <v>0</v>
      </c>
    </row>
    <row r="85" spans="2:7" hidden="1" x14ac:dyDescent="0.3">
      <c r="B85" s="17">
        <v>10412</v>
      </c>
      <c r="C85" s="15" t="s">
        <v>97</v>
      </c>
      <c r="D85" s="16"/>
      <c r="E85" s="16"/>
      <c r="F85" s="16"/>
      <c r="G85" s="16">
        <f>Solución!G190</f>
        <v>0</v>
      </c>
    </row>
    <row r="86" spans="2:7" hidden="1" x14ac:dyDescent="0.3">
      <c r="C86" s="1" t="s">
        <v>59</v>
      </c>
      <c r="D86" s="8">
        <f>SUM(D83:D85)</f>
        <v>0</v>
      </c>
      <c r="E86" s="8">
        <f t="shared" ref="E86" si="17">SUM(E83:E85)</f>
        <v>0</v>
      </c>
      <c r="F86" s="8">
        <f>SUM(F83:F85)</f>
        <v>0</v>
      </c>
      <c r="G86" s="8">
        <f t="shared" ref="G86" si="18">SUM(G83:G85)</f>
        <v>0</v>
      </c>
    </row>
    <row r="87" spans="2:7" hidden="1" x14ac:dyDescent="0.3">
      <c r="C87" s="1" t="s">
        <v>215</v>
      </c>
      <c r="D87" s="8">
        <f>D86-E86</f>
        <v>0</v>
      </c>
      <c r="E87" s="1"/>
      <c r="F87" s="8">
        <f>F86-G86</f>
        <v>0</v>
      </c>
    </row>
    <row r="88" spans="2:7" hidden="1" x14ac:dyDescent="0.3">
      <c r="C88" t="s">
        <v>214</v>
      </c>
      <c r="D88" s="5">
        <f>F88*E88</f>
        <v>0</v>
      </c>
      <c r="E88">
        <v>3.8</v>
      </c>
      <c r="F88" s="5">
        <f>F87</f>
        <v>0</v>
      </c>
    </row>
    <row r="89" spans="2:7" hidden="1" x14ac:dyDescent="0.3">
      <c r="C89" s="1" t="s">
        <v>140</v>
      </c>
      <c r="D89" s="8">
        <f>D88-D87</f>
        <v>0</v>
      </c>
    </row>
    <row r="90" spans="2:7" hidden="1" x14ac:dyDescent="0.3"/>
  </sheetData>
  <mergeCells count="2">
    <mergeCell ref="D64:F64"/>
    <mergeCell ref="G64:I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2D4D-6269-4755-95D8-5A8543C53ADB}">
  <dimension ref="A3:R15"/>
  <sheetViews>
    <sheetView zoomScaleNormal="100" workbookViewId="0">
      <selection activeCell="D22" sqref="D22"/>
    </sheetView>
  </sheetViews>
  <sheetFormatPr baseColWidth="10" defaultColWidth="8.88671875" defaultRowHeight="14.4" x14ac:dyDescent="0.3"/>
  <cols>
    <col min="2" max="2" width="18.109375" bestFit="1" customWidth="1"/>
    <col min="3" max="3" width="21.109375" hidden="1" customWidth="1"/>
    <col min="4" max="4" width="11.5546875" customWidth="1"/>
    <col min="5" max="5" width="12.33203125" customWidth="1"/>
    <col min="6" max="6" width="14" hidden="1" customWidth="1"/>
    <col min="8" max="8" width="9.6640625" customWidth="1"/>
    <col min="10" max="10" width="0" hidden="1" customWidth="1"/>
    <col min="12" max="12" width="11.88671875" hidden="1" customWidth="1"/>
    <col min="13" max="13" width="10.5546875" bestFit="1" customWidth="1"/>
    <col min="14" max="14" width="11.33203125" bestFit="1" customWidth="1"/>
    <col min="17" max="17" width="10.44140625" hidden="1" customWidth="1"/>
    <col min="18" max="18" width="11" customWidth="1"/>
  </cols>
  <sheetData>
    <row r="3" spans="1:18" s="1" customFormat="1" x14ac:dyDescent="0.3">
      <c r="A3" s="66" t="s">
        <v>245</v>
      </c>
      <c r="B3" s="66" t="s">
        <v>246</v>
      </c>
      <c r="C3" s="66" t="s">
        <v>247</v>
      </c>
      <c r="D3" s="66" t="s">
        <v>248</v>
      </c>
      <c r="E3" s="66"/>
      <c r="F3" s="66"/>
      <c r="G3" s="66"/>
      <c r="H3" s="66"/>
      <c r="I3" s="66" t="s">
        <v>249</v>
      </c>
      <c r="J3" s="66"/>
      <c r="K3" s="66"/>
      <c r="L3" s="66"/>
      <c r="M3" s="66"/>
      <c r="N3" s="67" t="s">
        <v>250</v>
      </c>
      <c r="O3" s="66" t="s">
        <v>251</v>
      </c>
      <c r="P3" s="66"/>
      <c r="Q3" s="66"/>
      <c r="R3" s="66"/>
    </row>
    <row r="4" spans="1:18" s="1" customFormat="1" ht="28.8" x14ac:dyDescent="0.3">
      <c r="A4" s="66"/>
      <c r="B4" s="66"/>
      <c r="C4" s="66"/>
      <c r="D4" s="45" t="s">
        <v>252</v>
      </c>
      <c r="E4" s="45" t="s">
        <v>253</v>
      </c>
      <c r="F4" s="45" t="s">
        <v>254</v>
      </c>
      <c r="G4" s="45" t="s">
        <v>255</v>
      </c>
      <c r="H4" s="45" t="s">
        <v>256</v>
      </c>
      <c r="I4" s="45" t="s">
        <v>147</v>
      </c>
      <c r="J4" s="45" t="s">
        <v>257</v>
      </c>
      <c r="K4" s="45" t="s">
        <v>258</v>
      </c>
      <c r="L4" s="45" t="s">
        <v>259</v>
      </c>
      <c r="M4" s="45" t="s">
        <v>260</v>
      </c>
      <c r="N4" s="68"/>
      <c r="O4" s="45" t="s">
        <v>261</v>
      </c>
      <c r="P4" s="45" t="s">
        <v>262</v>
      </c>
      <c r="Q4" s="45" t="s">
        <v>263</v>
      </c>
      <c r="R4" s="45" t="s">
        <v>264</v>
      </c>
    </row>
    <row r="5" spans="1:18" x14ac:dyDescent="0.3">
      <c r="A5" s="46" t="s">
        <v>112</v>
      </c>
      <c r="B5" s="46" t="s">
        <v>265</v>
      </c>
      <c r="C5" s="46"/>
      <c r="D5" s="47">
        <v>4000</v>
      </c>
      <c r="E5" s="47">
        <f>1025*0.1</f>
        <v>102.5</v>
      </c>
      <c r="F5" s="47"/>
      <c r="G5" s="47"/>
      <c r="H5" s="47">
        <f>SUM(D5:G5)</f>
        <v>4102.5</v>
      </c>
      <c r="I5" s="47">
        <f>H5*0.1+H5*0.0155+H5*0.017</f>
        <v>543.58124999999995</v>
      </c>
      <c r="J5" s="47"/>
      <c r="K5" s="47">
        <f>H5*0.08</f>
        <v>328.2</v>
      </c>
      <c r="L5" s="47"/>
      <c r="M5" s="47">
        <f>SUM(I5:L5)</f>
        <v>871.78125</v>
      </c>
      <c r="N5" s="48">
        <f>H5-M5</f>
        <v>3230.71875</v>
      </c>
      <c r="O5" s="49">
        <f>H5*0.0675</f>
        <v>276.91875000000005</v>
      </c>
      <c r="P5" s="49">
        <f>H5*0.0225</f>
        <v>92.306249999999991</v>
      </c>
      <c r="Q5" s="50"/>
      <c r="R5" s="51">
        <f>SUM(O5:Q5)</f>
        <v>369.22500000000002</v>
      </c>
    </row>
    <row r="6" spans="1:18" x14ac:dyDescent="0.3">
      <c r="A6" s="46"/>
      <c r="B6" s="46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8"/>
      <c r="O6" s="49"/>
      <c r="P6" s="49"/>
      <c r="Q6" s="50"/>
      <c r="R6" s="51"/>
    </row>
    <row r="7" spans="1:18" x14ac:dyDescent="0.3">
      <c r="A7" s="46"/>
      <c r="B7" s="46"/>
      <c r="C7" s="46"/>
      <c r="D7" s="52"/>
      <c r="E7" s="46"/>
      <c r="F7" s="46"/>
      <c r="G7" s="46"/>
      <c r="H7" s="51">
        <f t="shared" ref="H7:H14" si="0">SUM(D7:G7)</f>
        <v>0</v>
      </c>
      <c r="I7" s="46"/>
      <c r="J7" s="46"/>
      <c r="K7" s="46"/>
      <c r="L7" s="46"/>
      <c r="M7" s="51">
        <f t="shared" ref="M7:M14" si="1">SUM(I7:L7)</f>
        <v>0</v>
      </c>
      <c r="N7" s="48">
        <f t="shared" ref="N7:N14" si="2">H7-M7</f>
        <v>0</v>
      </c>
      <c r="O7" s="49"/>
      <c r="P7" s="49"/>
      <c r="Q7" s="53"/>
      <c r="R7" s="51">
        <f t="shared" ref="R7:R14" si="3">SUM(O7:Q7)</f>
        <v>0</v>
      </c>
    </row>
    <row r="8" spans="1:18" x14ac:dyDescent="0.3">
      <c r="A8" s="46"/>
      <c r="B8" s="46"/>
      <c r="C8" s="46"/>
      <c r="D8" s="52"/>
      <c r="E8" s="46"/>
      <c r="F8" s="46"/>
      <c r="G8" s="46"/>
      <c r="H8" s="51">
        <f t="shared" si="0"/>
        <v>0</v>
      </c>
      <c r="I8" s="46"/>
      <c r="J8" s="46"/>
      <c r="K8" s="46"/>
      <c r="L8" s="46"/>
      <c r="M8" s="51">
        <f t="shared" si="1"/>
        <v>0</v>
      </c>
      <c r="N8" s="48">
        <f t="shared" si="2"/>
        <v>0</v>
      </c>
      <c r="O8" s="49"/>
      <c r="P8" s="49"/>
      <c r="Q8" s="53"/>
      <c r="R8" s="51">
        <f t="shared" si="3"/>
        <v>0</v>
      </c>
    </row>
    <row r="9" spans="1:18" x14ac:dyDescent="0.3">
      <c r="A9" s="46"/>
      <c r="B9" s="46"/>
      <c r="C9" s="46"/>
      <c r="D9" s="52"/>
      <c r="E9" s="46"/>
      <c r="F9" s="46"/>
      <c r="G9" s="46"/>
      <c r="H9" s="51">
        <f t="shared" si="0"/>
        <v>0</v>
      </c>
      <c r="I9" s="46"/>
      <c r="J9" s="46"/>
      <c r="K9" s="46"/>
      <c r="L9" s="46"/>
      <c r="M9" s="51">
        <f t="shared" si="1"/>
        <v>0</v>
      </c>
      <c r="N9" s="48">
        <f t="shared" si="2"/>
        <v>0</v>
      </c>
      <c r="O9" s="49"/>
      <c r="P9" s="49"/>
      <c r="Q9" s="53"/>
      <c r="R9" s="51">
        <f t="shared" si="3"/>
        <v>0</v>
      </c>
    </row>
    <row r="10" spans="1:18" x14ac:dyDescent="0.3">
      <c r="A10" s="46"/>
      <c r="B10" s="46"/>
      <c r="C10" s="46"/>
      <c r="D10" s="52"/>
      <c r="E10" s="46"/>
      <c r="F10" s="46"/>
      <c r="G10" s="46"/>
      <c r="H10" s="51">
        <f t="shared" si="0"/>
        <v>0</v>
      </c>
      <c r="I10" s="46"/>
      <c r="J10" s="46"/>
      <c r="K10" s="46"/>
      <c r="L10" s="46"/>
      <c r="M10" s="51">
        <f t="shared" si="1"/>
        <v>0</v>
      </c>
      <c r="N10" s="48">
        <f t="shared" si="2"/>
        <v>0</v>
      </c>
      <c r="O10" s="49"/>
      <c r="P10" s="49"/>
      <c r="Q10" s="53"/>
      <c r="R10" s="51">
        <f t="shared" si="3"/>
        <v>0</v>
      </c>
    </row>
    <row r="11" spans="1:18" x14ac:dyDescent="0.3">
      <c r="A11" s="46"/>
      <c r="B11" s="46"/>
      <c r="C11" s="46"/>
      <c r="D11" s="52"/>
      <c r="E11" s="46"/>
      <c r="F11" s="46"/>
      <c r="G11" s="46"/>
      <c r="H11" s="51">
        <f t="shared" si="0"/>
        <v>0</v>
      </c>
      <c r="I11" s="46"/>
      <c r="J11" s="46"/>
      <c r="K11" s="46"/>
      <c r="L11" s="46"/>
      <c r="M11" s="51">
        <f t="shared" si="1"/>
        <v>0</v>
      </c>
      <c r="N11" s="48">
        <f t="shared" si="2"/>
        <v>0</v>
      </c>
      <c r="O11" s="49"/>
      <c r="P11" s="49"/>
      <c r="Q11" s="53"/>
      <c r="R11" s="51">
        <f t="shared" si="3"/>
        <v>0</v>
      </c>
    </row>
    <row r="12" spans="1:18" x14ac:dyDescent="0.3">
      <c r="A12" s="46"/>
      <c r="B12" s="46"/>
      <c r="C12" s="46"/>
      <c r="D12" s="52"/>
      <c r="E12" s="46"/>
      <c r="F12" s="46"/>
      <c r="G12" s="46"/>
      <c r="H12" s="51">
        <f t="shared" si="0"/>
        <v>0</v>
      </c>
      <c r="I12" s="46"/>
      <c r="J12" s="46"/>
      <c r="K12" s="46"/>
      <c r="L12" s="46"/>
      <c r="M12" s="51">
        <f t="shared" si="1"/>
        <v>0</v>
      </c>
      <c r="N12" s="48">
        <f t="shared" si="2"/>
        <v>0</v>
      </c>
      <c r="O12" s="49"/>
      <c r="P12" s="49"/>
      <c r="Q12" s="53"/>
      <c r="R12" s="51">
        <f t="shared" si="3"/>
        <v>0</v>
      </c>
    </row>
    <row r="13" spans="1:18" x14ac:dyDescent="0.3">
      <c r="A13" s="46"/>
      <c r="B13" s="46"/>
      <c r="C13" s="46"/>
      <c r="D13" s="46"/>
      <c r="E13" s="46"/>
      <c r="F13" s="46"/>
      <c r="G13" s="46"/>
      <c r="H13" s="51">
        <f t="shared" si="0"/>
        <v>0</v>
      </c>
      <c r="I13" s="46"/>
      <c r="J13" s="46"/>
      <c r="K13" s="46"/>
      <c r="L13" s="46"/>
      <c r="M13" s="51">
        <f t="shared" si="1"/>
        <v>0</v>
      </c>
      <c r="N13" s="48">
        <f t="shared" si="2"/>
        <v>0</v>
      </c>
      <c r="O13" s="49"/>
      <c r="P13" s="49"/>
      <c r="Q13" s="53"/>
      <c r="R13" s="51">
        <f t="shared" si="3"/>
        <v>0</v>
      </c>
    </row>
    <row r="14" spans="1:18" x14ac:dyDescent="0.3">
      <c r="A14" s="46"/>
      <c r="B14" s="46"/>
      <c r="C14" s="46"/>
      <c r="D14" s="46"/>
      <c r="E14" s="46"/>
      <c r="F14" s="46"/>
      <c r="G14" s="46"/>
      <c r="H14" s="51">
        <f t="shared" si="0"/>
        <v>0</v>
      </c>
      <c r="I14" s="46"/>
      <c r="J14" s="46"/>
      <c r="K14" s="46"/>
      <c r="L14" s="46"/>
      <c r="M14" s="51">
        <f t="shared" si="1"/>
        <v>0</v>
      </c>
      <c r="N14" s="48">
        <f t="shared" si="2"/>
        <v>0</v>
      </c>
      <c r="O14" s="49"/>
      <c r="P14" s="49"/>
      <c r="Q14" s="53"/>
      <c r="R14" s="51">
        <f t="shared" si="3"/>
        <v>0</v>
      </c>
    </row>
    <row r="15" spans="1:18" x14ac:dyDescent="0.3">
      <c r="A15" s="46"/>
      <c r="B15" s="54" t="s">
        <v>59</v>
      </c>
      <c r="C15" s="46"/>
      <c r="D15" s="55">
        <f t="shared" ref="D15:R15" si="4">SUM(D5:D14)</f>
        <v>4000</v>
      </c>
      <c r="E15" s="55">
        <f t="shared" si="4"/>
        <v>102.5</v>
      </c>
      <c r="F15" s="55"/>
      <c r="G15" s="55">
        <f t="shared" si="4"/>
        <v>0</v>
      </c>
      <c r="H15" s="55">
        <f t="shared" si="4"/>
        <v>4102.5</v>
      </c>
      <c r="I15" s="55">
        <f t="shared" si="4"/>
        <v>543.58124999999995</v>
      </c>
      <c r="J15" s="55">
        <f t="shared" si="4"/>
        <v>0</v>
      </c>
      <c r="K15" s="55">
        <f t="shared" si="4"/>
        <v>328.2</v>
      </c>
      <c r="L15" s="55">
        <f t="shared" si="4"/>
        <v>0</v>
      </c>
      <c r="M15" s="55">
        <f t="shared" si="4"/>
        <v>871.78125</v>
      </c>
      <c r="N15" s="56">
        <f t="shared" si="4"/>
        <v>3230.71875</v>
      </c>
      <c r="O15" s="55">
        <f t="shared" si="4"/>
        <v>276.91875000000005</v>
      </c>
      <c r="P15" s="55">
        <f t="shared" si="4"/>
        <v>92.306249999999991</v>
      </c>
      <c r="Q15" s="55">
        <f t="shared" si="4"/>
        <v>0</v>
      </c>
      <c r="R15" s="55">
        <f t="shared" si="4"/>
        <v>369.22500000000002</v>
      </c>
    </row>
  </sheetData>
  <mergeCells count="7">
    <mergeCell ref="O3:R3"/>
    <mergeCell ref="A3:A4"/>
    <mergeCell ref="B3:B4"/>
    <mergeCell ref="C3:C4"/>
    <mergeCell ref="D3:H3"/>
    <mergeCell ref="I3:M3"/>
    <mergeCell ref="N3:N4"/>
  </mergeCells>
  <pageMargins left="0.7" right="0.7" top="0.75" bottom="0.75" header="0.3" footer="0.3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6241-6160-4999-9225-3C814A55C4C8}">
  <dimension ref="A1:H16"/>
  <sheetViews>
    <sheetView zoomScaleNormal="100" workbookViewId="0">
      <selection activeCell="G12" sqref="G12"/>
    </sheetView>
  </sheetViews>
  <sheetFormatPr baseColWidth="10" defaultColWidth="11.44140625" defaultRowHeight="14.4" x14ac:dyDescent="0.3"/>
  <cols>
    <col min="1" max="1" width="23.6640625" bestFit="1" customWidth="1"/>
    <col min="4" max="4" width="23.6640625" bestFit="1" customWidth="1"/>
    <col min="7" max="7" width="26.6640625" bestFit="1" customWidth="1"/>
  </cols>
  <sheetData>
    <row r="1" spans="1:8" x14ac:dyDescent="0.3">
      <c r="A1" s="1" t="s">
        <v>284</v>
      </c>
    </row>
    <row r="2" spans="1:8" x14ac:dyDescent="0.3">
      <c r="A2" s="1"/>
    </row>
    <row r="3" spans="1:8" x14ac:dyDescent="0.3">
      <c r="A3" s="57" t="s">
        <v>266</v>
      </c>
      <c r="D3" s="57" t="s">
        <v>111</v>
      </c>
      <c r="G3" s="1" t="s">
        <v>114</v>
      </c>
    </row>
    <row r="5" spans="1:8" x14ac:dyDescent="0.3">
      <c r="A5" s="1" t="s">
        <v>267</v>
      </c>
      <c r="B5" s="6" t="s">
        <v>90</v>
      </c>
      <c r="D5" s="1" t="s">
        <v>267</v>
      </c>
      <c r="E5" s="6" t="s">
        <v>90</v>
      </c>
      <c r="G5" s="1" t="s">
        <v>267</v>
      </c>
      <c r="H5" s="6" t="s">
        <v>90</v>
      </c>
    </row>
    <row r="6" spans="1:8" x14ac:dyDescent="0.3">
      <c r="A6" t="s">
        <v>252</v>
      </c>
      <c r="B6" s="43">
        <f>'[1](C) Reporte Planilla Nov'!D5</f>
        <v>4000</v>
      </c>
      <c r="D6" t="s">
        <v>252</v>
      </c>
      <c r="E6" s="43">
        <f>B6</f>
        <v>4000</v>
      </c>
      <c r="G6" t="s">
        <v>252</v>
      </c>
      <c r="H6" s="43">
        <f>E6</f>
        <v>4000</v>
      </c>
    </row>
    <row r="7" spans="1:8" x14ac:dyDescent="0.3">
      <c r="A7" t="s">
        <v>253</v>
      </c>
      <c r="B7" s="43">
        <f>'[1](C) Reporte Planilla Nov'!E15</f>
        <v>102.5</v>
      </c>
      <c r="D7" t="s">
        <v>253</v>
      </c>
      <c r="E7" s="43">
        <f>B7</f>
        <v>102.5</v>
      </c>
      <c r="G7" t="s">
        <v>253</v>
      </c>
      <c r="H7" s="43">
        <f>E7</f>
        <v>102.5</v>
      </c>
    </row>
    <row r="8" spans="1:8" x14ac:dyDescent="0.3">
      <c r="B8" s="43"/>
      <c r="E8" s="43"/>
      <c r="H8" s="43"/>
    </row>
    <row r="9" spans="1:8" x14ac:dyDescent="0.3">
      <c r="B9" s="58"/>
      <c r="E9" s="58"/>
      <c r="H9" s="58"/>
    </row>
    <row r="10" spans="1:8" x14ac:dyDescent="0.3">
      <c r="A10" s="1" t="s">
        <v>268</v>
      </c>
      <c r="B10" s="59">
        <f>SUM(B6:B9)</f>
        <v>4102.5</v>
      </c>
      <c r="C10" s="27"/>
      <c r="D10" s="1" t="s">
        <v>268</v>
      </c>
      <c r="E10" s="59">
        <f>SUM(E6:E9)</f>
        <v>4102.5</v>
      </c>
      <c r="G10" s="1" t="s">
        <v>268</v>
      </c>
      <c r="H10" s="59">
        <f>SUM(H6:H9)</f>
        <v>4102.5</v>
      </c>
    </row>
    <row r="11" spans="1:8" x14ac:dyDescent="0.3">
      <c r="G11" t="s">
        <v>285</v>
      </c>
      <c r="H11" s="60">
        <f>B16</f>
        <v>683.75</v>
      </c>
    </row>
    <row r="12" spans="1:8" x14ac:dyDescent="0.3">
      <c r="A12" t="s">
        <v>269</v>
      </c>
      <c r="B12" s="27">
        <f>B10</f>
        <v>4102.5</v>
      </c>
      <c r="D12" t="s">
        <v>270</v>
      </c>
      <c r="E12" s="27">
        <f>E10</f>
        <v>4102.5</v>
      </c>
      <c r="G12" t="s">
        <v>271</v>
      </c>
      <c r="H12" s="27">
        <f>H10+H11</f>
        <v>4786.25</v>
      </c>
    </row>
    <row r="13" spans="1:8" x14ac:dyDescent="0.3">
      <c r="A13" t="s">
        <v>272</v>
      </c>
      <c r="B13" s="60">
        <f>B10</f>
        <v>4102.5</v>
      </c>
      <c r="D13" t="s">
        <v>273</v>
      </c>
      <c r="E13" s="61">
        <v>12</v>
      </c>
      <c r="G13" t="s">
        <v>273</v>
      </c>
      <c r="H13" s="61">
        <v>12</v>
      </c>
    </row>
    <row r="14" spans="1:8" x14ac:dyDescent="0.3">
      <c r="A14" t="s">
        <v>274</v>
      </c>
      <c r="B14" s="27">
        <f>SUM(B12:B13)</f>
        <v>8205</v>
      </c>
      <c r="D14" t="s">
        <v>172</v>
      </c>
      <c r="E14" s="62">
        <f>E12/E13</f>
        <v>341.875</v>
      </c>
      <c r="G14" t="s">
        <v>172</v>
      </c>
      <c r="H14" s="62">
        <f>H12/H13</f>
        <v>398.85416666666669</v>
      </c>
    </row>
    <row r="15" spans="1:8" x14ac:dyDescent="0.3">
      <c r="A15" t="s">
        <v>273</v>
      </c>
      <c r="B15" s="61">
        <v>12</v>
      </c>
    </row>
    <row r="16" spans="1:8" x14ac:dyDescent="0.3">
      <c r="A16" t="s">
        <v>172</v>
      </c>
      <c r="B16" s="62">
        <f>B14/B15</f>
        <v>683.75</v>
      </c>
    </row>
  </sheetData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Solución</vt:lpstr>
      <vt:lpstr>Datos (Hoja de Trabajo)</vt:lpstr>
      <vt:lpstr>Cálculo Planilla (Opcional) </vt:lpstr>
      <vt:lpstr>Cálculo BBSS (Opcional)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Carranza (PE)</dc:creator>
  <cp:lastModifiedBy>Christian</cp:lastModifiedBy>
  <dcterms:created xsi:type="dcterms:W3CDTF">2024-06-14T16:27:11Z</dcterms:created>
  <dcterms:modified xsi:type="dcterms:W3CDTF">2024-12-05T04:21:40Z</dcterms:modified>
</cp:coreProperties>
</file>