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019B1B7-72E5-4B54-8E7B-219F75C4B2D9}" xr6:coauthVersionLast="32" xr6:coauthVersionMax="32" xr10:uidLastSave="{00000000-0000-0000-0000-000000000000}"/>
  <bookViews>
    <workbookView xWindow="0" yWindow="0" windowWidth="22260" windowHeight="12648" firstSheet="3" activeTab="4" xr2:uid="{00000000-000D-0000-FFFF-FFFF00000000}"/>
  </bookViews>
  <sheets>
    <sheet name="Log" sheetId="1" r:id="rId1"/>
    <sheet name="list" sheetId="4" r:id="rId2"/>
    <sheet name="D Fire" sheetId="7" r:id="rId3"/>
    <sheet name="Harvest" sheetId="6" r:id="rId4"/>
    <sheet name="growth" sheetId="2" r:id="rId5"/>
    <sheet name="Wind" sheetId="9" r:id="rId6"/>
    <sheet name="snags" sheetId="8" r:id="rId7"/>
    <sheet name="BDA" sheetId="3" r:id="rId8"/>
    <sheet name="Fire" sheetId="5" r:id="rId9"/>
  </sheets>
  <definedNames>
    <definedName name="_xlnm._FilterDatabase" localSheetId="7" hidden="1">BDA!$A$16:$J$84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5" i="2" l="1"/>
  <c r="AC75" i="2"/>
  <c r="AD75" i="2"/>
  <c r="AE75" i="2"/>
  <c r="AF75" i="2"/>
  <c r="AG75" i="2"/>
  <c r="AH75" i="2"/>
  <c r="AI75" i="2"/>
  <c r="AJ75" i="2"/>
  <c r="AB76" i="2"/>
  <c r="AC76" i="2"/>
  <c r="AD76" i="2"/>
  <c r="AE76" i="2"/>
  <c r="AF76" i="2"/>
  <c r="AG76" i="2"/>
  <c r="AH76" i="2"/>
  <c r="AI76" i="2"/>
  <c r="AJ76" i="2"/>
  <c r="AD58" i="2" l="1"/>
  <c r="AD59" i="2"/>
  <c r="AG58" i="2"/>
  <c r="AH59" i="2"/>
  <c r="AG59" i="2"/>
  <c r="AH58" i="2"/>
  <c r="AJ79" i="2" l="1"/>
  <c r="AI79" i="2"/>
  <c r="AB79" i="2"/>
  <c r="AC79" i="2"/>
  <c r="AD79" i="2"/>
  <c r="AE79" i="2"/>
  <c r="AH79" i="2"/>
  <c r="AG79" i="2"/>
  <c r="AF79" i="2"/>
  <c r="AB80" i="2"/>
  <c r="AH80" i="2"/>
  <c r="AG80" i="2"/>
  <c r="AF80" i="2"/>
  <c r="AJ80" i="2"/>
  <c r="AI80" i="2"/>
  <c r="AE80" i="2"/>
  <c r="AD80" i="2"/>
  <c r="AC80" i="2"/>
  <c r="AJ67" i="2"/>
  <c r="AJ69" i="2" s="1"/>
  <c r="AJ72" i="2" s="1"/>
  <c r="AI67" i="2"/>
  <c r="AI69" i="2" s="1"/>
  <c r="AI72" i="2" s="1"/>
  <c r="AH67" i="2"/>
  <c r="AH69" i="2" s="1"/>
  <c r="AH72" i="2" s="1"/>
  <c r="AF67" i="2"/>
  <c r="AF69" i="2" s="1"/>
  <c r="AF72" i="2" s="1"/>
  <c r="AE67" i="2"/>
  <c r="AE69" i="2" s="1"/>
  <c r="AE72" i="2" s="1"/>
  <c r="AD67" i="2"/>
  <c r="AD69" i="2" s="1"/>
  <c r="AD72" i="2" s="1"/>
  <c r="AC67" i="2"/>
  <c r="AC69" i="2" s="1"/>
  <c r="AC72" i="2" s="1"/>
  <c r="AG67" i="2"/>
  <c r="AG69" i="2" s="1"/>
  <c r="AB67" i="2"/>
  <c r="AB69" i="2" s="1"/>
  <c r="AB72" i="2" s="1"/>
  <c r="AC59" i="2"/>
  <c r="AC58" i="2"/>
  <c r="AB59" i="2"/>
  <c r="AB58" i="2"/>
  <c r="AB50" i="2"/>
  <c r="AJ59" i="2"/>
  <c r="AI59" i="2"/>
  <c r="AF59" i="2"/>
  <c r="AE59" i="2"/>
  <c r="AH49" i="2"/>
  <c r="AH61" i="2" s="1"/>
  <c r="AG49" i="2"/>
  <c r="AJ58" i="2"/>
  <c r="AI58" i="2"/>
  <c r="AF58" i="2"/>
  <c r="AE58" i="2"/>
  <c r="AJ50" i="2"/>
  <c r="AI50" i="2"/>
  <c r="AH50" i="2"/>
  <c r="AH62" i="2" s="1"/>
  <c r="AG50" i="2"/>
  <c r="AG62" i="2" s="1"/>
  <c r="AF50" i="2"/>
  <c r="AE50" i="2"/>
  <c r="AD50" i="2"/>
  <c r="AD62" i="2" s="1"/>
  <c r="AC50" i="2"/>
  <c r="AA50" i="2"/>
  <c r="AC49" i="2"/>
  <c r="AD49" i="2"/>
  <c r="AE49" i="2"/>
  <c r="AF49" i="2"/>
  <c r="AI49" i="2"/>
  <c r="AJ49" i="2"/>
  <c r="AB49" i="2"/>
  <c r="AA49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1" i="2"/>
  <c r="V18" i="2"/>
  <c r="V17" i="2"/>
  <c r="V16" i="2"/>
  <c r="V15" i="2"/>
  <c r="V14" i="2"/>
  <c r="V13" i="2"/>
  <c r="V12" i="2"/>
  <c r="V11" i="2"/>
  <c r="V10" i="2"/>
  <c r="V9" i="2"/>
  <c r="V8" i="2"/>
  <c r="V7" i="2"/>
  <c r="K8" i="2"/>
  <c r="K9" i="2"/>
  <c r="K10" i="2"/>
  <c r="K11" i="2"/>
  <c r="K12" i="2"/>
  <c r="K13" i="2"/>
  <c r="K14" i="2"/>
  <c r="K15" i="2"/>
  <c r="K16" i="2"/>
  <c r="K17" i="2"/>
  <c r="K18" i="2"/>
  <c r="K7" i="2"/>
  <c r="W11" i="2"/>
  <c r="L61" i="5"/>
  <c r="K61" i="5"/>
  <c r="O61" i="5"/>
  <c r="N61" i="5"/>
  <c r="M61" i="5"/>
  <c r="G61" i="5"/>
  <c r="F63" i="5"/>
  <c r="F61" i="5"/>
  <c r="F60" i="5"/>
  <c r="H61" i="5"/>
  <c r="P8" i="9"/>
  <c r="O8" i="9"/>
  <c r="N8" i="9"/>
  <c r="M8" i="9"/>
  <c r="AH81" i="2" l="1"/>
  <c r="AH83" i="2" s="1"/>
  <c r="AF81" i="2"/>
  <c r="AF83" i="2" s="1"/>
  <c r="AF62" i="2"/>
  <c r="AB81" i="2"/>
  <c r="AB83" i="2" s="1"/>
  <c r="AJ81" i="2"/>
  <c r="AJ83" i="2" s="1"/>
  <c r="AI62" i="2"/>
  <c r="AJ61" i="2"/>
  <c r="AD81" i="2"/>
  <c r="AD83" i="2" s="1"/>
  <c r="AE81" i="2"/>
  <c r="AE83" i="2" s="1"/>
  <c r="AF61" i="2"/>
  <c r="AC81" i="2"/>
  <c r="AC83" i="2" s="1"/>
  <c r="AG72" i="2"/>
  <c r="AI81" i="2"/>
  <c r="AI83" i="2" s="1"/>
  <c r="AC62" i="2"/>
  <c r="AG61" i="2"/>
  <c r="AE62" i="2"/>
  <c r="AJ62" i="2"/>
  <c r="AI61" i="2"/>
  <c r="AB62" i="2"/>
  <c r="AH82" i="2"/>
  <c r="AH84" i="2" s="1"/>
  <c r="AD82" i="2"/>
  <c r="AD84" i="2" s="1"/>
  <c r="AE82" i="2"/>
  <c r="AE84" i="2" s="1"/>
  <c r="AF82" i="2"/>
  <c r="AF84" i="2" s="1"/>
  <c r="AC82" i="2"/>
  <c r="AC84" i="2" s="1"/>
  <c r="AB82" i="2"/>
  <c r="AB84" i="2" s="1"/>
  <c r="AJ82" i="2"/>
  <c r="AJ84" i="2" s="1"/>
  <c r="AE61" i="2"/>
  <c r="AI82" i="2"/>
  <c r="AI84" i="2" s="1"/>
  <c r="AG82" i="2"/>
  <c r="AG84" i="2" s="1"/>
  <c r="AD61" i="2"/>
  <c r="AB61" i="2"/>
  <c r="AC61" i="2"/>
  <c r="G63" i="5"/>
  <c r="AB27" i="7"/>
  <c r="AA27" i="7"/>
  <c r="Z27" i="7"/>
  <c r="Y27" i="7"/>
  <c r="R27" i="7"/>
  <c r="S27" i="7"/>
  <c r="T27" i="7"/>
  <c r="U27" i="7"/>
  <c r="V27" i="7"/>
  <c r="W27" i="7"/>
  <c r="X27" i="7"/>
  <c r="Q27" i="7"/>
  <c r="O14" i="7"/>
  <c r="O13" i="7"/>
  <c r="P13" i="7"/>
  <c r="N13" i="7"/>
  <c r="M13" i="7"/>
  <c r="R36" i="6"/>
  <c r="N21" i="6"/>
  <c r="M21" i="6"/>
  <c r="L21" i="6"/>
  <c r="Q36" i="6"/>
  <c r="Z54" i="5"/>
  <c r="Y54" i="5"/>
  <c r="X54" i="5"/>
  <c r="Q54" i="5"/>
  <c r="R54" i="5"/>
  <c r="S54" i="5"/>
  <c r="T54" i="5"/>
  <c r="U54" i="5"/>
  <c r="V54" i="5"/>
  <c r="W54" i="5"/>
  <c r="P54" i="5"/>
  <c r="Z51" i="5"/>
  <c r="Y51" i="5"/>
  <c r="X51" i="5"/>
  <c r="Q51" i="5"/>
  <c r="R51" i="5"/>
  <c r="S51" i="5"/>
  <c r="T51" i="5"/>
  <c r="U51" i="5"/>
  <c r="V51" i="5"/>
  <c r="W51" i="5"/>
  <c r="P51" i="5"/>
  <c r="Z48" i="5"/>
  <c r="Y48" i="5"/>
  <c r="X48" i="5"/>
  <c r="Q48" i="5"/>
  <c r="R48" i="5"/>
  <c r="S48" i="5"/>
  <c r="T48" i="5"/>
  <c r="U48" i="5"/>
  <c r="V48" i="5"/>
  <c r="W48" i="5"/>
  <c r="P48" i="5"/>
  <c r="N37" i="5"/>
  <c r="M37" i="5"/>
  <c r="P37" i="5"/>
  <c r="O37" i="5"/>
  <c r="N35" i="5"/>
  <c r="P35" i="5"/>
  <c r="O35" i="5"/>
  <c r="M35" i="5"/>
  <c r="O40" i="3"/>
  <c r="P40" i="3"/>
  <c r="M35" i="3"/>
  <c r="M104" i="3"/>
  <c r="O106" i="3"/>
  <c r="P106" i="3"/>
  <c r="N101" i="3"/>
  <c r="O101" i="3"/>
  <c r="P101" i="3"/>
  <c r="M101" i="3"/>
  <c r="N106" i="3"/>
  <c r="AG81" i="2" l="1"/>
  <c r="AG83" i="2" s="1"/>
  <c r="M106" i="3"/>
  <c r="N107" i="3"/>
  <c r="N105" i="3"/>
  <c r="P104" i="3"/>
  <c r="O104" i="3"/>
  <c r="N104" i="3"/>
  <c r="N85" i="3"/>
  <c r="P38" i="3"/>
  <c r="O38" i="3"/>
  <c r="N40" i="3"/>
  <c r="M40" i="3"/>
  <c r="N39" i="3"/>
  <c r="N38" i="3"/>
  <c r="M38" i="3"/>
  <c r="P35" i="3"/>
  <c r="O35" i="3"/>
  <c r="N35" i="3"/>
  <c r="AF43" i="2" l="1"/>
  <c r="AE43" i="2"/>
  <c r="AD43" i="2"/>
  <c r="AC43" i="2"/>
  <c r="AB43" i="2"/>
  <c r="AA43" i="2"/>
  <c r="Z43" i="2"/>
  <c r="Y43" i="2"/>
  <c r="X43" i="2"/>
  <c r="W43" i="2"/>
  <c r="AF42" i="2"/>
  <c r="AE42" i="2"/>
  <c r="AD42" i="2"/>
  <c r="AC42" i="2"/>
  <c r="AB42" i="2"/>
  <c r="AA42" i="2"/>
  <c r="Z42" i="2"/>
  <c r="Y42" i="2"/>
  <c r="X42" i="2"/>
  <c r="W42" i="2"/>
  <c r="AF41" i="2"/>
  <c r="AE41" i="2"/>
  <c r="AD41" i="2"/>
  <c r="AC41" i="2"/>
  <c r="AB41" i="2"/>
  <c r="AA41" i="2"/>
  <c r="Z41" i="2"/>
  <c r="Y41" i="2"/>
  <c r="X41" i="2"/>
  <c r="W41" i="2"/>
  <c r="AF40" i="2"/>
  <c r="AE40" i="2"/>
  <c r="AD40" i="2"/>
  <c r="AC40" i="2"/>
  <c r="AB40" i="2"/>
  <c r="AA40" i="2"/>
  <c r="Z40" i="2"/>
  <c r="Y40" i="2"/>
  <c r="X40" i="2"/>
  <c r="W40" i="2"/>
  <c r="AF39" i="2"/>
  <c r="AE39" i="2"/>
  <c r="AD39" i="2"/>
  <c r="AC39" i="2"/>
  <c r="AB39" i="2"/>
  <c r="AA39" i="2"/>
  <c r="Z39" i="2"/>
  <c r="Y39" i="2"/>
  <c r="X39" i="2"/>
  <c r="W39" i="2"/>
  <c r="AF38" i="2"/>
  <c r="AE38" i="2"/>
  <c r="AD38" i="2"/>
  <c r="AC38" i="2"/>
  <c r="AB38" i="2"/>
  <c r="AA38" i="2"/>
  <c r="Z38" i="2"/>
  <c r="Y38" i="2"/>
  <c r="X38" i="2"/>
  <c r="W38" i="2"/>
  <c r="AF37" i="2"/>
  <c r="AE37" i="2"/>
  <c r="AD37" i="2"/>
  <c r="AC37" i="2"/>
  <c r="AB37" i="2"/>
  <c r="AA37" i="2"/>
  <c r="Z37" i="2"/>
  <c r="Y37" i="2"/>
  <c r="X37" i="2"/>
  <c r="W37" i="2"/>
  <c r="AF36" i="2"/>
  <c r="AE36" i="2"/>
  <c r="AD36" i="2"/>
  <c r="AC36" i="2"/>
  <c r="AB36" i="2"/>
  <c r="AA36" i="2"/>
  <c r="Z36" i="2"/>
  <c r="Y36" i="2"/>
  <c r="X36" i="2"/>
  <c r="W36" i="2"/>
  <c r="AF35" i="2"/>
  <c r="AE35" i="2"/>
  <c r="AD35" i="2"/>
  <c r="AC35" i="2"/>
  <c r="AB35" i="2"/>
  <c r="AA35" i="2"/>
  <c r="Z35" i="2"/>
  <c r="Y35" i="2"/>
  <c r="X35" i="2"/>
  <c r="W35" i="2"/>
  <c r="AF34" i="2"/>
  <c r="AE34" i="2"/>
  <c r="AD34" i="2"/>
  <c r="AC34" i="2"/>
  <c r="AB34" i="2"/>
  <c r="AA34" i="2"/>
  <c r="Z34" i="2"/>
  <c r="Y34" i="2"/>
  <c r="X34" i="2"/>
  <c r="W34" i="2"/>
  <c r="AF33" i="2"/>
  <c r="AE33" i="2"/>
  <c r="AD33" i="2"/>
  <c r="AC33" i="2"/>
  <c r="AB33" i="2"/>
  <c r="AA33" i="2"/>
  <c r="Z33" i="2"/>
  <c r="Y33" i="2"/>
  <c r="X33" i="2"/>
  <c r="W33" i="2"/>
  <c r="AF32" i="2"/>
  <c r="AE32" i="2"/>
  <c r="AD32" i="2"/>
  <c r="AC32" i="2"/>
  <c r="AB32" i="2"/>
  <c r="AA32" i="2"/>
  <c r="Z32" i="2"/>
  <c r="Y32" i="2"/>
  <c r="X32" i="2"/>
  <c r="W32" i="2"/>
  <c r="AF31" i="2"/>
  <c r="AE31" i="2"/>
  <c r="AD31" i="2"/>
  <c r="AC31" i="2"/>
  <c r="AB31" i="2"/>
  <c r="AA31" i="2"/>
  <c r="Z31" i="2"/>
  <c r="Y31" i="2"/>
  <c r="X31" i="2"/>
  <c r="W31" i="2"/>
  <c r="AF30" i="2"/>
  <c r="AE30" i="2"/>
  <c r="AD30" i="2"/>
  <c r="AC30" i="2"/>
  <c r="AB30" i="2"/>
  <c r="AA30" i="2"/>
  <c r="Z30" i="2"/>
  <c r="Y30" i="2"/>
  <c r="X30" i="2"/>
  <c r="W30" i="2"/>
  <c r="AF29" i="2"/>
  <c r="AE29" i="2"/>
  <c r="AD29" i="2"/>
  <c r="AC29" i="2"/>
  <c r="AB29" i="2"/>
  <c r="AA29" i="2"/>
  <c r="Z29" i="2"/>
  <c r="Y29" i="2"/>
  <c r="X29" i="2"/>
  <c r="W29" i="2"/>
  <c r="AF28" i="2"/>
  <c r="AE28" i="2"/>
  <c r="AD28" i="2"/>
  <c r="AC28" i="2"/>
  <c r="AB28" i="2"/>
  <c r="AA28" i="2"/>
  <c r="Z28" i="2"/>
  <c r="Y28" i="2"/>
  <c r="X28" i="2"/>
  <c r="W28" i="2"/>
  <c r="AF27" i="2"/>
  <c r="AE27" i="2"/>
  <c r="AD27" i="2"/>
  <c r="AC27" i="2"/>
  <c r="AB27" i="2"/>
  <c r="AA27" i="2"/>
  <c r="Z27" i="2"/>
  <c r="Y27" i="2"/>
  <c r="X27" i="2"/>
  <c r="W27" i="2"/>
  <c r="AF26" i="2"/>
  <c r="AE26" i="2"/>
  <c r="AD26" i="2"/>
  <c r="AC26" i="2"/>
  <c r="AB26" i="2"/>
  <c r="AA26" i="2"/>
  <c r="Z26" i="2"/>
  <c r="Y26" i="2"/>
  <c r="X26" i="2"/>
  <c r="W26" i="2"/>
  <c r="AF25" i="2"/>
  <c r="AE25" i="2"/>
  <c r="AD25" i="2"/>
  <c r="AC25" i="2"/>
  <c r="AB25" i="2"/>
  <c r="AA25" i="2"/>
  <c r="Z25" i="2"/>
  <c r="Y25" i="2"/>
  <c r="X25" i="2"/>
  <c r="W25" i="2"/>
  <c r="AF24" i="2"/>
  <c r="AE24" i="2"/>
  <c r="AD24" i="2"/>
  <c r="AC24" i="2"/>
  <c r="AB24" i="2"/>
  <c r="AA24" i="2"/>
  <c r="Z24" i="2"/>
  <c r="Y24" i="2"/>
  <c r="X24" i="2"/>
  <c r="W24" i="2"/>
  <c r="AF23" i="2"/>
  <c r="AE23" i="2"/>
  <c r="AD23" i="2"/>
  <c r="AC23" i="2"/>
  <c r="AB23" i="2"/>
  <c r="AA23" i="2"/>
  <c r="Z23" i="2"/>
  <c r="Y23" i="2"/>
  <c r="X23" i="2"/>
  <c r="W23" i="2"/>
  <c r="AF22" i="2"/>
  <c r="AE22" i="2"/>
  <c r="AD22" i="2"/>
  <c r="AC22" i="2"/>
  <c r="AB22" i="2"/>
  <c r="AA22" i="2"/>
  <c r="Z22" i="2"/>
  <c r="Y22" i="2"/>
  <c r="X22" i="2"/>
  <c r="W22" i="2"/>
  <c r="AF21" i="2"/>
  <c r="AE21" i="2"/>
  <c r="AD21" i="2"/>
  <c r="AC21" i="2"/>
  <c r="AB21" i="2"/>
  <c r="AA21" i="2"/>
  <c r="Z21" i="2"/>
  <c r="Y21" i="2"/>
  <c r="X21" i="2"/>
  <c r="W21" i="2"/>
  <c r="AF20" i="2"/>
  <c r="AE20" i="2"/>
  <c r="AD20" i="2"/>
  <c r="AC20" i="2"/>
  <c r="AB20" i="2"/>
  <c r="AA20" i="2"/>
  <c r="Z20" i="2"/>
  <c r="Y20" i="2"/>
  <c r="X20" i="2"/>
  <c r="W20" i="2"/>
  <c r="AD10" i="2"/>
  <c r="W7" i="2"/>
  <c r="X7" i="2"/>
  <c r="Y7" i="2"/>
  <c r="Z7" i="2"/>
  <c r="AA7" i="2"/>
  <c r="AB7" i="2"/>
  <c r="AC7" i="2"/>
  <c r="AD7" i="2"/>
  <c r="AE7" i="2"/>
  <c r="AF7" i="2"/>
  <c r="W8" i="2"/>
  <c r="X8" i="2"/>
  <c r="Y8" i="2"/>
  <c r="Z8" i="2"/>
  <c r="AA8" i="2"/>
  <c r="AB8" i="2"/>
  <c r="AC8" i="2"/>
  <c r="AD8" i="2"/>
  <c r="AE8" i="2"/>
  <c r="AF8" i="2"/>
  <c r="W9" i="2"/>
  <c r="X9" i="2"/>
  <c r="Y9" i="2"/>
  <c r="Z9" i="2"/>
  <c r="AA9" i="2"/>
  <c r="AB9" i="2"/>
  <c r="AC9" i="2"/>
  <c r="AD9" i="2"/>
  <c r="AE9" i="2"/>
  <c r="AF9" i="2"/>
  <c r="W10" i="2"/>
  <c r="X10" i="2"/>
  <c r="Y10" i="2"/>
  <c r="Z10" i="2"/>
  <c r="AA10" i="2"/>
  <c r="AB10" i="2"/>
  <c r="AC10" i="2"/>
  <c r="AE10" i="2"/>
  <c r="AF10" i="2"/>
  <c r="X11" i="2"/>
  <c r="Y11" i="2"/>
  <c r="Z11" i="2"/>
  <c r="AA11" i="2"/>
  <c r="AB11" i="2"/>
  <c r="AC11" i="2"/>
  <c r="AD11" i="2"/>
  <c r="AE11" i="2"/>
  <c r="AF11" i="2"/>
  <c r="W12" i="2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X6" i="2"/>
  <c r="Y6" i="2"/>
  <c r="Z6" i="2"/>
  <c r="AA6" i="2"/>
  <c r="AB6" i="2"/>
  <c r="AC6" i="2"/>
  <c r="AD6" i="2"/>
  <c r="AE6" i="2"/>
  <c r="AF6" i="2"/>
  <c r="W6" i="2"/>
</calcChain>
</file>

<file path=xl/sharedStrings.xml><?xml version="1.0" encoding="utf-8"?>
<sst xmlns="http://schemas.openxmlformats.org/spreadsheetml/2006/main" count="1056" uniqueCount="245">
  <si>
    <t>Date</t>
  </si>
  <si>
    <t>Task</t>
  </si>
  <si>
    <t>Comment</t>
  </si>
  <si>
    <t>Need to test Apr 23 2018 dll from Sarah Beukema</t>
  </si>
  <si>
    <t>May 1 2018</t>
  </si>
  <si>
    <t>grow only</t>
  </si>
  <si>
    <t>bda</t>
  </si>
  <si>
    <t>base harvest</t>
  </si>
  <si>
    <t>base  fire</t>
  </si>
  <si>
    <t>Top Priority</t>
  </si>
  <si>
    <t>Should also do</t>
  </si>
  <si>
    <t>LandViz</t>
  </si>
  <si>
    <t>Habitat suitability output</t>
  </si>
  <si>
    <t>dynamic fire and biomass fuels</t>
  </si>
  <si>
    <t>LUC+</t>
  </si>
  <si>
    <t>Setting up input files</t>
  </si>
  <si>
    <t>Base wind</t>
  </si>
  <si>
    <t>linear wind</t>
  </si>
  <si>
    <t>Biomass drought</t>
  </si>
  <si>
    <t>Need to make sure climate files match as close as possible</t>
  </si>
  <si>
    <t>Biomass fuels doesn't run with Feb 14 2018 dll</t>
  </si>
  <si>
    <t>Grow Feb 14 2018 dll</t>
  </si>
  <si>
    <t>Time</t>
  </si>
  <si>
    <t xml:space="preserve"> row</t>
  </si>
  <si>
    <t xml:space="preserve"> column</t>
  </si>
  <si>
    <t xml:space="preserve"> ecoregion</t>
  </si>
  <si>
    <t xml:space="preserve"> species</t>
  </si>
  <si>
    <t xml:space="preserve"> Age</t>
  </si>
  <si>
    <t xml:space="preserve"> Wood</t>
  </si>
  <si>
    <t xml:space="preserve"> Leaf</t>
  </si>
  <si>
    <t xml:space="preserve"> CrsRoot</t>
  </si>
  <si>
    <t xml:space="preserve"> FineRoot</t>
  </si>
  <si>
    <t>querelli</t>
  </si>
  <si>
    <t>pinubank</t>
  </si>
  <si>
    <t>Young</t>
  </si>
  <si>
    <t>Old</t>
  </si>
  <si>
    <t>Growth and nat regen only</t>
  </si>
  <si>
    <t>Identical biomass but DOM has more cohorts</t>
  </si>
  <si>
    <t xml:space="preserve"> Dist</t>
  </si>
  <si>
    <t xml:space="preserve"> MERCH_ToDOM</t>
  </si>
  <si>
    <t xml:space="preserve"> MERCH_ToAir</t>
  </si>
  <si>
    <t xml:space="preserve"> FOL_ToDOM</t>
  </si>
  <si>
    <t xml:space="preserve"> FOL_ToAir</t>
  </si>
  <si>
    <t xml:space="preserve"> OtherWoody_ToDOM</t>
  </si>
  <si>
    <t xml:space="preserve"> OtherWoody_ToAir</t>
  </si>
  <si>
    <t xml:space="preserve"> CrsRt_ToDOM</t>
  </si>
  <si>
    <t xml:space="preserve"> CrsRt_ToAir</t>
  </si>
  <si>
    <t xml:space="preserve"> FRt_ToDOM</t>
  </si>
  <si>
    <t xml:space="preserve"> FRt_ToAir</t>
  </si>
  <si>
    <t xml:space="preserve"> BioToFPS</t>
  </si>
  <si>
    <t>abiebals</t>
  </si>
  <si>
    <t>piceglau</t>
  </si>
  <si>
    <t>From log_FluxBio</t>
  </si>
  <si>
    <t>acerrubr</t>
  </si>
  <si>
    <t>From log_Biomass</t>
  </si>
  <si>
    <t>ROS</t>
  </si>
  <si>
    <t>AgentName</t>
  </si>
  <si>
    <t>CohortsKilled</t>
  </si>
  <si>
    <t>DamagedSites</t>
  </si>
  <si>
    <t>MeanSeverity</t>
  </si>
  <si>
    <t xml:space="preserve"> budworm</t>
  </si>
  <si>
    <t>From bda-log</t>
  </si>
  <si>
    <t>to air</t>
  </si>
  <si>
    <t>Tests</t>
  </si>
  <si>
    <t>Are initial pools reasonable? i.e. present and proportional</t>
  </si>
  <si>
    <t>Is natural regeneration occurring</t>
  </si>
  <si>
    <t>Are biomass stocks for new cohorts reasonable?</t>
  </si>
  <si>
    <t>November 2015 testing</t>
  </si>
  <si>
    <t>May 2018 testing April 23 2018 dll</t>
  </si>
  <si>
    <t>survived</t>
  </si>
  <si>
    <t>killed</t>
  </si>
  <si>
    <t>killed conifer wood</t>
  </si>
  <si>
    <t>BDA seems reasonable</t>
  </si>
  <si>
    <t>mass balance?</t>
  </si>
  <si>
    <t>pass</t>
  </si>
  <si>
    <t>following DisturbOtherTransferBiomass table?</t>
  </si>
  <si>
    <t>killed conifer leaf</t>
  </si>
  <si>
    <t>killed conifer CR</t>
  </si>
  <si>
    <t>killed conifer FR</t>
  </si>
  <si>
    <t>stocks</t>
  </si>
  <si>
    <t>fluxes</t>
  </si>
  <si>
    <t>Stocks</t>
  </si>
  <si>
    <t>BDA</t>
  </si>
  <si>
    <t>Base Fire</t>
  </si>
  <si>
    <t>Dynamic Fire</t>
  </si>
  <si>
    <t>Is carbon mass balance maintained and following Fire  tables?</t>
  </si>
  <si>
    <t>SitesChecked</t>
  </si>
  <si>
    <t>Apr 23 2018 dll</t>
  </si>
  <si>
    <t>Row</t>
  </si>
  <si>
    <t>Column</t>
  </si>
  <si>
    <t>Severity</t>
  </si>
  <si>
    <t>SitesEventeco1</t>
  </si>
  <si>
    <t>SitesEventeco2</t>
  </si>
  <si>
    <t>BurnedSites</t>
  </si>
  <si>
    <t xml:space="preserve"> </t>
  </si>
  <si>
    <t>from fire-log.csv</t>
  </si>
  <si>
    <t>log_FluxBio.csv</t>
  </si>
  <si>
    <t xml:space="preserve"> VF_A_toAir</t>
  </si>
  <si>
    <t xml:space="preserve"> VF_B_toAir</t>
  </si>
  <si>
    <t xml:space="preserve"> Fast_A_toAir</t>
  </si>
  <si>
    <t xml:space="preserve"> Fast_B_toAir</t>
  </si>
  <si>
    <t xml:space="preserve"> MED_toAir</t>
  </si>
  <si>
    <t xml:space="preserve"> Slow_A_toAir</t>
  </si>
  <si>
    <t xml:space="preserve"> Slow_B_toAir</t>
  </si>
  <si>
    <t xml:space="preserve"> Sng_Stem_toAir</t>
  </si>
  <si>
    <t xml:space="preserve"> SngStemToMed</t>
  </si>
  <si>
    <t xml:space="preserve"> Sng_Oth_toAir</t>
  </si>
  <si>
    <t xml:space="preserve"> SngOthToFast</t>
  </si>
  <si>
    <t xml:space="preserve"> Extra_toAir</t>
  </si>
  <si>
    <t xml:space="preserve"> SnagsToFPS</t>
  </si>
  <si>
    <t xml:space="preserve"> DOMtoFPS</t>
  </si>
  <si>
    <t>log_FluxDOM.csv</t>
  </si>
  <si>
    <t>log_Biomass.csv</t>
  </si>
  <si>
    <t>fire 1</t>
  </si>
  <si>
    <t>fire 2</t>
  </si>
  <si>
    <t>fire 3</t>
  </si>
  <si>
    <t>fire 4</t>
  </si>
  <si>
    <t>fire 5</t>
  </si>
  <si>
    <t>no regen</t>
  </si>
  <si>
    <t>fire 5 site with no mortality</t>
  </si>
  <si>
    <t>log_Pools.csv</t>
  </si>
  <si>
    <t xml:space="preserve"> VF_A</t>
  </si>
  <si>
    <t>VF_B</t>
  </si>
  <si>
    <t>Fast_A</t>
  </si>
  <si>
    <t>Fast_B</t>
  </si>
  <si>
    <t>MED</t>
  </si>
  <si>
    <t>Slow_A</t>
  </si>
  <si>
    <t>Slow_B</t>
  </si>
  <si>
    <t>Sng_Stem</t>
  </si>
  <si>
    <t>Sng_Oth</t>
  </si>
  <si>
    <t>Extra</t>
  </si>
  <si>
    <t>% of Wood killed</t>
  </si>
  <si>
    <t>% of foliage killed</t>
  </si>
  <si>
    <t>% of roots killed</t>
  </si>
  <si>
    <t>% of Wood to FPS</t>
  </si>
  <si>
    <t>following disturbance tables?</t>
  </si>
  <si>
    <t>Percent</t>
  </si>
  <si>
    <t>pass - intensity 5</t>
  </si>
  <si>
    <t>pass intensity 3 or 4</t>
  </si>
  <si>
    <t>pass - intensity 3</t>
  </si>
  <si>
    <t>pass - intensity 3 with no mortality</t>
  </si>
  <si>
    <t>Base fire looks good</t>
  </si>
  <si>
    <t>harvest\log.csv</t>
  </si>
  <si>
    <t>ManagementArea</t>
  </si>
  <si>
    <t>Prescription</t>
  </si>
  <si>
    <t>Stand</t>
  </si>
  <si>
    <t>EventID</t>
  </si>
  <si>
    <t>StandAge</t>
  </si>
  <si>
    <t>StandRank</t>
  </si>
  <si>
    <t>NumberOfSites</t>
  </si>
  <si>
    <t>HarvestedSites</t>
  </si>
  <si>
    <t>TotalCohortsHarvested</t>
  </si>
  <si>
    <t>CohortsHarvested_pinubank</t>
  </si>
  <si>
    <t>CohortsHarvested_querelli</t>
  </si>
  <si>
    <t xml:space="preserve"> ClearcutPlant</t>
  </si>
  <si>
    <t>log_FluxBio</t>
  </si>
  <si>
    <t>Log_Biomass</t>
  </si>
  <si>
    <t>log_FluxDOM</t>
  </si>
  <si>
    <t>log_Pools</t>
  </si>
  <si>
    <t>% DOM transfer</t>
  </si>
  <si>
    <t>% snags to FPS</t>
  </si>
  <si>
    <t>Base harvest is cutting stands that are too young when using partial stand spread and a constricted land base. C looks good though</t>
  </si>
  <si>
    <t>InitSite</t>
  </si>
  <si>
    <t>InitFireRegion</t>
  </si>
  <si>
    <t>InitFuel</t>
  </si>
  <si>
    <t>InitPercentConifer</t>
  </si>
  <si>
    <t>SelectedSizeOrDuration</t>
  </si>
  <si>
    <t>SizeBin</t>
  </si>
  <si>
    <t>Duration</t>
  </si>
  <si>
    <t>FireSeason</t>
  </si>
  <si>
    <t>WindSpeed</t>
  </si>
  <si>
    <t>WindDirection</t>
  </si>
  <si>
    <t>FFMC</t>
  </si>
  <si>
    <t>BUI</t>
  </si>
  <si>
    <t>PercentCuring</t>
  </si>
  <si>
    <t>ISI</t>
  </si>
  <si>
    <t>EcoMaps_1</t>
  </si>
  <si>
    <t>EcoMaps_2</t>
  </si>
  <si>
    <t>TotalSitesInEvent</t>
  </si>
  <si>
    <t xml:space="preserve"> fire2</t>
  </si>
  <si>
    <t>fire/log</t>
  </si>
  <si>
    <t>(1,6)</t>
  </si>
  <si>
    <t>log_Biomass</t>
  </si>
  <si>
    <t>pass - intensity4</t>
  </si>
  <si>
    <t>Dynamic fire seems good</t>
  </si>
  <si>
    <t>biomass fuels failed</t>
  </si>
  <si>
    <t>2018-05-03 13:37:11,313 - The data type of site variable "Succession.BiomassCohorts" is Landis.Library.BiomassCohorts.ISiteCohorts, not Landis.Library.BiomassCohorts.ISiteCohorts</t>
  </si>
  <si>
    <t>Testing snags</t>
  </si>
  <si>
    <t>initial communities should be:</t>
  </si>
  <si>
    <t>pine age 1, lots of dead pine and oak</t>
  </si>
  <si>
    <t>pine age 10</t>
  </si>
  <si>
    <t>pine age 51, lots of dead oak</t>
  </si>
  <si>
    <t>oak age 191, lots of dead pine</t>
  </si>
  <si>
    <t>pine age 90</t>
  </si>
  <si>
    <t>pine age 5 and 90</t>
  </si>
  <si>
    <t>Pass/Fail</t>
  </si>
  <si>
    <t>pine age 1 and 51, oak age 191, no pine snags</t>
  </si>
  <si>
    <t>snags are working fine</t>
  </si>
  <si>
    <t>Because one of the cohorts is a snag cohort!</t>
  </si>
  <si>
    <t>Base harvest</t>
  </si>
  <si>
    <t>Is carbon mass balance maintained and following DisturbOtherTransferBiomass &amp; DOM tables?</t>
  </si>
  <si>
    <t>Grow Apr 23 2018 dll</t>
  </si>
  <si>
    <t>TotalSites</t>
  </si>
  <si>
    <t>InitColumn</t>
  </si>
  <si>
    <t>InitRow</t>
  </si>
  <si>
    <t>from wind-events-log.csv</t>
  </si>
  <si>
    <t>no biomass in t=5</t>
  </si>
  <si>
    <t>Snag pool</t>
  </si>
  <si>
    <t>total carbon</t>
  </si>
  <si>
    <t>diff</t>
  </si>
  <si>
    <t>emissions</t>
  </si>
  <si>
    <t>to FPS</t>
  </si>
  <si>
    <t>net transfers from fire</t>
  </si>
  <si>
    <t>Change in pools</t>
  </si>
  <si>
    <t>is that predictable?</t>
  </si>
  <si>
    <t>no snag fall down rate is 3.2%</t>
  </si>
  <si>
    <t>DEL BIO</t>
  </si>
  <si>
    <t>Biomass dynamics unchanged - pass</t>
  </si>
  <si>
    <t>DelDOM</t>
  </si>
  <si>
    <t>delta</t>
  </si>
  <si>
    <t xml:space="preserve"> VF_A_toSlow</t>
  </si>
  <si>
    <t xml:space="preserve"> VF_B_toSlow</t>
  </si>
  <si>
    <t xml:space="preserve"> Fast_A_toSlow</t>
  </si>
  <si>
    <t xml:space="preserve"> Fast_B_toSlow</t>
  </si>
  <si>
    <t xml:space="preserve"> MED_toSlow</t>
  </si>
  <si>
    <t xml:space="preserve"> Slow_A_toSlow</t>
  </si>
  <si>
    <t xml:space="preserve"> Slow_B_toSlow</t>
  </si>
  <si>
    <t xml:space="preserve"> Sng_Stem_toSlow</t>
  </si>
  <si>
    <t xml:space="preserve"> Sng_Oth_toSlow</t>
  </si>
  <si>
    <t xml:space="preserve"> Extra_toSlow</t>
  </si>
  <si>
    <t>flux table</t>
  </si>
  <si>
    <t>no biomass so no inputs</t>
  </si>
  <si>
    <t>does stock change equal fluxes?</t>
  </si>
  <si>
    <t>Expected decay +transfer rate</t>
  </si>
  <si>
    <t>TempMod = e^((MATi
−RefTemp)×ln(Q10)×0.1)</t>
  </si>
  <si>
    <t>base decay rate</t>
  </si>
  <si>
    <t>ak
= BDRk
× TempMod</t>
  </si>
  <si>
    <t>transfer rate</t>
  </si>
  <si>
    <t>losses only</t>
  </si>
  <si>
    <t>does flux table = predicted?</t>
  </si>
  <si>
    <t>new pools</t>
  </si>
  <si>
    <t>how is there decay when there are no pools in t=0? What is the order of operations</t>
  </si>
  <si>
    <t>emission flux should be</t>
  </si>
  <si>
    <t>probably different because snag transfers happen after decay instead of before</t>
  </si>
  <si>
    <t>growth and litterfall happen before decay?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</si>
</sst>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/>
    <xf numFmtId="2" fontId="0" fillId="0" borderId="0" xfId="0" applyNumberFormat="1"/>
    <xf numFmtId="0" fontId="0" fillId="0" borderId="0" xfId="0" applyFill="1"/>
    <xf numFmtId="17" fontId="0" fillId="0" borderId="0" xfId="0" applyNumberFormat="1"/>
    <xf numFmtId="17" fontId="0" fillId="0" borderId="0" xfId="0" quotePrefix="1" applyNumberFormat="1"/>
    <xf numFmtId="0" fontId="0" fillId="3" borderId="0" xfId="0" applyFill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164" fontId="0" fillId="0" borderId="0" xfId="0" applyNumberFormat="1"/>
    <xf numFmtId="0" fontId="0" fillId="4" borderId="0" xfId="0" applyFill="1"/>
    <xf numFmtId="0" fontId="0" fillId="0" borderId="0" xfId="0" applyAlignment="1">
      <alignment horizontal="right"/>
    </xf>
    <xf numFmtId="2" fontId="0" fillId="0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2" fontId="0" fillId="2" borderId="0" xfId="0" applyNumberFormat="1" applyFill="1"/>
    <xf numFmtId="0" fontId="1" fillId="0" borderId="0" xfId="0" applyFont="1"/>
    <xf numFmtId="0" fontId="0" fillId="5" borderId="0" xfId="0" applyFill="1"/>
    <xf numFmtId="2" fontId="0" fillId="5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A2" workbookViewId="0">
      <selection activeCell="C17" sqref="C17"/>
    </sheetView>
  </sheetViews>
  <sheetFormatPr defaultRowHeight="14.4" x14ac:dyDescent="0.3"/>
  <cols>
    <col min="1" max="1" width="13.21875" customWidth="1"/>
    <col min="2" max="2" width="34.44140625" style="2" customWidth="1"/>
    <col min="3" max="3" width="29.5546875" customWidth="1"/>
  </cols>
  <sheetData>
    <row r="1" spans="1:3" x14ac:dyDescent="0.3">
      <c r="A1" t="s">
        <v>3</v>
      </c>
    </row>
    <row r="2" spans="1:3" x14ac:dyDescent="0.3">
      <c r="B2" s="2" t="s">
        <v>9</v>
      </c>
      <c r="C2" t="s">
        <v>10</v>
      </c>
    </row>
    <row r="3" spans="1:3" x14ac:dyDescent="0.3">
      <c r="B3" s="2" t="s">
        <v>5</v>
      </c>
      <c r="C3" t="s">
        <v>11</v>
      </c>
    </row>
    <row r="4" spans="1:3" x14ac:dyDescent="0.3">
      <c r="B4" s="2" t="s">
        <v>7</v>
      </c>
      <c r="C4" t="s">
        <v>12</v>
      </c>
    </row>
    <row r="5" spans="1:3" x14ac:dyDescent="0.3">
      <c r="B5" s="2" t="s">
        <v>8</v>
      </c>
      <c r="C5" t="s">
        <v>14</v>
      </c>
    </row>
    <row r="6" spans="1:3" x14ac:dyDescent="0.3">
      <c r="B6" s="2" t="s">
        <v>6</v>
      </c>
      <c r="C6" t="s">
        <v>16</v>
      </c>
    </row>
    <row r="7" spans="1:3" x14ac:dyDescent="0.3">
      <c r="B7" s="2" t="s">
        <v>13</v>
      </c>
      <c r="C7" t="s">
        <v>17</v>
      </c>
    </row>
    <row r="8" spans="1:3" x14ac:dyDescent="0.3">
      <c r="C8" t="s">
        <v>18</v>
      </c>
    </row>
    <row r="10" spans="1:3" x14ac:dyDescent="0.3">
      <c r="A10" s="1" t="s">
        <v>0</v>
      </c>
      <c r="B10" s="3" t="s">
        <v>1</v>
      </c>
      <c r="C10" s="1" t="s">
        <v>2</v>
      </c>
    </row>
    <row r="11" spans="1:3" x14ac:dyDescent="0.3">
      <c r="A11" t="s">
        <v>4</v>
      </c>
      <c r="B11" s="4" t="s">
        <v>15</v>
      </c>
    </row>
    <row r="12" spans="1:3" ht="28.8" x14ac:dyDescent="0.3">
      <c r="B12" s="4" t="s">
        <v>19</v>
      </c>
    </row>
    <row r="13" spans="1:3" ht="28.8" x14ac:dyDescent="0.3">
      <c r="B13" s="2" t="s">
        <v>20</v>
      </c>
    </row>
    <row r="15" spans="1:3" x14ac:dyDescent="0.3">
      <c r="B15" s="2" t="s">
        <v>36</v>
      </c>
      <c r="C15" t="s">
        <v>37</v>
      </c>
    </row>
    <row r="16" spans="1:3" x14ac:dyDescent="0.3">
      <c r="C16" t="s">
        <v>198</v>
      </c>
    </row>
    <row r="18" spans="1:3" x14ac:dyDescent="0.3">
      <c r="A18" s="11">
        <v>43223</v>
      </c>
      <c r="B18" s="2" t="s">
        <v>72</v>
      </c>
    </row>
    <row r="19" spans="1:3" x14ac:dyDescent="0.3">
      <c r="B19" s="2" t="s">
        <v>141</v>
      </c>
    </row>
    <row r="20" spans="1:3" ht="57.6" x14ac:dyDescent="0.3">
      <c r="B20" s="2" t="s">
        <v>161</v>
      </c>
    </row>
    <row r="21" spans="1:3" x14ac:dyDescent="0.3">
      <c r="B21" s="2" t="s">
        <v>184</v>
      </c>
    </row>
    <row r="23" spans="1:3" x14ac:dyDescent="0.3">
      <c r="B23" s="2" t="s">
        <v>185</v>
      </c>
      <c r="C23" t="s">
        <v>186</v>
      </c>
    </row>
    <row r="25" spans="1:3" x14ac:dyDescent="0.3">
      <c r="B25" s="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3114-C528-4340-AABD-6C79BBE6B467}">
  <dimension ref="A3:B12"/>
  <sheetViews>
    <sheetView workbookViewId="0">
      <selection activeCell="B11" sqref="B11"/>
    </sheetView>
  </sheetViews>
  <sheetFormatPr defaultRowHeight="14.4" x14ac:dyDescent="0.3"/>
  <cols>
    <col min="1" max="1" width="24.21875" bestFit="1" customWidth="1"/>
  </cols>
  <sheetData>
    <row r="3" spans="1:2" x14ac:dyDescent="0.3">
      <c r="A3" t="s">
        <v>63</v>
      </c>
    </row>
    <row r="4" spans="1:2" x14ac:dyDescent="0.3">
      <c r="A4" t="s">
        <v>64</v>
      </c>
    </row>
    <row r="5" spans="1:2" x14ac:dyDescent="0.3">
      <c r="A5" t="s">
        <v>65</v>
      </c>
    </row>
    <row r="6" spans="1:2" x14ac:dyDescent="0.3">
      <c r="A6" t="s">
        <v>66</v>
      </c>
    </row>
    <row r="8" spans="1:2" x14ac:dyDescent="0.3">
      <c r="A8" t="s">
        <v>82</v>
      </c>
      <c r="B8" t="s">
        <v>200</v>
      </c>
    </row>
    <row r="9" spans="1:2" x14ac:dyDescent="0.3">
      <c r="A9" t="s">
        <v>83</v>
      </c>
      <c r="B9" t="s">
        <v>85</v>
      </c>
    </row>
    <row r="10" spans="1:2" x14ac:dyDescent="0.3">
      <c r="A10" t="s">
        <v>84</v>
      </c>
      <c r="B10" t="s">
        <v>85</v>
      </c>
    </row>
    <row r="11" spans="1:2" x14ac:dyDescent="0.3">
      <c r="A11" t="s">
        <v>16</v>
      </c>
      <c r="B11" t="s">
        <v>200</v>
      </c>
    </row>
    <row r="12" spans="1:2" x14ac:dyDescent="0.3">
      <c r="A12" t="s">
        <v>199</v>
      </c>
      <c r="B12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2BA7-A6CA-4A94-9D9A-6A92A4E55C41}">
  <dimension ref="A2:AG31"/>
  <sheetViews>
    <sheetView workbookViewId="0">
      <selection activeCell="AG28" sqref="AG28"/>
    </sheetView>
  </sheetViews>
  <sheetFormatPr defaultRowHeight="14.4" x14ac:dyDescent="0.3"/>
  <cols>
    <col min="5" max="5" width="5.6640625" customWidth="1"/>
    <col min="6" max="6" width="5" customWidth="1"/>
    <col min="16" max="16" width="11.6640625" bestFit="1" customWidth="1"/>
    <col min="17" max="17" width="11.77734375" bestFit="1" customWidth="1"/>
    <col min="18" max="18" width="12.109375" bestFit="1" customWidth="1"/>
    <col min="21" max="21" width="15.21875" bestFit="1" customWidth="1"/>
  </cols>
  <sheetData>
    <row r="2" spans="1:22" x14ac:dyDescent="0.3">
      <c r="A2" t="s">
        <v>180</v>
      </c>
    </row>
    <row r="3" spans="1:22" x14ac:dyDescent="0.3">
      <c r="A3" t="s">
        <v>22</v>
      </c>
      <c r="B3" t="s">
        <v>162</v>
      </c>
      <c r="C3" t="s">
        <v>163</v>
      </c>
      <c r="D3" t="s">
        <v>164</v>
      </c>
      <c r="E3" t="s">
        <v>165</v>
      </c>
      <c r="F3" t="s">
        <v>166</v>
      </c>
      <c r="G3" t="s">
        <v>167</v>
      </c>
      <c r="H3" t="s">
        <v>168</v>
      </c>
      <c r="I3" t="s">
        <v>169</v>
      </c>
      <c r="J3" t="s">
        <v>170</v>
      </c>
      <c r="K3" t="s">
        <v>171</v>
      </c>
      <c r="L3" t="s">
        <v>172</v>
      </c>
      <c r="M3" t="s">
        <v>173</v>
      </c>
      <c r="N3" t="s">
        <v>174</v>
      </c>
      <c r="O3" t="s">
        <v>175</v>
      </c>
      <c r="P3" t="s">
        <v>86</v>
      </c>
      <c r="Q3" t="s">
        <v>57</v>
      </c>
      <c r="R3" t="s">
        <v>59</v>
      </c>
      <c r="S3" t="s">
        <v>176</v>
      </c>
      <c r="T3" t="s">
        <v>177</v>
      </c>
      <c r="U3" t="s">
        <v>178</v>
      </c>
    </row>
    <row r="4" spans="1:22" x14ac:dyDescent="0.3">
      <c r="A4">
        <v>1</v>
      </c>
      <c r="B4" t="s">
        <v>181</v>
      </c>
      <c r="C4" t="s">
        <v>179</v>
      </c>
      <c r="D4">
        <v>1</v>
      </c>
      <c r="E4">
        <v>100</v>
      </c>
      <c r="F4">
        <v>2.7693569586864499</v>
      </c>
      <c r="G4">
        <v>4</v>
      </c>
      <c r="H4">
        <v>177.11398216164599</v>
      </c>
      <c r="I4">
        <v>1</v>
      </c>
      <c r="J4">
        <v>25</v>
      </c>
      <c r="K4">
        <v>270</v>
      </c>
      <c r="L4">
        <v>90</v>
      </c>
      <c r="M4">
        <v>120</v>
      </c>
      <c r="N4">
        <v>51</v>
      </c>
      <c r="O4">
        <v>11</v>
      </c>
      <c r="P4">
        <v>3</v>
      </c>
      <c r="Q4">
        <v>3</v>
      </c>
      <c r="R4">
        <v>3</v>
      </c>
      <c r="S4">
        <v>0</v>
      </c>
      <c r="T4">
        <v>3</v>
      </c>
      <c r="U4">
        <v>3</v>
      </c>
      <c r="V4" t="s">
        <v>94</v>
      </c>
    </row>
    <row r="6" spans="1:22" x14ac:dyDescent="0.3">
      <c r="A6" t="s">
        <v>155</v>
      </c>
    </row>
    <row r="7" spans="1:22" x14ac:dyDescent="0.3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</row>
    <row r="8" spans="1:22" x14ac:dyDescent="0.3">
      <c r="A8">
        <v>1</v>
      </c>
      <c r="B8">
        <v>1</v>
      </c>
      <c r="C8">
        <v>5</v>
      </c>
      <c r="D8">
        <v>1</v>
      </c>
      <c r="E8" t="s">
        <v>32</v>
      </c>
      <c r="F8">
        <v>1</v>
      </c>
      <c r="G8">
        <v>1205.1110000000001</v>
      </c>
      <c r="H8">
        <v>0</v>
      </c>
      <c r="I8">
        <v>165.625</v>
      </c>
      <c r="J8">
        <v>496.875</v>
      </c>
      <c r="K8">
        <v>1753.6179999999999</v>
      </c>
      <c r="L8">
        <v>194.846</v>
      </c>
      <c r="M8">
        <v>1741.838</v>
      </c>
      <c r="N8">
        <v>0</v>
      </c>
      <c r="O8">
        <v>193.53800000000001</v>
      </c>
      <c r="P8">
        <v>0</v>
      </c>
      <c r="Q8">
        <v>2811.9250000000002</v>
      </c>
    </row>
    <row r="9" spans="1:22" x14ac:dyDescent="0.3">
      <c r="A9">
        <v>1</v>
      </c>
      <c r="B9">
        <v>1</v>
      </c>
      <c r="C9">
        <v>6</v>
      </c>
      <c r="D9">
        <v>1</v>
      </c>
      <c r="E9" t="s">
        <v>33</v>
      </c>
      <c r="F9">
        <v>1</v>
      </c>
      <c r="G9">
        <v>260.20699999999999</v>
      </c>
      <c r="H9">
        <v>0</v>
      </c>
      <c r="I9">
        <v>0</v>
      </c>
      <c r="J9">
        <v>190.5</v>
      </c>
      <c r="K9">
        <v>836.21</v>
      </c>
      <c r="L9">
        <v>238.917</v>
      </c>
      <c r="M9">
        <v>676.56700000000001</v>
      </c>
      <c r="N9">
        <v>0</v>
      </c>
      <c r="O9">
        <v>148.51499999999999</v>
      </c>
      <c r="P9">
        <v>0</v>
      </c>
      <c r="Q9">
        <v>260.20699999999999</v>
      </c>
    </row>
    <row r="10" spans="1:22" x14ac:dyDescent="0.3">
      <c r="A10">
        <v>1</v>
      </c>
      <c r="B10">
        <v>1</v>
      </c>
      <c r="C10">
        <v>7</v>
      </c>
      <c r="D10">
        <v>1</v>
      </c>
      <c r="E10" t="s">
        <v>33</v>
      </c>
      <c r="F10">
        <v>1</v>
      </c>
      <c r="G10">
        <v>208.166</v>
      </c>
      <c r="H10">
        <v>0</v>
      </c>
      <c r="I10">
        <v>19.05</v>
      </c>
      <c r="J10">
        <v>171.45</v>
      </c>
      <c r="K10">
        <v>955.66899999999998</v>
      </c>
      <c r="L10">
        <v>238.917</v>
      </c>
      <c r="M10">
        <v>676.56700000000001</v>
      </c>
      <c r="N10">
        <v>0</v>
      </c>
      <c r="O10">
        <v>148.51499999999999</v>
      </c>
      <c r="P10">
        <v>0</v>
      </c>
      <c r="Q10">
        <v>312.24900000000002</v>
      </c>
    </row>
    <row r="12" spans="1:22" x14ac:dyDescent="0.3">
      <c r="A12" t="s">
        <v>182</v>
      </c>
      <c r="M12" t="s">
        <v>131</v>
      </c>
      <c r="N12" t="s">
        <v>134</v>
      </c>
      <c r="O12" t="s">
        <v>132</v>
      </c>
      <c r="P12" t="s">
        <v>133</v>
      </c>
    </row>
    <row r="13" spans="1:22" x14ac:dyDescent="0.3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M13" s="30">
        <f>(G8+H8+K8+L8+Q8)/G14</f>
        <v>1</v>
      </c>
      <c r="N13">
        <f>Q8/G14</f>
        <v>0.47136451261419832</v>
      </c>
      <c r="O13" s="30">
        <f>(I8+J8)/H14</f>
        <v>1</v>
      </c>
      <c r="P13" s="30">
        <f>SUM(M8:P8)/(I14+J14)</f>
        <v>1.0000392703973544</v>
      </c>
      <c r="Q13" s="5" t="s">
        <v>73</v>
      </c>
      <c r="R13" s="5" t="s">
        <v>74</v>
      </c>
      <c r="S13" s="5" t="s">
        <v>135</v>
      </c>
      <c r="T13" s="5" t="s">
        <v>139</v>
      </c>
    </row>
    <row r="14" spans="1:22" x14ac:dyDescent="0.3">
      <c r="A14">
        <v>0</v>
      </c>
      <c r="B14">
        <v>1</v>
      </c>
      <c r="C14">
        <v>5</v>
      </c>
      <c r="D14">
        <v>1</v>
      </c>
      <c r="E14" t="s">
        <v>32</v>
      </c>
      <c r="F14">
        <v>130</v>
      </c>
      <c r="G14">
        <v>5965.5</v>
      </c>
      <c r="H14">
        <v>662.5</v>
      </c>
      <c r="I14">
        <v>1741.8</v>
      </c>
      <c r="J14">
        <v>193.5</v>
      </c>
      <c r="O14">
        <f>J8/H14</f>
        <v>0.75</v>
      </c>
    </row>
    <row r="15" spans="1:22" x14ac:dyDescent="0.3">
      <c r="A15">
        <v>0</v>
      </c>
      <c r="B15">
        <v>1</v>
      </c>
      <c r="C15">
        <v>6</v>
      </c>
      <c r="D15">
        <v>1</v>
      </c>
      <c r="E15" t="s">
        <v>33</v>
      </c>
      <c r="F15">
        <v>30</v>
      </c>
      <c r="G15">
        <v>1715</v>
      </c>
      <c r="H15">
        <v>190.5</v>
      </c>
      <c r="I15">
        <v>676.6</v>
      </c>
      <c r="J15">
        <v>148.5</v>
      </c>
      <c r="M15" s="30"/>
      <c r="O15" s="30"/>
      <c r="P15" s="30"/>
    </row>
    <row r="16" spans="1:22" x14ac:dyDescent="0.3">
      <c r="A16">
        <v>0</v>
      </c>
      <c r="B16">
        <v>1</v>
      </c>
      <c r="C16">
        <v>7</v>
      </c>
      <c r="D16">
        <v>1</v>
      </c>
      <c r="E16" t="s">
        <v>33</v>
      </c>
      <c r="F16">
        <v>30</v>
      </c>
      <c r="G16">
        <v>1715</v>
      </c>
      <c r="H16">
        <v>190.5</v>
      </c>
      <c r="I16">
        <v>676.6</v>
      </c>
      <c r="J16">
        <v>148.5</v>
      </c>
    </row>
    <row r="18" spans="1:33" x14ac:dyDescent="0.3">
      <c r="A18" t="s">
        <v>157</v>
      </c>
    </row>
    <row r="19" spans="1:33" x14ac:dyDescent="0.3">
      <c r="A19" t="s">
        <v>22</v>
      </c>
      <c r="B19" t="s">
        <v>23</v>
      </c>
      <c r="C19" t="s">
        <v>24</v>
      </c>
      <c r="D19" t="s">
        <v>25</v>
      </c>
      <c r="E19" t="s">
        <v>26</v>
      </c>
      <c r="F19" t="s">
        <v>38</v>
      </c>
      <c r="G19" t="s">
        <v>97</v>
      </c>
      <c r="H19" t="s">
        <v>98</v>
      </c>
      <c r="I19" t="s">
        <v>99</v>
      </c>
      <c r="J19" t="s">
        <v>100</v>
      </c>
      <c r="K19" t="s">
        <v>101</v>
      </c>
      <c r="L19" t="s">
        <v>102</v>
      </c>
      <c r="M19" t="s">
        <v>103</v>
      </c>
      <c r="N19" t="s">
        <v>104</v>
      </c>
      <c r="O19" t="s">
        <v>105</v>
      </c>
      <c r="P19" t="s">
        <v>106</v>
      </c>
      <c r="Q19" t="s">
        <v>107</v>
      </c>
      <c r="R19" t="s">
        <v>108</v>
      </c>
      <c r="S19" t="s">
        <v>109</v>
      </c>
      <c r="T19" t="s">
        <v>110</v>
      </c>
    </row>
    <row r="20" spans="1:33" x14ac:dyDescent="0.3">
      <c r="A20">
        <v>1</v>
      </c>
      <c r="B20">
        <v>1</v>
      </c>
      <c r="C20">
        <v>5</v>
      </c>
      <c r="D20">
        <v>1</v>
      </c>
      <c r="E20" t="s">
        <v>32</v>
      </c>
      <c r="F20">
        <v>1</v>
      </c>
      <c r="G20">
        <v>280.96899999999999</v>
      </c>
      <c r="H20">
        <v>30.847999999999999</v>
      </c>
      <c r="I20">
        <v>294.113</v>
      </c>
      <c r="J20">
        <v>0</v>
      </c>
      <c r="K20">
        <v>0</v>
      </c>
      <c r="L20">
        <v>0</v>
      </c>
      <c r="M20">
        <v>0</v>
      </c>
      <c r="N20">
        <v>0</v>
      </c>
      <c r="O20">
        <v>988.22400000000005</v>
      </c>
      <c r="P20">
        <v>73.343999999999994</v>
      </c>
      <c r="Q20">
        <v>146.68799999999999</v>
      </c>
      <c r="R20">
        <v>0</v>
      </c>
      <c r="S20">
        <v>658.81600000000003</v>
      </c>
      <c r="T20">
        <v>0</v>
      </c>
    </row>
    <row r="21" spans="1:33" x14ac:dyDescent="0.3">
      <c r="A21">
        <v>1</v>
      </c>
      <c r="B21">
        <v>1</v>
      </c>
      <c r="C21">
        <v>6</v>
      </c>
      <c r="D21">
        <v>1</v>
      </c>
      <c r="E21" t="s">
        <v>33</v>
      </c>
      <c r="F21">
        <v>1</v>
      </c>
      <c r="G21">
        <v>214.24100000000001</v>
      </c>
      <c r="H21">
        <v>39.773000000000003</v>
      </c>
      <c r="I21">
        <v>23.321000000000002</v>
      </c>
      <c r="J21">
        <v>0</v>
      </c>
      <c r="K21">
        <v>86.590999999999994</v>
      </c>
      <c r="L21">
        <v>0</v>
      </c>
      <c r="M21">
        <v>0</v>
      </c>
      <c r="N21">
        <v>0.218</v>
      </c>
      <c r="O21">
        <v>1.966</v>
      </c>
      <c r="P21">
        <v>3.0000000000000001E-3</v>
      </c>
      <c r="Q21">
        <v>3.0000000000000001E-3</v>
      </c>
      <c r="R21">
        <v>0</v>
      </c>
      <c r="S21">
        <v>0</v>
      </c>
      <c r="T21">
        <v>0</v>
      </c>
    </row>
    <row r="22" spans="1:33" x14ac:dyDescent="0.3">
      <c r="A22">
        <v>1</v>
      </c>
      <c r="B22">
        <v>1</v>
      </c>
      <c r="C22">
        <v>7</v>
      </c>
      <c r="D22">
        <v>1</v>
      </c>
      <c r="E22" t="s">
        <v>33</v>
      </c>
      <c r="F22">
        <v>1</v>
      </c>
      <c r="G22">
        <v>171.393</v>
      </c>
      <c r="H22">
        <v>30.594999999999999</v>
      </c>
      <c r="I22">
        <v>19.989999999999998</v>
      </c>
      <c r="J22">
        <v>0</v>
      </c>
      <c r="K22">
        <v>86.590999999999994</v>
      </c>
      <c r="L22">
        <v>0</v>
      </c>
      <c r="M22">
        <v>0</v>
      </c>
      <c r="N22">
        <v>0</v>
      </c>
      <c r="O22">
        <v>1.5289999999999999</v>
      </c>
      <c r="P22">
        <v>2E-3</v>
      </c>
      <c r="Q22">
        <v>3.0000000000000001E-3</v>
      </c>
      <c r="R22">
        <v>0</v>
      </c>
      <c r="S22">
        <v>0.65500000000000003</v>
      </c>
      <c r="T22">
        <v>0</v>
      </c>
    </row>
    <row r="24" spans="1:33" x14ac:dyDescent="0.3">
      <c r="A24" t="s">
        <v>158</v>
      </c>
    </row>
    <row r="25" spans="1:33" x14ac:dyDescent="0.3">
      <c r="A25" t="s">
        <v>22</v>
      </c>
      <c r="B25" t="s">
        <v>23</v>
      </c>
      <c r="C25" t="s">
        <v>24</v>
      </c>
      <c r="D25" t="s">
        <v>25</v>
      </c>
      <c r="E25" t="s">
        <v>26</v>
      </c>
      <c r="F25" t="s">
        <v>121</v>
      </c>
      <c r="G25" t="s">
        <v>122</v>
      </c>
      <c r="H25" t="s">
        <v>123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Q25" t="s">
        <v>136</v>
      </c>
    </row>
    <row r="26" spans="1:33" x14ac:dyDescent="0.3">
      <c r="A26">
        <v>0</v>
      </c>
      <c r="B26">
        <v>1</v>
      </c>
      <c r="C26">
        <v>5</v>
      </c>
      <c r="D26">
        <v>1</v>
      </c>
      <c r="E26" t="s">
        <v>32</v>
      </c>
      <c r="F26">
        <v>432.26</v>
      </c>
      <c r="G26">
        <v>88.138000000000005</v>
      </c>
      <c r="H26">
        <v>588.22699999999998</v>
      </c>
      <c r="I26">
        <v>533.74300000000005</v>
      </c>
      <c r="J26">
        <v>2840.1010000000001</v>
      </c>
      <c r="K26">
        <v>5921.1229999999996</v>
      </c>
      <c r="L26">
        <v>2723.817</v>
      </c>
      <c r="M26">
        <v>1647.04</v>
      </c>
      <c r="N26">
        <v>366.71899999999999</v>
      </c>
      <c r="O26">
        <v>0</v>
      </c>
      <c r="Q26" t="s">
        <v>97</v>
      </c>
      <c r="R26" t="s">
        <v>98</v>
      </c>
      <c r="S26" t="s">
        <v>99</v>
      </c>
      <c r="T26" t="s">
        <v>100</v>
      </c>
      <c r="U26" t="s">
        <v>101</v>
      </c>
      <c r="V26" t="s">
        <v>102</v>
      </c>
      <c r="W26" t="s">
        <v>103</v>
      </c>
      <c r="X26" t="s">
        <v>104</v>
      </c>
      <c r="Y26" t="s">
        <v>105</v>
      </c>
      <c r="Z26" t="s">
        <v>106</v>
      </c>
      <c r="AA26" t="s">
        <v>107</v>
      </c>
      <c r="AB26" t="s">
        <v>109</v>
      </c>
      <c r="AC26" t="s">
        <v>110</v>
      </c>
    </row>
    <row r="27" spans="1:33" x14ac:dyDescent="0.3">
      <c r="A27">
        <v>0</v>
      </c>
      <c r="B27">
        <v>1</v>
      </c>
      <c r="C27">
        <v>6</v>
      </c>
      <c r="D27">
        <v>1</v>
      </c>
      <c r="E27" t="s">
        <v>33</v>
      </c>
      <c r="F27">
        <v>214.24100000000001</v>
      </c>
      <c r="G27">
        <v>61.189</v>
      </c>
      <c r="H27">
        <v>33.316000000000003</v>
      </c>
      <c r="I27">
        <v>141.197</v>
      </c>
      <c r="J27">
        <v>865.90899999999999</v>
      </c>
      <c r="K27">
        <v>2516.7800000000002</v>
      </c>
      <c r="L27">
        <v>1683.5650000000001</v>
      </c>
      <c r="M27">
        <v>2.1850000000000001</v>
      </c>
      <c r="N27">
        <v>6.0000000000000001E-3</v>
      </c>
      <c r="O27">
        <v>0</v>
      </c>
      <c r="Q27" s="6">
        <f>G20/F26</f>
        <v>0.65</v>
      </c>
      <c r="R27" s="6">
        <f t="shared" ref="R27:X27" si="0">H20/G26</f>
        <v>0.34999659624679474</v>
      </c>
      <c r="S27" s="6">
        <f t="shared" si="0"/>
        <v>0.49999914998801487</v>
      </c>
      <c r="T27" s="6">
        <f t="shared" si="0"/>
        <v>0</v>
      </c>
      <c r="U27" s="6">
        <f t="shared" si="0"/>
        <v>0</v>
      </c>
      <c r="V27" s="6">
        <f t="shared" si="0"/>
        <v>0</v>
      </c>
      <c r="W27" s="6">
        <f t="shared" si="0"/>
        <v>0</v>
      </c>
      <c r="X27" s="6">
        <f t="shared" si="0"/>
        <v>0</v>
      </c>
      <c r="Y27" s="6">
        <f>O20/M26</f>
        <v>0.60000000000000009</v>
      </c>
      <c r="Z27" s="6">
        <f>P20/N26</f>
        <v>0.20000054537670531</v>
      </c>
      <c r="AA27" s="6">
        <f>Q20/N26</f>
        <v>0.40000109075341062</v>
      </c>
      <c r="AB27" s="6">
        <f>S20/M26</f>
        <v>0.4</v>
      </c>
      <c r="AD27" s="5" t="s">
        <v>73</v>
      </c>
      <c r="AE27" s="5" t="s">
        <v>74</v>
      </c>
      <c r="AF27" s="5" t="s">
        <v>135</v>
      </c>
      <c r="AG27" s="5" t="s">
        <v>183</v>
      </c>
    </row>
    <row r="28" spans="1:33" x14ac:dyDescent="0.3">
      <c r="A28">
        <v>0</v>
      </c>
      <c r="B28">
        <v>1</v>
      </c>
      <c r="C28">
        <v>7</v>
      </c>
      <c r="D28">
        <v>1</v>
      </c>
      <c r="E28" t="s">
        <v>33</v>
      </c>
      <c r="F28">
        <v>214.24100000000001</v>
      </c>
      <c r="G28">
        <v>61.189</v>
      </c>
      <c r="H28">
        <v>33.316000000000003</v>
      </c>
      <c r="I28">
        <v>141.197</v>
      </c>
      <c r="J28">
        <v>865.90899999999999</v>
      </c>
      <c r="K28">
        <v>2516.7800000000002</v>
      </c>
      <c r="L28">
        <v>1683.5650000000001</v>
      </c>
      <c r="M28">
        <v>2.1850000000000001</v>
      </c>
      <c r="N28">
        <v>6.0000000000000001E-3</v>
      </c>
      <c r="O28">
        <v>0</v>
      </c>
    </row>
    <row r="29" spans="1:33" x14ac:dyDescent="0.3">
      <c r="A29">
        <v>1</v>
      </c>
      <c r="B29">
        <v>1</v>
      </c>
      <c r="C29">
        <v>5</v>
      </c>
      <c r="D29">
        <v>1</v>
      </c>
      <c r="E29" t="s">
        <v>32</v>
      </c>
      <c r="F29">
        <v>307.51299999999998</v>
      </c>
      <c r="G29">
        <v>92.900999999999996</v>
      </c>
      <c r="H29">
        <v>1563.7260000000001</v>
      </c>
      <c r="I29">
        <v>1362.952</v>
      </c>
      <c r="J29">
        <v>3782.7330000000002</v>
      </c>
      <c r="K29">
        <v>5957.7460000000001</v>
      </c>
      <c r="L29">
        <v>2736.567</v>
      </c>
      <c r="M29">
        <v>1136.46</v>
      </c>
      <c r="N29">
        <v>1366.799</v>
      </c>
      <c r="O29">
        <v>0</v>
      </c>
    </row>
    <row r="30" spans="1:33" x14ac:dyDescent="0.3">
      <c r="A30">
        <v>1</v>
      </c>
      <c r="B30">
        <v>1</v>
      </c>
      <c r="C30">
        <v>6</v>
      </c>
      <c r="D30">
        <v>1</v>
      </c>
      <c r="E30" t="s">
        <v>33</v>
      </c>
      <c r="F30">
        <v>55.198999999999998</v>
      </c>
      <c r="G30">
        <v>57.692999999999998</v>
      </c>
      <c r="H30">
        <v>493.83499999999998</v>
      </c>
      <c r="I30">
        <v>465.24299999999999</v>
      </c>
      <c r="J30">
        <v>771.98</v>
      </c>
      <c r="K30">
        <v>2519.855</v>
      </c>
      <c r="L30">
        <v>1682.5250000000001</v>
      </c>
      <c r="M30">
        <v>245.38399999999999</v>
      </c>
      <c r="N30">
        <v>592.30200000000002</v>
      </c>
      <c r="O30">
        <v>0</v>
      </c>
    </row>
    <row r="31" spans="1:33" x14ac:dyDescent="0.3">
      <c r="A31">
        <v>1</v>
      </c>
      <c r="B31">
        <v>1</v>
      </c>
      <c r="C31">
        <v>7</v>
      </c>
      <c r="D31">
        <v>1</v>
      </c>
      <c r="E31" t="s">
        <v>33</v>
      </c>
      <c r="F31">
        <v>101.211</v>
      </c>
      <c r="G31">
        <v>63.228000000000002</v>
      </c>
      <c r="H31">
        <v>523.25</v>
      </c>
      <c r="I31">
        <v>465.24299999999999</v>
      </c>
      <c r="J31">
        <v>771.548</v>
      </c>
      <c r="K31">
        <v>2523.7460000000001</v>
      </c>
      <c r="L31">
        <v>1683.1579999999999</v>
      </c>
      <c r="M31">
        <v>196.30699999999999</v>
      </c>
      <c r="N31">
        <v>676.91800000000001</v>
      </c>
      <c r="O31">
        <v>0</v>
      </c>
    </row>
  </sheetData>
  <sortState ref="A20:T22">
    <sortCondition ref="C20:C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ED9C-2400-49C5-958C-5DBDE5EB7DC9}">
  <dimension ref="A2:V40"/>
  <sheetViews>
    <sheetView topLeftCell="E18" workbookViewId="0">
      <selection activeCell="M22" sqref="M22"/>
    </sheetView>
  </sheetViews>
  <sheetFormatPr defaultRowHeight="14.4" x14ac:dyDescent="0.3"/>
  <sheetData>
    <row r="2" spans="1:17" x14ac:dyDescent="0.3">
      <c r="A2" t="s">
        <v>142</v>
      </c>
    </row>
    <row r="3" spans="1:17" x14ac:dyDescent="0.3">
      <c r="A3" t="s">
        <v>22</v>
      </c>
      <c r="B3" t="s">
        <v>143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H3" t="s">
        <v>149</v>
      </c>
      <c r="I3" t="s">
        <v>150</v>
      </c>
      <c r="J3" t="s">
        <v>151</v>
      </c>
      <c r="K3" t="s">
        <v>152</v>
      </c>
      <c r="L3" t="s">
        <v>153</v>
      </c>
    </row>
    <row r="4" spans="1:17" x14ac:dyDescent="0.3">
      <c r="A4">
        <v>2</v>
      </c>
      <c r="B4">
        <v>2</v>
      </c>
      <c r="C4" t="s">
        <v>154</v>
      </c>
      <c r="D4">
        <v>52</v>
      </c>
      <c r="E4">
        <v>3</v>
      </c>
      <c r="F4">
        <v>91</v>
      </c>
      <c r="G4">
        <v>91</v>
      </c>
      <c r="H4">
        <v>6</v>
      </c>
      <c r="I4">
        <v>6</v>
      </c>
      <c r="J4">
        <v>6</v>
      </c>
      <c r="K4">
        <v>6</v>
      </c>
      <c r="L4">
        <v>0</v>
      </c>
    </row>
    <row r="8" spans="1:17" x14ac:dyDescent="0.3">
      <c r="A8" t="s">
        <v>155</v>
      </c>
    </row>
    <row r="9" spans="1:17" x14ac:dyDescent="0.3">
      <c r="A9" t="s">
        <v>22</v>
      </c>
      <c r="B9" t="s">
        <v>23</v>
      </c>
      <c r="C9" t="s">
        <v>24</v>
      </c>
      <c r="D9" t="s">
        <v>25</v>
      </c>
      <c r="E9" t="s">
        <v>26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</row>
    <row r="10" spans="1:17" x14ac:dyDescent="0.3">
      <c r="A10">
        <v>2</v>
      </c>
      <c r="B10">
        <v>2</v>
      </c>
      <c r="C10">
        <v>3</v>
      </c>
      <c r="D10">
        <v>1</v>
      </c>
      <c r="E10" t="s">
        <v>33</v>
      </c>
      <c r="F10">
        <v>2</v>
      </c>
      <c r="G10">
        <v>381.13299999999998</v>
      </c>
      <c r="H10">
        <v>0</v>
      </c>
      <c r="I10">
        <v>355</v>
      </c>
      <c r="J10">
        <v>0</v>
      </c>
      <c r="K10">
        <v>1033.068</v>
      </c>
      <c r="L10">
        <v>0</v>
      </c>
      <c r="M10">
        <v>1261.173</v>
      </c>
      <c r="N10">
        <v>0</v>
      </c>
      <c r="O10">
        <v>276.84300000000002</v>
      </c>
      <c r="P10">
        <v>0</v>
      </c>
      <c r="Q10">
        <v>1782.799</v>
      </c>
    </row>
    <row r="11" spans="1:17" x14ac:dyDescent="0.3">
      <c r="A11">
        <v>2</v>
      </c>
      <c r="B11">
        <v>3</v>
      </c>
      <c r="C11">
        <v>3</v>
      </c>
      <c r="D11">
        <v>1</v>
      </c>
      <c r="E11" t="s">
        <v>33</v>
      </c>
      <c r="F11">
        <v>2</v>
      </c>
      <c r="G11">
        <v>381.13299999999998</v>
      </c>
      <c r="H11">
        <v>0</v>
      </c>
      <c r="I11">
        <v>355</v>
      </c>
      <c r="J11">
        <v>0</v>
      </c>
      <c r="K11">
        <v>1033.068</v>
      </c>
      <c r="L11">
        <v>0</v>
      </c>
      <c r="M11">
        <v>1261.173</v>
      </c>
      <c r="N11">
        <v>0</v>
      </c>
      <c r="O11">
        <v>276.84300000000002</v>
      </c>
      <c r="P11">
        <v>0</v>
      </c>
      <c r="Q11">
        <v>1782.799</v>
      </c>
    </row>
    <row r="12" spans="1:17" x14ac:dyDescent="0.3">
      <c r="A12">
        <v>2</v>
      </c>
      <c r="B12">
        <v>4</v>
      </c>
      <c r="C12">
        <v>9</v>
      </c>
      <c r="D12">
        <v>1</v>
      </c>
      <c r="E12" t="s">
        <v>33</v>
      </c>
      <c r="F12">
        <v>2</v>
      </c>
      <c r="G12">
        <v>381.13299999999998</v>
      </c>
      <c r="H12">
        <v>0</v>
      </c>
      <c r="I12">
        <v>355</v>
      </c>
      <c r="J12">
        <v>0</v>
      </c>
      <c r="K12">
        <v>1033.068</v>
      </c>
      <c r="L12">
        <v>0</v>
      </c>
      <c r="M12">
        <v>1261.173</v>
      </c>
      <c r="N12">
        <v>0</v>
      </c>
      <c r="O12">
        <v>276.84300000000002</v>
      </c>
      <c r="P12">
        <v>0</v>
      </c>
      <c r="Q12">
        <v>1782.799</v>
      </c>
    </row>
    <row r="13" spans="1:17" x14ac:dyDescent="0.3">
      <c r="A13">
        <v>2</v>
      </c>
      <c r="B13">
        <v>5</v>
      </c>
      <c r="C13">
        <v>9</v>
      </c>
      <c r="D13">
        <v>1</v>
      </c>
      <c r="E13" t="s">
        <v>33</v>
      </c>
      <c r="F13">
        <v>2</v>
      </c>
      <c r="G13">
        <v>381.13299999999998</v>
      </c>
      <c r="H13">
        <v>0</v>
      </c>
      <c r="I13">
        <v>355</v>
      </c>
      <c r="J13">
        <v>0</v>
      </c>
      <c r="K13">
        <v>1033.068</v>
      </c>
      <c r="L13">
        <v>0</v>
      </c>
      <c r="M13">
        <v>1261.173</v>
      </c>
      <c r="N13">
        <v>0</v>
      </c>
      <c r="O13">
        <v>276.84300000000002</v>
      </c>
      <c r="P13">
        <v>0</v>
      </c>
      <c r="Q13">
        <v>1782.799</v>
      </c>
    </row>
    <row r="14" spans="1:17" x14ac:dyDescent="0.3">
      <c r="A14">
        <v>2</v>
      </c>
      <c r="B14">
        <v>6</v>
      </c>
      <c r="C14">
        <v>9</v>
      </c>
      <c r="D14">
        <v>1</v>
      </c>
      <c r="E14" t="s">
        <v>33</v>
      </c>
      <c r="F14">
        <v>2</v>
      </c>
      <c r="G14">
        <v>381.13299999999998</v>
      </c>
      <c r="H14">
        <v>0</v>
      </c>
      <c r="I14">
        <v>355</v>
      </c>
      <c r="J14">
        <v>0</v>
      </c>
      <c r="K14">
        <v>1033.068</v>
      </c>
      <c r="L14">
        <v>0</v>
      </c>
      <c r="M14">
        <v>1261.173</v>
      </c>
      <c r="N14">
        <v>0</v>
      </c>
      <c r="O14">
        <v>276.84300000000002</v>
      </c>
      <c r="P14">
        <v>0</v>
      </c>
      <c r="Q14">
        <v>1782.799</v>
      </c>
    </row>
    <row r="15" spans="1:17" x14ac:dyDescent="0.3">
      <c r="A15">
        <v>2</v>
      </c>
      <c r="B15">
        <v>9</v>
      </c>
      <c r="C15">
        <v>4</v>
      </c>
      <c r="D15">
        <v>1</v>
      </c>
      <c r="E15" t="s">
        <v>33</v>
      </c>
      <c r="F15">
        <v>2</v>
      </c>
      <c r="G15">
        <v>381.13299999999998</v>
      </c>
      <c r="H15">
        <v>0</v>
      </c>
      <c r="I15">
        <v>355</v>
      </c>
      <c r="J15">
        <v>0</v>
      </c>
      <c r="K15">
        <v>1033.068</v>
      </c>
      <c r="L15">
        <v>0</v>
      </c>
      <c r="M15">
        <v>1261.173</v>
      </c>
      <c r="N15">
        <v>0</v>
      </c>
      <c r="O15">
        <v>276.84300000000002</v>
      </c>
      <c r="P15">
        <v>0</v>
      </c>
      <c r="Q15">
        <v>1782.799</v>
      </c>
    </row>
    <row r="17" spans="1:20" x14ac:dyDescent="0.3">
      <c r="A17" t="s">
        <v>156</v>
      </c>
    </row>
    <row r="18" spans="1:20" x14ac:dyDescent="0.3">
      <c r="A18" t="s">
        <v>22</v>
      </c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29</v>
      </c>
      <c r="I18" t="s">
        <v>30</v>
      </c>
      <c r="J18" t="s">
        <v>31</v>
      </c>
    </row>
    <row r="19" spans="1:20" x14ac:dyDescent="0.3">
      <c r="A19">
        <v>0</v>
      </c>
      <c r="B19">
        <v>2</v>
      </c>
      <c r="C19">
        <v>3</v>
      </c>
      <c r="D19">
        <v>1</v>
      </c>
      <c r="E19" t="s">
        <v>33</v>
      </c>
      <c r="F19">
        <v>90</v>
      </c>
      <c r="G19">
        <v>3201</v>
      </c>
      <c r="H19">
        <v>355.5</v>
      </c>
      <c r="I19">
        <v>1262.8</v>
      </c>
      <c r="J19">
        <v>277.2</v>
      </c>
    </row>
    <row r="20" spans="1:20" x14ac:dyDescent="0.3">
      <c r="A20">
        <v>0</v>
      </c>
      <c r="B20">
        <v>3</v>
      </c>
      <c r="C20">
        <v>3</v>
      </c>
      <c r="D20">
        <v>1</v>
      </c>
      <c r="E20" t="s">
        <v>33</v>
      </c>
      <c r="F20">
        <v>90</v>
      </c>
      <c r="G20">
        <v>3201</v>
      </c>
      <c r="H20">
        <v>355.5</v>
      </c>
      <c r="I20">
        <v>1262.8</v>
      </c>
      <c r="J20">
        <v>277.2</v>
      </c>
      <c r="L20" t="s">
        <v>131</v>
      </c>
      <c r="M20" t="s">
        <v>134</v>
      </c>
      <c r="N20" t="s">
        <v>132</v>
      </c>
      <c r="O20" t="s">
        <v>133</v>
      </c>
    </row>
    <row r="21" spans="1:20" x14ac:dyDescent="0.3">
      <c r="A21">
        <v>1</v>
      </c>
      <c r="B21">
        <v>2</v>
      </c>
      <c r="C21">
        <v>3</v>
      </c>
      <c r="D21">
        <v>1</v>
      </c>
      <c r="E21" t="s">
        <v>33</v>
      </c>
      <c r="F21">
        <v>91</v>
      </c>
      <c r="G21">
        <v>3197</v>
      </c>
      <c r="H21">
        <v>355</v>
      </c>
      <c r="I21">
        <v>1261.2</v>
      </c>
      <c r="J21">
        <v>276.8</v>
      </c>
      <c r="L21">
        <f>SUM(G10:H10,K10,L10,Q10)/G21</f>
        <v>1</v>
      </c>
      <c r="M21">
        <f>Q10/G21</f>
        <v>0.55764748201438852</v>
      </c>
      <c r="N21">
        <f>SUM(I10:J10)/H21</f>
        <v>1</v>
      </c>
      <c r="O21" s="5" t="s">
        <v>73</v>
      </c>
      <c r="P21" s="5" t="s">
        <v>74</v>
      </c>
      <c r="Q21" s="5" t="s">
        <v>135</v>
      </c>
      <c r="R21" s="5" t="s">
        <v>74</v>
      </c>
    </row>
    <row r="22" spans="1:20" x14ac:dyDescent="0.3">
      <c r="A22">
        <v>1</v>
      </c>
      <c r="B22">
        <v>3</v>
      </c>
      <c r="C22">
        <v>3</v>
      </c>
      <c r="D22">
        <v>1</v>
      </c>
      <c r="E22" t="s">
        <v>33</v>
      </c>
      <c r="F22">
        <v>91</v>
      </c>
      <c r="G22">
        <v>3197</v>
      </c>
      <c r="H22">
        <v>355</v>
      </c>
      <c r="I22">
        <v>1261.2</v>
      </c>
      <c r="J22">
        <v>276.8</v>
      </c>
    </row>
    <row r="23" spans="1:20" x14ac:dyDescent="0.3">
      <c r="A23">
        <v>2</v>
      </c>
      <c r="B23">
        <v>2</v>
      </c>
      <c r="C23">
        <v>3</v>
      </c>
      <c r="D23">
        <v>1</v>
      </c>
      <c r="E23" t="s">
        <v>32</v>
      </c>
      <c r="F23">
        <v>2</v>
      </c>
      <c r="G23">
        <v>252</v>
      </c>
      <c r="H23">
        <v>27.5</v>
      </c>
      <c r="I23">
        <v>92.4</v>
      </c>
      <c r="J23">
        <v>20.3</v>
      </c>
    </row>
    <row r="24" spans="1:20" x14ac:dyDescent="0.3">
      <c r="A24">
        <v>2</v>
      </c>
      <c r="B24">
        <v>3</v>
      </c>
      <c r="C24">
        <v>3</v>
      </c>
      <c r="D24">
        <v>1</v>
      </c>
      <c r="E24" t="s">
        <v>32</v>
      </c>
      <c r="F24">
        <v>2</v>
      </c>
      <c r="G24">
        <v>252</v>
      </c>
      <c r="H24">
        <v>27.5</v>
      </c>
      <c r="I24">
        <v>92.4</v>
      </c>
      <c r="J24">
        <v>20.3</v>
      </c>
    </row>
    <row r="25" spans="1:20" x14ac:dyDescent="0.3">
      <c r="A25">
        <v>3</v>
      </c>
      <c r="B25">
        <v>2</v>
      </c>
      <c r="C25">
        <v>3</v>
      </c>
      <c r="D25">
        <v>1</v>
      </c>
      <c r="E25" t="s">
        <v>32</v>
      </c>
      <c r="F25">
        <v>3</v>
      </c>
      <c r="G25">
        <v>282</v>
      </c>
      <c r="H25">
        <v>31</v>
      </c>
      <c r="I25">
        <v>103.4</v>
      </c>
      <c r="J25">
        <v>22.7</v>
      </c>
    </row>
    <row r="26" spans="1:20" x14ac:dyDescent="0.3">
      <c r="A26">
        <v>3</v>
      </c>
      <c r="B26">
        <v>3</v>
      </c>
      <c r="C26">
        <v>3</v>
      </c>
      <c r="D26">
        <v>1</v>
      </c>
      <c r="E26" t="s">
        <v>32</v>
      </c>
      <c r="F26">
        <v>3</v>
      </c>
      <c r="G26">
        <v>282</v>
      </c>
      <c r="H26">
        <v>31</v>
      </c>
      <c r="I26">
        <v>103.4</v>
      </c>
      <c r="J26">
        <v>22.7</v>
      </c>
    </row>
    <row r="28" spans="1:20" x14ac:dyDescent="0.3">
      <c r="A28" t="s">
        <v>157</v>
      </c>
    </row>
    <row r="29" spans="1:20" x14ac:dyDescent="0.3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38</v>
      </c>
      <c r="G29" t="s">
        <v>97</v>
      </c>
      <c r="H29" t="s">
        <v>98</v>
      </c>
      <c r="I29" t="s">
        <v>99</v>
      </c>
      <c r="J29" t="s">
        <v>100</v>
      </c>
      <c r="K29" t="s">
        <v>101</v>
      </c>
      <c r="L29" t="s">
        <v>102</v>
      </c>
      <c r="M29" t="s">
        <v>103</v>
      </c>
      <c r="N29" t="s">
        <v>104</v>
      </c>
      <c r="O29" t="s">
        <v>105</v>
      </c>
      <c r="P29" t="s">
        <v>106</v>
      </c>
      <c r="Q29" t="s">
        <v>107</v>
      </c>
      <c r="R29" t="s">
        <v>108</v>
      </c>
      <c r="S29" t="s">
        <v>109</v>
      </c>
      <c r="T29" t="s">
        <v>110</v>
      </c>
    </row>
    <row r="30" spans="1:20" x14ac:dyDescent="0.3">
      <c r="A30">
        <v>2</v>
      </c>
      <c r="B30">
        <v>2</v>
      </c>
      <c r="C30">
        <v>3</v>
      </c>
      <c r="D30">
        <v>1</v>
      </c>
      <c r="E30" t="s">
        <v>33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268.83300000000003</v>
      </c>
      <c r="P30">
        <v>0</v>
      </c>
      <c r="Q30">
        <v>222.38800000000001</v>
      </c>
      <c r="R30">
        <v>0</v>
      </c>
      <c r="S30">
        <v>403.25</v>
      </c>
      <c r="T30">
        <v>0</v>
      </c>
    </row>
    <row r="31" spans="1:20" x14ac:dyDescent="0.3">
      <c r="A31">
        <v>2</v>
      </c>
      <c r="B31">
        <v>3</v>
      </c>
      <c r="C31">
        <v>3</v>
      </c>
      <c r="D31">
        <v>1</v>
      </c>
      <c r="E31" t="s">
        <v>33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268.83300000000003</v>
      </c>
      <c r="P31">
        <v>0</v>
      </c>
      <c r="Q31">
        <v>222.38800000000001</v>
      </c>
      <c r="R31">
        <v>0</v>
      </c>
      <c r="S31">
        <v>403.25</v>
      </c>
      <c r="T31">
        <v>0</v>
      </c>
    </row>
    <row r="33" spans="1:22" x14ac:dyDescent="0.3">
      <c r="A33" t="s">
        <v>158</v>
      </c>
    </row>
    <row r="34" spans="1:22" x14ac:dyDescent="0.3">
      <c r="A34" t="s">
        <v>22</v>
      </c>
      <c r="B34" t="s">
        <v>23</v>
      </c>
      <c r="C34" t="s">
        <v>24</v>
      </c>
      <c r="D34" t="s">
        <v>25</v>
      </c>
      <c r="E34" t="s">
        <v>26</v>
      </c>
      <c r="F34" t="s">
        <v>121</v>
      </c>
      <c r="G34" t="s">
        <v>122</v>
      </c>
      <c r="H34" t="s">
        <v>123</v>
      </c>
      <c r="I34" t="s">
        <v>124</v>
      </c>
      <c r="J34" t="s">
        <v>125</v>
      </c>
      <c r="K34" t="s">
        <v>126</v>
      </c>
      <c r="L34" t="s">
        <v>127</v>
      </c>
      <c r="M34" t="s">
        <v>128</v>
      </c>
      <c r="N34" t="s">
        <v>129</v>
      </c>
      <c r="O34" t="s">
        <v>130</v>
      </c>
    </row>
    <row r="35" spans="1:22" x14ac:dyDescent="0.3">
      <c r="A35">
        <v>0</v>
      </c>
      <c r="B35">
        <v>2</v>
      </c>
      <c r="C35">
        <v>3</v>
      </c>
      <c r="D35">
        <v>1</v>
      </c>
      <c r="E35" t="s">
        <v>33</v>
      </c>
      <c r="F35">
        <v>376.68200000000002</v>
      </c>
      <c r="G35">
        <v>126.63200000000001</v>
      </c>
      <c r="H35">
        <v>374.61700000000002</v>
      </c>
      <c r="I35">
        <v>357.60599999999999</v>
      </c>
      <c r="J35">
        <v>982.48</v>
      </c>
      <c r="K35">
        <v>3285.826</v>
      </c>
      <c r="L35">
        <v>1958.3979999999999</v>
      </c>
      <c r="M35">
        <v>666.77099999999996</v>
      </c>
      <c r="N35">
        <v>223.66499999999999</v>
      </c>
      <c r="O35">
        <v>0</v>
      </c>
      <c r="Q35" t="s">
        <v>159</v>
      </c>
      <c r="R35" t="s">
        <v>160</v>
      </c>
    </row>
    <row r="36" spans="1:22" x14ac:dyDescent="0.3">
      <c r="A36">
        <v>1</v>
      </c>
      <c r="B36">
        <v>2</v>
      </c>
      <c r="C36">
        <v>3</v>
      </c>
      <c r="D36">
        <v>1</v>
      </c>
      <c r="E36" t="s">
        <v>33</v>
      </c>
      <c r="F36">
        <v>376.06200000000001</v>
      </c>
      <c r="G36">
        <v>126.551</v>
      </c>
      <c r="H36">
        <v>373.73099999999999</v>
      </c>
      <c r="I36">
        <v>359.99900000000002</v>
      </c>
      <c r="J36">
        <v>991.86199999999997</v>
      </c>
      <c r="K36">
        <v>3301.3040000000001</v>
      </c>
      <c r="L36">
        <v>1965.046</v>
      </c>
      <c r="M36">
        <v>672.08299999999997</v>
      </c>
      <c r="N36">
        <v>222.38800000000001</v>
      </c>
      <c r="O36">
        <v>0</v>
      </c>
      <c r="Q36">
        <f>SUM(O30:T30)/SUM(M36:N36)</f>
        <v>1</v>
      </c>
      <c r="R36">
        <f>S30/M35</f>
        <v>0.60478035187493162</v>
      </c>
      <c r="S36" s="5" t="s">
        <v>73</v>
      </c>
      <c r="T36" s="5" t="s">
        <v>74</v>
      </c>
      <c r="U36" s="5" t="s">
        <v>135</v>
      </c>
      <c r="V36" s="5" t="s">
        <v>74</v>
      </c>
    </row>
    <row r="37" spans="1:22" x14ac:dyDescent="0.3">
      <c r="A37">
        <v>2</v>
      </c>
      <c r="B37">
        <v>2</v>
      </c>
      <c r="C37">
        <v>3</v>
      </c>
      <c r="D37">
        <v>1</v>
      </c>
      <c r="E37" t="s">
        <v>33</v>
      </c>
      <c r="F37">
        <v>646.33000000000004</v>
      </c>
      <c r="G37">
        <v>159.78399999999999</v>
      </c>
      <c r="H37">
        <v>1315.7860000000001</v>
      </c>
      <c r="I37">
        <v>961.17200000000003</v>
      </c>
      <c r="J37">
        <v>1245.681</v>
      </c>
      <c r="K37">
        <v>3356.576</v>
      </c>
      <c r="L37">
        <v>1978.675</v>
      </c>
      <c r="M37">
        <v>359.42099999999999</v>
      </c>
      <c r="N37">
        <v>731.74</v>
      </c>
      <c r="O37">
        <v>0</v>
      </c>
    </row>
    <row r="38" spans="1:22" x14ac:dyDescent="0.3">
      <c r="A38">
        <v>2</v>
      </c>
      <c r="B38">
        <v>2</v>
      </c>
      <c r="C38">
        <v>3</v>
      </c>
      <c r="D38">
        <v>1</v>
      </c>
      <c r="E38" t="s">
        <v>32</v>
      </c>
      <c r="F38">
        <v>15.378</v>
      </c>
      <c r="G38">
        <v>6.1130000000000004</v>
      </c>
      <c r="H38">
        <v>0.81799999999999995</v>
      </c>
      <c r="I38">
        <v>0.89600000000000002</v>
      </c>
      <c r="J38">
        <v>0</v>
      </c>
      <c r="K38">
        <v>0.99199999999999999</v>
      </c>
      <c r="L38">
        <v>0.68500000000000005</v>
      </c>
      <c r="M38">
        <v>0</v>
      </c>
      <c r="N38">
        <v>0</v>
      </c>
      <c r="O38">
        <v>0</v>
      </c>
    </row>
    <row r="39" spans="1:22" x14ac:dyDescent="0.3">
      <c r="A39">
        <v>3</v>
      </c>
      <c r="B39">
        <v>2</v>
      </c>
      <c r="C39">
        <v>3</v>
      </c>
      <c r="D39">
        <v>1</v>
      </c>
      <c r="E39" t="s">
        <v>33</v>
      </c>
      <c r="F39">
        <v>480.45</v>
      </c>
      <c r="G39">
        <v>96.352999999999994</v>
      </c>
      <c r="H39">
        <v>1230.713</v>
      </c>
      <c r="I39">
        <v>932.63099999999997</v>
      </c>
      <c r="J39">
        <v>1242.21</v>
      </c>
      <c r="K39">
        <v>3397.62</v>
      </c>
      <c r="L39">
        <v>1985.21</v>
      </c>
      <c r="M39">
        <v>328.1</v>
      </c>
      <c r="N39">
        <v>621.96500000000003</v>
      </c>
      <c r="O39">
        <v>0</v>
      </c>
    </row>
    <row r="40" spans="1:22" x14ac:dyDescent="0.3">
      <c r="A40">
        <v>3</v>
      </c>
      <c r="B40">
        <v>2</v>
      </c>
      <c r="C40">
        <v>3</v>
      </c>
      <c r="D40">
        <v>1</v>
      </c>
      <c r="E40" t="s">
        <v>32</v>
      </c>
      <c r="F40">
        <v>28.619</v>
      </c>
      <c r="G40">
        <v>10.532</v>
      </c>
      <c r="H40">
        <v>1.6419999999999999</v>
      </c>
      <c r="I40">
        <v>1.873</v>
      </c>
      <c r="J40">
        <v>0</v>
      </c>
      <c r="K40">
        <v>2.8319999999999999</v>
      </c>
      <c r="L40">
        <v>1.8620000000000001</v>
      </c>
      <c r="M40">
        <v>0</v>
      </c>
      <c r="N40">
        <v>0</v>
      </c>
      <c r="O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2868-0A65-4878-9E7F-4BEDD8FA1ABF}">
  <dimension ref="A2:BH88"/>
  <sheetViews>
    <sheetView tabSelected="1" topLeftCell="R70" workbookViewId="0">
      <selection activeCell="V88" sqref="V88"/>
    </sheetView>
  </sheetViews>
  <sheetFormatPr defaultRowHeight="14.4" x14ac:dyDescent="0.3"/>
  <cols>
    <col min="27" max="27" width="16.77734375" customWidth="1"/>
    <col min="33" max="33" width="8.88671875" customWidth="1"/>
    <col min="34" max="34" width="13.44140625" customWidth="1"/>
    <col min="35" max="35" width="10.5546875" bestFit="1" customWidth="1"/>
    <col min="36" max="36" width="12.21875" bestFit="1" customWidth="1"/>
    <col min="37" max="37" width="14.88671875" customWidth="1"/>
    <col min="38" max="38" width="13.6640625" bestFit="1" customWidth="1"/>
    <col min="40" max="40" width="13.6640625" bestFit="1" customWidth="1"/>
    <col min="42" max="42" width="12" bestFit="1" customWidth="1"/>
    <col min="43" max="43" width="12.44140625" bestFit="1" customWidth="1"/>
    <col min="44" max="44" width="14.21875" bestFit="1" customWidth="1"/>
    <col min="45" max="45" width="12.44140625" bestFit="1" customWidth="1"/>
    <col min="46" max="46" width="14.21875" bestFit="1" customWidth="1"/>
    <col min="47" max="47" width="14.44140625" bestFit="1" customWidth="1"/>
    <col min="48" max="48" width="16.109375" bestFit="1" customWidth="1"/>
    <col min="49" max="49" width="15.44140625" customWidth="1"/>
    <col min="50" max="50" width="13.33203125" bestFit="1" customWidth="1"/>
    <col min="51" max="51" width="15" bestFit="1" customWidth="1"/>
    <col min="52" max="52" width="12.6640625" bestFit="1" customWidth="1"/>
    <col min="54" max="54" width="12.33203125" bestFit="1" customWidth="1"/>
    <col min="55" max="55" width="15" bestFit="1" customWidth="1"/>
    <col min="56" max="56" width="11.88671875" bestFit="1" customWidth="1"/>
    <col min="57" max="57" width="19.5546875" bestFit="1" customWidth="1"/>
    <col min="58" max="58" width="13.21875" bestFit="1" customWidth="1"/>
    <col min="59" max="59" width="11.44140625" bestFit="1" customWidth="1"/>
  </cols>
  <sheetData>
    <row r="2" spans="1:32" x14ac:dyDescent="0.3">
      <c r="A2" t="s">
        <v>21</v>
      </c>
      <c r="L2" t="s">
        <v>201</v>
      </c>
      <c r="O2" s="5" t="s">
        <v>217</v>
      </c>
      <c r="P2" s="5"/>
      <c r="Q2" s="5"/>
    </row>
    <row r="4" spans="1:32" x14ac:dyDescent="0.3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</row>
    <row r="5" spans="1:32" x14ac:dyDescent="0.3">
      <c r="A5" t="s">
        <v>34</v>
      </c>
      <c r="K5" t="s">
        <v>216</v>
      </c>
      <c r="V5" t="s">
        <v>216</v>
      </c>
    </row>
    <row r="6" spans="1:32" x14ac:dyDescent="0.3">
      <c r="A6">
        <v>0</v>
      </c>
      <c r="B6">
        <v>2</v>
      </c>
      <c r="C6">
        <v>1</v>
      </c>
      <c r="D6">
        <v>0</v>
      </c>
      <c r="E6" t="s">
        <v>32</v>
      </c>
      <c r="F6">
        <v>1</v>
      </c>
      <c r="G6">
        <v>225</v>
      </c>
      <c r="H6">
        <v>25</v>
      </c>
      <c r="I6">
        <v>82.6</v>
      </c>
      <c r="J6">
        <v>18.100000000000001</v>
      </c>
      <c r="L6">
        <v>0</v>
      </c>
      <c r="M6">
        <v>2</v>
      </c>
      <c r="N6">
        <v>1</v>
      </c>
      <c r="O6">
        <v>0</v>
      </c>
      <c r="P6" t="s">
        <v>32</v>
      </c>
      <c r="Q6">
        <v>1</v>
      </c>
      <c r="R6">
        <v>225</v>
      </c>
      <c r="S6">
        <v>25</v>
      </c>
      <c r="T6">
        <v>82.6</v>
      </c>
      <c r="U6">
        <v>18.100000000000001</v>
      </c>
      <c r="W6" s="6" t="e">
        <f>A6/L6</f>
        <v>#DIV/0!</v>
      </c>
      <c r="X6" s="6">
        <f t="shared" ref="X6:AF6" si="0">B6/M6</f>
        <v>1</v>
      </c>
      <c r="Y6" s="6">
        <f t="shared" si="0"/>
        <v>1</v>
      </c>
      <c r="Z6" s="6" t="e">
        <f t="shared" si="0"/>
        <v>#DIV/0!</v>
      </c>
      <c r="AA6" s="6" t="e">
        <f t="shared" si="0"/>
        <v>#VALUE!</v>
      </c>
      <c r="AB6" s="6">
        <f t="shared" si="0"/>
        <v>1</v>
      </c>
      <c r="AC6" s="6">
        <f t="shared" si="0"/>
        <v>1</v>
      </c>
      <c r="AD6" s="6">
        <f t="shared" si="0"/>
        <v>1</v>
      </c>
      <c r="AE6" s="6">
        <f t="shared" si="0"/>
        <v>1</v>
      </c>
      <c r="AF6" s="6">
        <f t="shared" si="0"/>
        <v>1</v>
      </c>
    </row>
    <row r="7" spans="1:32" x14ac:dyDescent="0.3">
      <c r="A7">
        <v>1</v>
      </c>
      <c r="B7">
        <v>2</v>
      </c>
      <c r="C7">
        <v>1</v>
      </c>
      <c r="D7">
        <v>0</v>
      </c>
      <c r="E7" t="s">
        <v>32</v>
      </c>
      <c r="F7">
        <v>2</v>
      </c>
      <c r="G7">
        <v>252</v>
      </c>
      <c r="H7">
        <v>27.5</v>
      </c>
      <c r="I7">
        <v>92.4</v>
      </c>
      <c r="J7">
        <v>20.3</v>
      </c>
      <c r="K7">
        <f>SUM(G7:J7)-SUM(G6:J6)</f>
        <v>41.499999999999943</v>
      </c>
      <c r="L7">
        <v>1</v>
      </c>
      <c r="M7">
        <v>2</v>
      </c>
      <c r="N7">
        <v>1</v>
      </c>
      <c r="O7">
        <v>0</v>
      </c>
      <c r="P7" t="s">
        <v>32</v>
      </c>
      <c r="Q7">
        <v>2</v>
      </c>
      <c r="R7">
        <v>252</v>
      </c>
      <c r="S7">
        <v>27.5</v>
      </c>
      <c r="T7">
        <v>92.4</v>
      </c>
      <c r="U7">
        <v>20.3</v>
      </c>
      <c r="V7">
        <f>SUM(R7:U7)-SUM(R6:U6)</f>
        <v>41.499999999999943</v>
      </c>
      <c r="W7" s="6">
        <f t="shared" ref="W7:W18" si="1">A7/L7</f>
        <v>1</v>
      </c>
      <c r="X7" s="6">
        <f t="shared" ref="X7:X18" si="2">B7/M7</f>
        <v>1</v>
      </c>
      <c r="Y7" s="6">
        <f t="shared" ref="Y7:Y18" si="3">C7/N7</f>
        <v>1</v>
      </c>
      <c r="Z7" s="6" t="e">
        <f t="shared" ref="Z7:Z18" si="4">D7/O7</f>
        <v>#DIV/0!</v>
      </c>
      <c r="AA7" s="6" t="e">
        <f t="shared" ref="AA7:AA18" si="5">E7/P7</f>
        <v>#VALUE!</v>
      </c>
      <c r="AB7" s="6">
        <f t="shared" ref="AB7:AB18" si="6">F7/Q7</f>
        <v>1</v>
      </c>
      <c r="AC7" s="6">
        <f t="shared" ref="AC7:AC18" si="7">G7/R7</f>
        <v>1</v>
      </c>
      <c r="AD7" s="6">
        <f t="shared" ref="AD7:AD18" si="8">H7/S7</f>
        <v>1</v>
      </c>
      <c r="AE7" s="6">
        <f t="shared" ref="AE7:AE18" si="9">I7/T7</f>
        <v>1</v>
      </c>
      <c r="AF7" s="6">
        <f t="shared" ref="AF7:AF18" si="10">J7/U7</f>
        <v>1</v>
      </c>
    </row>
    <row r="8" spans="1:32" x14ac:dyDescent="0.3">
      <c r="A8">
        <v>2</v>
      </c>
      <c r="B8">
        <v>2</v>
      </c>
      <c r="C8">
        <v>1</v>
      </c>
      <c r="D8">
        <v>0</v>
      </c>
      <c r="E8" t="s">
        <v>32</v>
      </c>
      <c r="F8">
        <v>3</v>
      </c>
      <c r="G8">
        <v>282</v>
      </c>
      <c r="H8">
        <v>31</v>
      </c>
      <c r="I8">
        <v>103.4</v>
      </c>
      <c r="J8">
        <v>22.7</v>
      </c>
      <c r="K8">
        <f t="shared" ref="K8:K18" si="11">SUM(G8:J8)-SUM(G7:J7)</f>
        <v>46.899999999999977</v>
      </c>
      <c r="L8">
        <v>2</v>
      </c>
      <c r="M8">
        <v>2</v>
      </c>
      <c r="N8">
        <v>1</v>
      </c>
      <c r="O8">
        <v>0</v>
      </c>
      <c r="P8" t="s">
        <v>32</v>
      </c>
      <c r="Q8">
        <v>3</v>
      </c>
      <c r="R8">
        <v>282</v>
      </c>
      <c r="S8">
        <v>31</v>
      </c>
      <c r="T8">
        <v>103.4</v>
      </c>
      <c r="U8">
        <v>22.7</v>
      </c>
      <c r="V8">
        <f t="shared" ref="V8:V18" si="12">SUM(R8:U8)-SUM(R7:U7)</f>
        <v>46.899999999999977</v>
      </c>
      <c r="W8" s="6">
        <f t="shared" si="1"/>
        <v>1</v>
      </c>
      <c r="X8" s="6">
        <f t="shared" si="2"/>
        <v>1</v>
      </c>
      <c r="Y8" s="6">
        <f t="shared" si="3"/>
        <v>1</v>
      </c>
      <c r="Z8" s="6" t="e">
        <f t="shared" si="4"/>
        <v>#DIV/0!</v>
      </c>
      <c r="AA8" s="6" t="e">
        <f t="shared" si="5"/>
        <v>#VALUE!</v>
      </c>
      <c r="AB8" s="6">
        <f t="shared" si="6"/>
        <v>1</v>
      </c>
      <c r="AC8" s="6">
        <f t="shared" si="7"/>
        <v>1</v>
      </c>
      <c r="AD8" s="6">
        <f t="shared" si="8"/>
        <v>1</v>
      </c>
      <c r="AE8" s="6">
        <f t="shared" si="9"/>
        <v>1</v>
      </c>
      <c r="AF8" s="6">
        <f t="shared" si="10"/>
        <v>1</v>
      </c>
    </row>
    <row r="9" spans="1:32" x14ac:dyDescent="0.3">
      <c r="A9">
        <v>3</v>
      </c>
      <c r="B9">
        <v>2</v>
      </c>
      <c r="C9">
        <v>1</v>
      </c>
      <c r="D9">
        <v>0</v>
      </c>
      <c r="E9" t="s">
        <v>32</v>
      </c>
      <c r="F9">
        <v>4</v>
      </c>
      <c r="G9" s="7">
        <v>316</v>
      </c>
      <c r="H9" s="7">
        <v>35</v>
      </c>
      <c r="I9">
        <v>116</v>
      </c>
      <c r="J9">
        <v>25.5</v>
      </c>
      <c r="K9">
        <f t="shared" si="11"/>
        <v>53.400000000000034</v>
      </c>
      <c r="L9">
        <v>3</v>
      </c>
      <c r="M9">
        <v>2</v>
      </c>
      <c r="N9">
        <v>1</v>
      </c>
      <c r="O9">
        <v>0</v>
      </c>
      <c r="P9" t="s">
        <v>32</v>
      </c>
      <c r="Q9">
        <v>4</v>
      </c>
      <c r="R9">
        <v>316.5</v>
      </c>
      <c r="S9">
        <v>35</v>
      </c>
      <c r="T9">
        <v>116.2</v>
      </c>
      <c r="U9">
        <v>25.5</v>
      </c>
      <c r="V9">
        <f t="shared" si="12"/>
        <v>54.100000000000023</v>
      </c>
      <c r="W9" s="6">
        <f t="shared" si="1"/>
        <v>1</v>
      </c>
      <c r="X9" s="6">
        <f t="shared" si="2"/>
        <v>1</v>
      </c>
      <c r="Y9" s="6">
        <f t="shared" si="3"/>
        <v>1</v>
      </c>
      <c r="Z9" s="6" t="e">
        <f t="shared" si="4"/>
        <v>#DIV/0!</v>
      </c>
      <c r="AA9" s="6" t="e">
        <f t="shared" si="5"/>
        <v>#VALUE!</v>
      </c>
      <c r="AB9" s="6">
        <f t="shared" si="6"/>
        <v>1</v>
      </c>
      <c r="AC9" s="6">
        <f t="shared" si="7"/>
        <v>0.99842022116903628</v>
      </c>
      <c r="AD9" s="6">
        <f t="shared" si="8"/>
        <v>1</v>
      </c>
      <c r="AE9" s="6">
        <f t="shared" si="9"/>
        <v>0.99827882960413084</v>
      </c>
      <c r="AF9" s="6">
        <f t="shared" si="10"/>
        <v>1</v>
      </c>
    </row>
    <row r="10" spans="1:32" x14ac:dyDescent="0.3">
      <c r="A10">
        <v>4</v>
      </c>
      <c r="B10">
        <v>2</v>
      </c>
      <c r="C10">
        <v>1</v>
      </c>
      <c r="D10">
        <v>0</v>
      </c>
      <c r="E10" t="s">
        <v>32</v>
      </c>
      <c r="F10">
        <v>5</v>
      </c>
      <c r="G10">
        <v>355.5</v>
      </c>
      <c r="H10" s="5">
        <v>39</v>
      </c>
      <c r="I10">
        <v>130.4</v>
      </c>
      <c r="J10">
        <v>28.6</v>
      </c>
      <c r="K10">
        <f t="shared" si="11"/>
        <v>61</v>
      </c>
      <c r="L10">
        <v>4</v>
      </c>
      <c r="M10">
        <v>2</v>
      </c>
      <c r="N10">
        <v>1</v>
      </c>
      <c r="O10">
        <v>0</v>
      </c>
      <c r="P10" t="s">
        <v>32</v>
      </c>
      <c r="Q10">
        <v>5</v>
      </c>
      <c r="R10">
        <v>355.5</v>
      </c>
      <c r="S10" s="5">
        <v>39.5</v>
      </c>
      <c r="T10">
        <v>130.5</v>
      </c>
      <c r="U10">
        <v>28.7</v>
      </c>
      <c r="V10">
        <f t="shared" si="12"/>
        <v>61.000000000000057</v>
      </c>
      <c r="W10" s="6">
        <f t="shared" si="1"/>
        <v>1</v>
      </c>
      <c r="X10" s="6">
        <f t="shared" si="2"/>
        <v>1</v>
      </c>
      <c r="Y10" s="6">
        <f t="shared" si="3"/>
        <v>1</v>
      </c>
      <c r="Z10" s="6" t="e">
        <f t="shared" si="4"/>
        <v>#DIV/0!</v>
      </c>
      <c r="AA10" s="6" t="e">
        <f t="shared" si="5"/>
        <v>#VALUE!</v>
      </c>
      <c r="AB10" s="6">
        <f t="shared" si="6"/>
        <v>1</v>
      </c>
      <c r="AC10" s="6">
        <f t="shared" si="7"/>
        <v>1</v>
      </c>
      <c r="AD10" s="6">
        <f>H10/S10</f>
        <v>0.98734177215189878</v>
      </c>
      <c r="AE10" s="6">
        <f t="shared" si="9"/>
        <v>0.99923371647509585</v>
      </c>
      <c r="AF10" s="6">
        <f t="shared" si="10"/>
        <v>0.99651567944250874</v>
      </c>
    </row>
    <row r="11" spans="1:32" x14ac:dyDescent="0.3">
      <c r="A11">
        <v>5</v>
      </c>
      <c r="B11">
        <v>2</v>
      </c>
      <c r="C11">
        <v>1</v>
      </c>
      <c r="D11">
        <v>0</v>
      </c>
      <c r="E11" t="s">
        <v>32</v>
      </c>
      <c r="F11">
        <v>6</v>
      </c>
      <c r="G11">
        <v>400</v>
      </c>
      <c r="H11">
        <v>44</v>
      </c>
      <c r="I11">
        <v>146.69999999999999</v>
      </c>
      <c r="J11">
        <v>32.200000000000003</v>
      </c>
      <c r="K11">
        <f t="shared" si="11"/>
        <v>69.400000000000091</v>
      </c>
      <c r="L11">
        <v>5</v>
      </c>
      <c r="M11">
        <v>2</v>
      </c>
      <c r="N11">
        <v>1</v>
      </c>
      <c r="O11">
        <v>0</v>
      </c>
      <c r="P11" t="s">
        <v>32</v>
      </c>
      <c r="Q11">
        <v>6</v>
      </c>
      <c r="R11">
        <v>400.5</v>
      </c>
      <c r="S11">
        <v>44</v>
      </c>
      <c r="T11">
        <v>146.9</v>
      </c>
      <c r="U11">
        <v>32.200000000000003</v>
      </c>
      <c r="V11">
        <f t="shared" si="12"/>
        <v>69.399999999999977</v>
      </c>
      <c r="W11" s="6">
        <f>A11/L11</f>
        <v>1</v>
      </c>
      <c r="X11" s="6">
        <f t="shared" si="2"/>
        <v>1</v>
      </c>
      <c r="Y11" s="6">
        <f t="shared" si="3"/>
        <v>1</v>
      </c>
      <c r="Z11" s="6" t="e">
        <f t="shared" si="4"/>
        <v>#DIV/0!</v>
      </c>
      <c r="AA11" s="6" t="e">
        <f t="shared" si="5"/>
        <v>#VALUE!</v>
      </c>
      <c r="AB11" s="6">
        <f t="shared" si="6"/>
        <v>1</v>
      </c>
      <c r="AC11" s="6">
        <f t="shared" si="7"/>
        <v>0.99875156054931336</v>
      </c>
      <c r="AD11" s="6">
        <f t="shared" si="8"/>
        <v>1</v>
      </c>
      <c r="AE11" s="6">
        <f t="shared" si="9"/>
        <v>0.99863852961198085</v>
      </c>
      <c r="AF11" s="6">
        <f t="shared" si="10"/>
        <v>1</v>
      </c>
    </row>
    <row r="12" spans="1:32" x14ac:dyDescent="0.3">
      <c r="A12">
        <v>6</v>
      </c>
      <c r="B12">
        <v>2</v>
      </c>
      <c r="C12">
        <v>1</v>
      </c>
      <c r="D12">
        <v>0</v>
      </c>
      <c r="E12" t="s">
        <v>32</v>
      </c>
      <c r="F12">
        <v>7</v>
      </c>
      <c r="G12">
        <v>450.5</v>
      </c>
      <c r="H12">
        <v>50</v>
      </c>
      <c r="I12">
        <v>165.4</v>
      </c>
      <c r="J12">
        <v>36.299999999999997</v>
      </c>
      <c r="K12">
        <f t="shared" si="11"/>
        <v>79.299999999999841</v>
      </c>
      <c r="L12">
        <v>6</v>
      </c>
      <c r="M12">
        <v>2</v>
      </c>
      <c r="N12">
        <v>1</v>
      </c>
      <c r="O12">
        <v>0</v>
      </c>
      <c r="P12" t="s">
        <v>32</v>
      </c>
      <c r="Q12">
        <v>7</v>
      </c>
      <c r="R12">
        <v>451</v>
      </c>
      <c r="S12">
        <v>50</v>
      </c>
      <c r="T12">
        <v>165.6</v>
      </c>
      <c r="U12">
        <v>36.299999999999997</v>
      </c>
      <c r="V12">
        <f t="shared" si="12"/>
        <v>79.299999999999955</v>
      </c>
      <c r="W12" s="6">
        <f t="shared" si="1"/>
        <v>1</v>
      </c>
      <c r="X12" s="6">
        <f t="shared" si="2"/>
        <v>1</v>
      </c>
      <c r="Y12" s="6">
        <f t="shared" si="3"/>
        <v>1</v>
      </c>
      <c r="Z12" s="6" t="e">
        <f t="shared" si="4"/>
        <v>#DIV/0!</v>
      </c>
      <c r="AA12" s="6" t="e">
        <f t="shared" si="5"/>
        <v>#VALUE!</v>
      </c>
      <c r="AB12" s="6">
        <f t="shared" si="6"/>
        <v>1</v>
      </c>
      <c r="AC12" s="6">
        <f t="shared" si="7"/>
        <v>0.99889135254988914</v>
      </c>
      <c r="AD12" s="6">
        <f t="shared" si="8"/>
        <v>1</v>
      </c>
      <c r="AE12" s="6">
        <f t="shared" si="9"/>
        <v>0.99879227053140107</v>
      </c>
      <c r="AF12" s="6">
        <f t="shared" si="10"/>
        <v>1</v>
      </c>
    </row>
    <row r="13" spans="1:32" x14ac:dyDescent="0.3">
      <c r="A13">
        <v>7</v>
      </c>
      <c r="B13">
        <v>2</v>
      </c>
      <c r="C13">
        <v>1</v>
      </c>
      <c r="D13">
        <v>0</v>
      </c>
      <c r="E13" t="s">
        <v>32</v>
      </c>
      <c r="F13">
        <v>8</v>
      </c>
      <c r="G13">
        <v>508.5</v>
      </c>
      <c r="H13" s="5">
        <v>56</v>
      </c>
      <c r="I13">
        <v>186.5</v>
      </c>
      <c r="J13">
        <v>40.9</v>
      </c>
      <c r="K13">
        <f t="shared" si="11"/>
        <v>89.700000000000045</v>
      </c>
      <c r="L13">
        <v>7</v>
      </c>
      <c r="M13">
        <v>2</v>
      </c>
      <c r="N13">
        <v>1</v>
      </c>
      <c r="O13">
        <v>0</v>
      </c>
      <c r="P13" t="s">
        <v>32</v>
      </c>
      <c r="Q13">
        <v>8</v>
      </c>
      <c r="R13">
        <v>508.5</v>
      </c>
      <c r="S13" s="5">
        <v>56.5</v>
      </c>
      <c r="T13">
        <v>186.7</v>
      </c>
      <c r="U13">
        <v>41</v>
      </c>
      <c r="V13">
        <f t="shared" si="12"/>
        <v>89.800000000000068</v>
      </c>
      <c r="W13" s="6">
        <f t="shared" si="1"/>
        <v>1</v>
      </c>
      <c r="X13" s="6">
        <f t="shared" si="2"/>
        <v>1</v>
      </c>
      <c r="Y13" s="6">
        <f t="shared" si="3"/>
        <v>1</v>
      </c>
      <c r="Z13" s="6" t="e">
        <f t="shared" si="4"/>
        <v>#DIV/0!</v>
      </c>
      <c r="AA13" s="6" t="e">
        <f t="shared" si="5"/>
        <v>#VALUE!</v>
      </c>
      <c r="AB13" s="6">
        <f t="shared" si="6"/>
        <v>1</v>
      </c>
      <c r="AC13" s="6">
        <f t="shared" si="7"/>
        <v>1</v>
      </c>
      <c r="AD13" s="6">
        <f t="shared" si="8"/>
        <v>0.99115044247787609</v>
      </c>
      <c r="AE13" s="6">
        <f t="shared" si="9"/>
        <v>0.99892876272094278</v>
      </c>
      <c r="AF13" s="6">
        <f t="shared" si="10"/>
        <v>0.9975609756097561</v>
      </c>
    </row>
    <row r="14" spans="1:32" x14ac:dyDescent="0.3">
      <c r="A14">
        <v>8</v>
      </c>
      <c r="B14">
        <v>2</v>
      </c>
      <c r="C14">
        <v>1</v>
      </c>
      <c r="D14">
        <v>0</v>
      </c>
      <c r="E14" t="s">
        <v>32</v>
      </c>
      <c r="F14">
        <v>9</v>
      </c>
      <c r="G14">
        <v>574</v>
      </c>
      <c r="H14">
        <v>63.5</v>
      </c>
      <c r="I14">
        <v>210.7</v>
      </c>
      <c r="J14">
        <v>46.2</v>
      </c>
      <c r="K14">
        <f t="shared" si="11"/>
        <v>102.50000000000011</v>
      </c>
      <c r="L14">
        <v>8</v>
      </c>
      <c r="M14">
        <v>2</v>
      </c>
      <c r="N14">
        <v>1</v>
      </c>
      <c r="O14">
        <v>0</v>
      </c>
      <c r="P14" t="s">
        <v>32</v>
      </c>
      <c r="Q14">
        <v>9</v>
      </c>
      <c r="R14">
        <v>574.5</v>
      </c>
      <c r="S14">
        <v>63.5</v>
      </c>
      <c r="T14">
        <v>210.8</v>
      </c>
      <c r="U14">
        <v>46.3</v>
      </c>
      <c r="V14">
        <f t="shared" si="12"/>
        <v>102.39999999999986</v>
      </c>
      <c r="W14" s="6">
        <f t="shared" si="1"/>
        <v>1</v>
      </c>
      <c r="X14" s="6">
        <f t="shared" si="2"/>
        <v>1</v>
      </c>
      <c r="Y14" s="6">
        <f t="shared" si="3"/>
        <v>1</v>
      </c>
      <c r="Z14" s="6" t="e">
        <f t="shared" si="4"/>
        <v>#DIV/0!</v>
      </c>
      <c r="AA14" s="6" t="e">
        <f t="shared" si="5"/>
        <v>#VALUE!</v>
      </c>
      <c r="AB14" s="6">
        <f t="shared" si="6"/>
        <v>1</v>
      </c>
      <c r="AC14" s="6">
        <f t="shared" si="7"/>
        <v>0.99912967798085295</v>
      </c>
      <c r="AD14" s="6">
        <f t="shared" si="8"/>
        <v>1</v>
      </c>
      <c r="AE14" s="6">
        <f t="shared" si="9"/>
        <v>0.9995256166982921</v>
      </c>
      <c r="AF14" s="6">
        <f t="shared" si="10"/>
        <v>0.9978401727861772</v>
      </c>
    </row>
    <row r="15" spans="1:32" x14ac:dyDescent="0.3">
      <c r="A15">
        <v>9</v>
      </c>
      <c r="B15">
        <v>2</v>
      </c>
      <c r="C15">
        <v>1</v>
      </c>
      <c r="D15">
        <v>0</v>
      </c>
      <c r="E15" t="s">
        <v>32</v>
      </c>
      <c r="F15">
        <v>10</v>
      </c>
      <c r="G15">
        <v>648</v>
      </c>
      <c r="H15">
        <v>72</v>
      </c>
      <c r="I15">
        <v>237.9</v>
      </c>
      <c r="J15">
        <v>52.2</v>
      </c>
      <c r="K15">
        <f t="shared" si="11"/>
        <v>115.69999999999993</v>
      </c>
      <c r="L15">
        <v>9</v>
      </c>
      <c r="M15">
        <v>2</v>
      </c>
      <c r="N15">
        <v>1</v>
      </c>
      <c r="O15">
        <v>0</v>
      </c>
      <c r="P15" t="s">
        <v>32</v>
      </c>
      <c r="Q15">
        <v>10</v>
      </c>
      <c r="R15">
        <v>648.5</v>
      </c>
      <c r="S15">
        <v>72</v>
      </c>
      <c r="T15">
        <v>238.1</v>
      </c>
      <c r="U15">
        <v>52.3</v>
      </c>
      <c r="V15">
        <f t="shared" si="12"/>
        <v>115.80000000000007</v>
      </c>
      <c r="W15" s="6">
        <f t="shared" si="1"/>
        <v>1</v>
      </c>
      <c r="X15" s="6">
        <f t="shared" si="2"/>
        <v>1</v>
      </c>
      <c r="Y15" s="6">
        <f t="shared" si="3"/>
        <v>1</v>
      </c>
      <c r="Z15" s="6" t="e">
        <f t="shared" si="4"/>
        <v>#DIV/0!</v>
      </c>
      <c r="AA15" s="6" t="e">
        <f t="shared" si="5"/>
        <v>#VALUE!</v>
      </c>
      <c r="AB15" s="6">
        <f t="shared" si="6"/>
        <v>1</v>
      </c>
      <c r="AC15" s="6">
        <f t="shared" si="7"/>
        <v>0.99922898997686971</v>
      </c>
      <c r="AD15" s="6">
        <f t="shared" si="8"/>
        <v>1</v>
      </c>
      <c r="AE15" s="6">
        <f t="shared" si="9"/>
        <v>0.99916001679966404</v>
      </c>
      <c r="AF15" s="6">
        <f t="shared" si="10"/>
        <v>0.99808795411089879</v>
      </c>
    </row>
    <row r="16" spans="1:32" x14ac:dyDescent="0.3">
      <c r="A16">
        <v>10</v>
      </c>
      <c r="B16">
        <v>2</v>
      </c>
      <c r="C16">
        <v>1</v>
      </c>
      <c r="D16">
        <v>0</v>
      </c>
      <c r="E16" t="s">
        <v>32</v>
      </c>
      <c r="F16">
        <v>11</v>
      </c>
      <c r="G16">
        <v>732</v>
      </c>
      <c r="H16">
        <v>81</v>
      </c>
      <c r="I16">
        <v>268.7</v>
      </c>
      <c r="J16">
        <v>59</v>
      </c>
      <c r="K16">
        <f t="shared" si="11"/>
        <v>130.60000000000002</v>
      </c>
      <c r="L16">
        <v>10</v>
      </c>
      <c r="M16">
        <v>2</v>
      </c>
      <c r="N16">
        <v>1</v>
      </c>
      <c r="O16">
        <v>0</v>
      </c>
      <c r="P16" t="s">
        <v>32</v>
      </c>
      <c r="Q16">
        <v>11</v>
      </c>
      <c r="R16">
        <v>732.5</v>
      </c>
      <c r="S16">
        <v>81</v>
      </c>
      <c r="T16">
        <v>268.8</v>
      </c>
      <c r="U16">
        <v>59</v>
      </c>
      <c r="V16">
        <f t="shared" si="12"/>
        <v>130.39999999999998</v>
      </c>
      <c r="W16" s="6">
        <f t="shared" si="1"/>
        <v>1</v>
      </c>
      <c r="X16" s="6">
        <f t="shared" si="2"/>
        <v>1</v>
      </c>
      <c r="Y16" s="6">
        <f t="shared" si="3"/>
        <v>1</v>
      </c>
      <c r="Z16" s="6" t="e">
        <f t="shared" si="4"/>
        <v>#DIV/0!</v>
      </c>
      <c r="AA16" s="6" t="e">
        <f t="shared" si="5"/>
        <v>#VALUE!</v>
      </c>
      <c r="AB16" s="6">
        <f t="shared" si="6"/>
        <v>1</v>
      </c>
      <c r="AC16" s="6">
        <f t="shared" si="7"/>
        <v>0.99931740614334474</v>
      </c>
      <c r="AD16" s="6">
        <f t="shared" si="8"/>
        <v>1</v>
      </c>
      <c r="AE16" s="6">
        <f t="shared" si="9"/>
        <v>0.99962797619047605</v>
      </c>
      <c r="AF16" s="6">
        <f t="shared" si="10"/>
        <v>1</v>
      </c>
    </row>
    <row r="17" spans="1:32" x14ac:dyDescent="0.3">
      <c r="A17">
        <v>11</v>
      </c>
      <c r="B17">
        <v>2</v>
      </c>
      <c r="C17">
        <v>1</v>
      </c>
      <c r="D17">
        <v>0</v>
      </c>
      <c r="E17" t="s">
        <v>32</v>
      </c>
      <c r="F17">
        <v>12</v>
      </c>
      <c r="G17">
        <v>826.5</v>
      </c>
      <c r="H17">
        <v>91.5</v>
      </c>
      <c r="I17">
        <v>303.39999999999998</v>
      </c>
      <c r="J17">
        <v>66.599999999999994</v>
      </c>
      <c r="K17">
        <f t="shared" si="11"/>
        <v>147.29999999999995</v>
      </c>
      <c r="L17">
        <v>11</v>
      </c>
      <c r="M17">
        <v>2</v>
      </c>
      <c r="N17">
        <v>1</v>
      </c>
      <c r="O17">
        <v>0</v>
      </c>
      <c r="P17" t="s">
        <v>32</v>
      </c>
      <c r="Q17">
        <v>12</v>
      </c>
      <c r="R17">
        <v>827</v>
      </c>
      <c r="S17">
        <v>91.5</v>
      </c>
      <c r="T17">
        <v>303.5</v>
      </c>
      <c r="U17">
        <v>66.599999999999994</v>
      </c>
      <c r="V17">
        <f t="shared" si="12"/>
        <v>147.29999999999995</v>
      </c>
      <c r="W17" s="6">
        <f t="shared" si="1"/>
        <v>1</v>
      </c>
      <c r="X17" s="6">
        <f t="shared" si="2"/>
        <v>1</v>
      </c>
      <c r="Y17" s="6">
        <f t="shared" si="3"/>
        <v>1</v>
      </c>
      <c r="Z17" s="6" t="e">
        <f t="shared" si="4"/>
        <v>#DIV/0!</v>
      </c>
      <c r="AA17" s="6" t="e">
        <f t="shared" si="5"/>
        <v>#VALUE!</v>
      </c>
      <c r="AB17" s="6">
        <f t="shared" si="6"/>
        <v>1</v>
      </c>
      <c r="AC17" s="6">
        <f t="shared" si="7"/>
        <v>0.99939540507859737</v>
      </c>
      <c r="AD17" s="6">
        <f t="shared" si="8"/>
        <v>1</v>
      </c>
      <c r="AE17" s="6">
        <f t="shared" si="9"/>
        <v>0.99967051070840185</v>
      </c>
      <c r="AF17" s="6">
        <f t="shared" si="10"/>
        <v>1</v>
      </c>
    </row>
    <row r="18" spans="1:32" x14ac:dyDescent="0.3">
      <c r="A18">
        <v>12</v>
      </c>
      <c r="B18">
        <v>2</v>
      </c>
      <c r="C18">
        <v>1</v>
      </c>
      <c r="D18">
        <v>0</v>
      </c>
      <c r="E18" t="s">
        <v>32</v>
      </c>
      <c r="F18">
        <v>13</v>
      </c>
      <c r="G18">
        <v>932.5</v>
      </c>
      <c r="H18">
        <v>103.5</v>
      </c>
      <c r="I18">
        <v>342.4</v>
      </c>
      <c r="J18">
        <v>75.2</v>
      </c>
      <c r="K18">
        <f t="shared" si="11"/>
        <v>165.60000000000014</v>
      </c>
      <c r="L18">
        <v>12</v>
      </c>
      <c r="M18">
        <v>2</v>
      </c>
      <c r="N18">
        <v>1</v>
      </c>
      <c r="O18">
        <v>0</v>
      </c>
      <c r="P18" t="s">
        <v>32</v>
      </c>
      <c r="Q18">
        <v>13</v>
      </c>
      <c r="R18">
        <v>933</v>
      </c>
      <c r="S18">
        <v>103.5</v>
      </c>
      <c r="T18">
        <v>342.5</v>
      </c>
      <c r="U18">
        <v>75.2</v>
      </c>
      <c r="V18">
        <f t="shared" si="12"/>
        <v>165.60000000000014</v>
      </c>
      <c r="W18" s="6">
        <f t="shared" si="1"/>
        <v>1</v>
      </c>
      <c r="X18" s="6">
        <f t="shared" si="2"/>
        <v>1</v>
      </c>
      <c r="Y18" s="6">
        <f t="shared" si="3"/>
        <v>1</v>
      </c>
      <c r="Z18" s="6" t="e">
        <f t="shared" si="4"/>
        <v>#DIV/0!</v>
      </c>
      <c r="AA18" s="6" t="e">
        <f t="shared" si="5"/>
        <v>#VALUE!</v>
      </c>
      <c r="AB18" s="6">
        <f t="shared" si="6"/>
        <v>1</v>
      </c>
      <c r="AC18" s="6">
        <f t="shared" si="7"/>
        <v>0.99946409431939975</v>
      </c>
      <c r="AD18" s="6">
        <f t="shared" si="8"/>
        <v>1</v>
      </c>
      <c r="AE18" s="6">
        <f t="shared" si="9"/>
        <v>0.99970802919708024</v>
      </c>
      <c r="AF18" s="6">
        <f t="shared" si="10"/>
        <v>1</v>
      </c>
    </row>
    <row r="19" spans="1:32" x14ac:dyDescent="0.3">
      <c r="A19" t="s">
        <v>35</v>
      </c>
    </row>
    <row r="20" spans="1:32" x14ac:dyDescent="0.3">
      <c r="A20">
        <v>0</v>
      </c>
      <c r="B20">
        <v>1</v>
      </c>
      <c r="C20">
        <v>5</v>
      </c>
      <c r="D20">
        <v>1</v>
      </c>
      <c r="E20" t="s">
        <v>32</v>
      </c>
      <c r="F20">
        <v>190</v>
      </c>
      <c r="G20">
        <v>5595</v>
      </c>
      <c r="H20">
        <v>621.5</v>
      </c>
      <c r="I20">
        <v>1633.7</v>
      </c>
      <c r="J20">
        <v>181.5</v>
      </c>
      <c r="L20">
        <v>0</v>
      </c>
      <c r="M20">
        <v>1</v>
      </c>
      <c r="N20">
        <v>4</v>
      </c>
      <c r="O20">
        <v>1</v>
      </c>
      <c r="P20" t="s">
        <v>32</v>
      </c>
      <c r="Q20">
        <v>190</v>
      </c>
      <c r="R20">
        <v>5595</v>
      </c>
      <c r="S20">
        <v>621.5</v>
      </c>
      <c r="T20">
        <v>1633.7</v>
      </c>
      <c r="U20">
        <v>181.5</v>
      </c>
      <c r="W20" s="6" t="e">
        <f t="shared" ref="W20:W43" si="13">A20/L20</f>
        <v>#DIV/0!</v>
      </c>
      <c r="X20" s="6">
        <f t="shared" ref="X20:X43" si="14">B20/M20</f>
        <v>1</v>
      </c>
      <c r="Y20" s="6">
        <f t="shared" ref="Y20:Y43" si="15">C20/N20</f>
        <v>1.25</v>
      </c>
      <c r="Z20" s="6">
        <f t="shared" ref="Z20:Z43" si="16">D20/O20</f>
        <v>1</v>
      </c>
      <c r="AA20" s="6" t="e">
        <f t="shared" ref="AA20:AA43" si="17">E20/P20</f>
        <v>#VALUE!</v>
      </c>
      <c r="AB20" s="6">
        <f t="shared" ref="AB20:AB43" si="18">F20/Q20</f>
        <v>1</v>
      </c>
      <c r="AC20" s="6">
        <f t="shared" ref="AC20:AC43" si="19">G20/R20</f>
        <v>1</v>
      </c>
      <c r="AD20" s="6">
        <f t="shared" ref="AD20:AD43" si="20">H20/S20</f>
        <v>1</v>
      </c>
      <c r="AE20" s="6">
        <f t="shared" ref="AE20:AE43" si="21">I20/T20</f>
        <v>1</v>
      </c>
      <c r="AF20" s="6">
        <f t="shared" ref="AF20:AF43" si="22">J20/U20</f>
        <v>1</v>
      </c>
    </row>
    <row r="21" spans="1:32" x14ac:dyDescent="0.3">
      <c r="A21">
        <v>1</v>
      </c>
      <c r="B21">
        <v>1</v>
      </c>
      <c r="C21">
        <v>5</v>
      </c>
      <c r="D21">
        <v>1</v>
      </c>
      <c r="E21" t="s">
        <v>32</v>
      </c>
      <c r="F21">
        <v>191</v>
      </c>
      <c r="G21">
        <v>5576</v>
      </c>
      <c r="H21">
        <v>619.5</v>
      </c>
      <c r="I21">
        <v>1628.2</v>
      </c>
      <c r="J21">
        <v>180.9</v>
      </c>
      <c r="K21">
        <f t="shared" ref="K21:K43" si="23">SUM(G21:J21)-SUM(G20:J20)</f>
        <v>-27.100000000000364</v>
      </c>
      <c r="L21">
        <v>1</v>
      </c>
      <c r="M21">
        <v>1</v>
      </c>
      <c r="N21">
        <v>4</v>
      </c>
      <c r="O21">
        <v>1</v>
      </c>
      <c r="P21" t="s">
        <v>32</v>
      </c>
      <c r="Q21">
        <v>191</v>
      </c>
      <c r="R21">
        <v>5576</v>
      </c>
      <c r="S21">
        <v>619.5</v>
      </c>
      <c r="T21">
        <v>1628.2</v>
      </c>
      <c r="U21">
        <v>180.9</v>
      </c>
      <c r="V21">
        <f t="shared" ref="V21:V43" si="24">SUM(R21:U21)-SUM(R20:U20)</f>
        <v>-27.100000000000364</v>
      </c>
      <c r="W21" s="6">
        <f t="shared" si="13"/>
        <v>1</v>
      </c>
      <c r="X21" s="6">
        <f t="shared" si="14"/>
        <v>1</v>
      </c>
      <c r="Y21" s="6">
        <f t="shared" si="15"/>
        <v>1.25</v>
      </c>
      <c r="Z21" s="6">
        <f t="shared" si="16"/>
        <v>1</v>
      </c>
      <c r="AA21" s="6" t="e">
        <f t="shared" si="17"/>
        <v>#VALUE!</v>
      </c>
      <c r="AB21" s="6">
        <f t="shared" si="18"/>
        <v>1</v>
      </c>
      <c r="AC21" s="6">
        <f t="shared" si="19"/>
        <v>1</v>
      </c>
      <c r="AD21" s="6">
        <f t="shared" si="20"/>
        <v>1</v>
      </c>
      <c r="AE21" s="6">
        <f t="shared" si="21"/>
        <v>1</v>
      </c>
      <c r="AF21" s="6">
        <f t="shared" si="22"/>
        <v>1</v>
      </c>
    </row>
    <row r="22" spans="1:32" x14ac:dyDescent="0.3">
      <c r="A22">
        <v>2</v>
      </c>
      <c r="B22">
        <v>1</v>
      </c>
      <c r="C22">
        <v>5</v>
      </c>
      <c r="D22">
        <v>1</v>
      </c>
      <c r="E22" t="s">
        <v>32</v>
      </c>
      <c r="F22">
        <v>192</v>
      </c>
      <c r="G22">
        <v>5557.5</v>
      </c>
      <c r="H22">
        <v>617</v>
      </c>
      <c r="I22">
        <v>1622.7</v>
      </c>
      <c r="J22">
        <v>180.3</v>
      </c>
      <c r="K22">
        <f t="shared" si="23"/>
        <v>-27.099999999999454</v>
      </c>
      <c r="L22">
        <v>2</v>
      </c>
      <c r="M22">
        <v>1</v>
      </c>
      <c r="N22">
        <v>4</v>
      </c>
      <c r="O22">
        <v>1</v>
      </c>
      <c r="P22" t="s">
        <v>32</v>
      </c>
      <c r="Q22">
        <v>192</v>
      </c>
      <c r="R22">
        <v>5557.5</v>
      </c>
      <c r="S22">
        <v>617</v>
      </c>
      <c r="T22">
        <v>1622.7</v>
      </c>
      <c r="U22">
        <v>180.3</v>
      </c>
      <c r="V22">
        <f t="shared" si="24"/>
        <v>-27.099999999999454</v>
      </c>
      <c r="W22" s="6">
        <f t="shared" si="13"/>
        <v>1</v>
      </c>
      <c r="X22" s="6">
        <f t="shared" si="14"/>
        <v>1</v>
      </c>
      <c r="Y22" s="6">
        <f t="shared" si="15"/>
        <v>1.25</v>
      </c>
      <c r="Z22" s="6">
        <f t="shared" si="16"/>
        <v>1</v>
      </c>
      <c r="AA22" s="6" t="e">
        <f t="shared" si="17"/>
        <v>#VALUE!</v>
      </c>
      <c r="AB22" s="6">
        <f t="shared" si="18"/>
        <v>1</v>
      </c>
      <c r="AC22" s="6">
        <f t="shared" si="19"/>
        <v>1</v>
      </c>
      <c r="AD22" s="6">
        <f t="shared" si="20"/>
        <v>1</v>
      </c>
      <c r="AE22" s="6">
        <f t="shared" si="21"/>
        <v>1</v>
      </c>
      <c r="AF22" s="6">
        <f t="shared" si="22"/>
        <v>1</v>
      </c>
    </row>
    <row r="23" spans="1:32" x14ac:dyDescent="0.3">
      <c r="A23">
        <v>3</v>
      </c>
      <c r="B23">
        <v>1</v>
      </c>
      <c r="C23">
        <v>5</v>
      </c>
      <c r="D23">
        <v>1</v>
      </c>
      <c r="E23" t="s">
        <v>32</v>
      </c>
      <c r="F23">
        <v>193</v>
      </c>
      <c r="G23">
        <v>5538.5</v>
      </c>
      <c r="H23">
        <v>615</v>
      </c>
      <c r="I23">
        <v>1617.1</v>
      </c>
      <c r="J23">
        <v>179.7</v>
      </c>
      <c r="K23">
        <f t="shared" si="23"/>
        <v>-27.199999999999818</v>
      </c>
      <c r="L23">
        <v>3</v>
      </c>
      <c r="M23">
        <v>1</v>
      </c>
      <c r="N23">
        <v>4</v>
      </c>
      <c r="O23">
        <v>1</v>
      </c>
      <c r="P23" t="s">
        <v>32</v>
      </c>
      <c r="Q23">
        <v>193</v>
      </c>
      <c r="R23">
        <v>5538.5</v>
      </c>
      <c r="S23">
        <v>615</v>
      </c>
      <c r="T23">
        <v>1617.1</v>
      </c>
      <c r="U23">
        <v>179.7</v>
      </c>
      <c r="V23">
        <f t="shared" si="24"/>
        <v>-27.199999999999818</v>
      </c>
      <c r="W23" s="6">
        <f t="shared" si="13"/>
        <v>1</v>
      </c>
      <c r="X23" s="6">
        <f t="shared" si="14"/>
        <v>1</v>
      </c>
      <c r="Y23" s="6">
        <f t="shared" si="15"/>
        <v>1.25</v>
      </c>
      <c r="Z23" s="6">
        <f t="shared" si="16"/>
        <v>1</v>
      </c>
      <c r="AA23" s="6" t="e">
        <f t="shared" si="17"/>
        <v>#VALUE!</v>
      </c>
      <c r="AB23" s="6">
        <f t="shared" si="18"/>
        <v>1</v>
      </c>
      <c r="AC23" s="6">
        <f t="shared" si="19"/>
        <v>1</v>
      </c>
      <c r="AD23" s="6">
        <f t="shared" si="20"/>
        <v>1</v>
      </c>
      <c r="AE23" s="6">
        <f t="shared" si="21"/>
        <v>1</v>
      </c>
      <c r="AF23" s="6">
        <f t="shared" si="22"/>
        <v>1</v>
      </c>
    </row>
    <row r="24" spans="1:32" x14ac:dyDescent="0.3">
      <c r="A24">
        <v>4</v>
      </c>
      <c r="B24">
        <v>1</v>
      </c>
      <c r="C24">
        <v>5</v>
      </c>
      <c r="D24">
        <v>1</v>
      </c>
      <c r="E24" t="s">
        <v>32</v>
      </c>
      <c r="F24">
        <v>194</v>
      </c>
      <c r="G24">
        <v>5519.5</v>
      </c>
      <c r="H24">
        <v>613</v>
      </c>
      <c r="I24">
        <v>1611.6</v>
      </c>
      <c r="J24">
        <v>179.1</v>
      </c>
      <c r="K24">
        <f t="shared" si="23"/>
        <v>-27.099999999999454</v>
      </c>
      <c r="L24">
        <v>4</v>
      </c>
      <c r="M24">
        <v>1</v>
      </c>
      <c r="N24">
        <v>4</v>
      </c>
      <c r="O24">
        <v>1</v>
      </c>
      <c r="P24" t="s">
        <v>32</v>
      </c>
      <c r="Q24">
        <v>194</v>
      </c>
      <c r="R24">
        <v>5519.5</v>
      </c>
      <c r="S24">
        <v>613</v>
      </c>
      <c r="T24">
        <v>1611.6</v>
      </c>
      <c r="U24">
        <v>179.1</v>
      </c>
      <c r="V24">
        <f t="shared" si="24"/>
        <v>-27.099999999999454</v>
      </c>
      <c r="W24" s="6">
        <f t="shared" si="13"/>
        <v>1</v>
      </c>
      <c r="X24" s="6">
        <f t="shared" si="14"/>
        <v>1</v>
      </c>
      <c r="Y24" s="6">
        <f t="shared" si="15"/>
        <v>1.25</v>
      </c>
      <c r="Z24" s="6">
        <f t="shared" si="16"/>
        <v>1</v>
      </c>
      <c r="AA24" s="6" t="e">
        <f t="shared" si="17"/>
        <v>#VALUE!</v>
      </c>
      <c r="AB24" s="6">
        <f t="shared" si="18"/>
        <v>1</v>
      </c>
      <c r="AC24" s="6">
        <f t="shared" si="19"/>
        <v>1</v>
      </c>
      <c r="AD24" s="6">
        <f t="shared" si="20"/>
        <v>1</v>
      </c>
      <c r="AE24" s="6">
        <f t="shared" si="21"/>
        <v>1</v>
      </c>
      <c r="AF24" s="6">
        <f t="shared" si="22"/>
        <v>1</v>
      </c>
    </row>
    <row r="25" spans="1:32" x14ac:dyDescent="0.3">
      <c r="A25">
        <v>5</v>
      </c>
      <c r="B25">
        <v>1</v>
      </c>
      <c r="C25">
        <v>5</v>
      </c>
      <c r="D25">
        <v>1</v>
      </c>
      <c r="E25" t="s">
        <v>32</v>
      </c>
      <c r="F25">
        <v>195</v>
      </c>
      <c r="G25">
        <v>5500.5</v>
      </c>
      <c r="H25">
        <v>611</v>
      </c>
      <c r="I25">
        <v>1606.1</v>
      </c>
      <c r="J25">
        <v>178.5</v>
      </c>
      <c r="K25">
        <f t="shared" si="23"/>
        <v>-27.100000000000364</v>
      </c>
      <c r="L25">
        <v>5</v>
      </c>
      <c r="M25">
        <v>1</v>
      </c>
      <c r="N25">
        <v>4</v>
      </c>
      <c r="O25">
        <v>1</v>
      </c>
      <c r="P25" t="s">
        <v>32</v>
      </c>
      <c r="Q25">
        <v>195</v>
      </c>
      <c r="R25">
        <v>5500.5</v>
      </c>
      <c r="S25">
        <v>611</v>
      </c>
      <c r="T25">
        <v>1606.1</v>
      </c>
      <c r="U25">
        <v>178.5</v>
      </c>
      <c r="V25">
        <f t="shared" si="24"/>
        <v>-27.100000000000364</v>
      </c>
      <c r="W25" s="6">
        <f t="shared" si="13"/>
        <v>1</v>
      </c>
      <c r="X25" s="6">
        <f t="shared" si="14"/>
        <v>1</v>
      </c>
      <c r="Y25" s="6">
        <f t="shared" si="15"/>
        <v>1.25</v>
      </c>
      <c r="Z25" s="6">
        <f t="shared" si="16"/>
        <v>1</v>
      </c>
      <c r="AA25" s="6" t="e">
        <f t="shared" si="17"/>
        <v>#VALUE!</v>
      </c>
      <c r="AB25" s="6">
        <f t="shared" si="18"/>
        <v>1</v>
      </c>
      <c r="AC25" s="6">
        <f t="shared" si="19"/>
        <v>1</v>
      </c>
      <c r="AD25" s="6">
        <f t="shared" si="20"/>
        <v>1</v>
      </c>
      <c r="AE25" s="6">
        <f t="shared" si="21"/>
        <v>1</v>
      </c>
      <c r="AF25" s="6">
        <f t="shared" si="22"/>
        <v>1</v>
      </c>
    </row>
    <row r="26" spans="1:32" x14ac:dyDescent="0.3">
      <c r="A26">
        <v>6</v>
      </c>
      <c r="B26">
        <v>1</v>
      </c>
      <c r="C26">
        <v>5</v>
      </c>
      <c r="D26">
        <v>1</v>
      </c>
      <c r="E26" t="s">
        <v>32</v>
      </c>
      <c r="F26">
        <v>196</v>
      </c>
      <c r="G26">
        <v>5481.5</v>
      </c>
      <c r="H26">
        <v>609</v>
      </c>
      <c r="I26">
        <v>1600.6</v>
      </c>
      <c r="J26">
        <v>177.8</v>
      </c>
      <c r="K26">
        <f t="shared" si="23"/>
        <v>-27.199999999999818</v>
      </c>
      <c r="L26">
        <v>6</v>
      </c>
      <c r="M26">
        <v>1</v>
      </c>
      <c r="N26">
        <v>4</v>
      </c>
      <c r="O26">
        <v>1</v>
      </c>
      <c r="P26" t="s">
        <v>32</v>
      </c>
      <c r="Q26">
        <v>196</v>
      </c>
      <c r="R26">
        <v>5481.5</v>
      </c>
      <c r="S26">
        <v>609</v>
      </c>
      <c r="T26">
        <v>1600.6</v>
      </c>
      <c r="U26">
        <v>177.8</v>
      </c>
      <c r="V26">
        <f t="shared" si="24"/>
        <v>-27.199999999999818</v>
      </c>
      <c r="W26" s="6">
        <f t="shared" si="13"/>
        <v>1</v>
      </c>
      <c r="X26" s="6">
        <f t="shared" si="14"/>
        <v>1</v>
      </c>
      <c r="Y26" s="6">
        <f t="shared" si="15"/>
        <v>1.25</v>
      </c>
      <c r="Z26" s="6">
        <f t="shared" si="16"/>
        <v>1</v>
      </c>
      <c r="AA26" s="6" t="e">
        <f t="shared" si="17"/>
        <v>#VALUE!</v>
      </c>
      <c r="AB26" s="6">
        <f t="shared" si="18"/>
        <v>1</v>
      </c>
      <c r="AC26" s="6">
        <f t="shared" si="19"/>
        <v>1</v>
      </c>
      <c r="AD26" s="6">
        <f t="shared" si="20"/>
        <v>1</v>
      </c>
      <c r="AE26" s="6">
        <f t="shared" si="21"/>
        <v>1</v>
      </c>
      <c r="AF26" s="6">
        <f t="shared" si="22"/>
        <v>1</v>
      </c>
    </row>
    <row r="27" spans="1:32" x14ac:dyDescent="0.3">
      <c r="A27">
        <v>7</v>
      </c>
      <c r="B27">
        <v>1</v>
      </c>
      <c r="C27">
        <v>5</v>
      </c>
      <c r="D27">
        <v>1</v>
      </c>
      <c r="E27" t="s">
        <v>32</v>
      </c>
      <c r="F27">
        <v>197</v>
      </c>
      <c r="G27">
        <v>5463</v>
      </c>
      <c r="H27">
        <v>606.5</v>
      </c>
      <c r="I27">
        <v>1595.1</v>
      </c>
      <c r="J27">
        <v>177.2</v>
      </c>
      <c r="K27">
        <f t="shared" si="23"/>
        <v>-27.100000000000364</v>
      </c>
      <c r="L27">
        <v>7</v>
      </c>
      <c r="M27">
        <v>1</v>
      </c>
      <c r="N27">
        <v>4</v>
      </c>
      <c r="O27">
        <v>1</v>
      </c>
      <c r="P27" t="s">
        <v>32</v>
      </c>
      <c r="Q27">
        <v>197</v>
      </c>
      <c r="R27">
        <v>5463</v>
      </c>
      <c r="S27">
        <v>606.5</v>
      </c>
      <c r="T27">
        <v>1595.1</v>
      </c>
      <c r="U27">
        <v>177.2</v>
      </c>
      <c r="V27">
        <f t="shared" si="24"/>
        <v>-27.100000000000364</v>
      </c>
      <c r="W27" s="6">
        <f t="shared" si="13"/>
        <v>1</v>
      </c>
      <c r="X27" s="6">
        <f t="shared" si="14"/>
        <v>1</v>
      </c>
      <c r="Y27" s="6">
        <f t="shared" si="15"/>
        <v>1.25</v>
      </c>
      <c r="Z27" s="6">
        <f t="shared" si="16"/>
        <v>1</v>
      </c>
      <c r="AA27" s="6" t="e">
        <f t="shared" si="17"/>
        <v>#VALUE!</v>
      </c>
      <c r="AB27" s="6">
        <f t="shared" si="18"/>
        <v>1</v>
      </c>
      <c r="AC27" s="6">
        <f t="shared" si="19"/>
        <v>1</v>
      </c>
      <c r="AD27" s="6">
        <f t="shared" si="20"/>
        <v>1</v>
      </c>
      <c r="AE27" s="6">
        <f t="shared" si="21"/>
        <v>1</v>
      </c>
      <c r="AF27" s="6">
        <f t="shared" si="22"/>
        <v>1</v>
      </c>
    </row>
    <row r="28" spans="1:32" x14ac:dyDescent="0.3">
      <c r="A28">
        <v>8</v>
      </c>
      <c r="B28">
        <v>1</v>
      </c>
      <c r="C28">
        <v>5</v>
      </c>
      <c r="D28">
        <v>1</v>
      </c>
      <c r="E28" t="s">
        <v>32</v>
      </c>
      <c r="F28">
        <v>198</v>
      </c>
      <c r="G28">
        <v>5443.5</v>
      </c>
      <c r="H28">
        <v>604.5</v>
      </c>
      <c r="I28">
        <v>1589.4</v>
      </c>
      <c r="J28">
        <v>176.6</v>
      </c>
      <c r="K28">
        <f t="shared" si="23"/>
        <v>-27.800000000000182</v>
      </c>
      <c r="L28">
        <v>8</v>
      </c>
      <c r="M28">
        <v>1</v>
      </c>
      <c r="N28">
        <v>4</v>
      </c>
      <c r="O28">
        <v>1</v>
      </c>
      <c r="P28" t="s">
        <v>32</v>
      </c>
      <c r="Q28">
        <v>198</v>
      </c>
      <c r="R28">
        <v>5443.5</v>
      </c>
      <c r="S28">
        <v>604.5</v>
      </c>
      <c r="T28">
        <v>1589.4</v>
      </c>
      <c r="U28">
        <v>176.6</v>
      </c>
      <c r="V28">
        <f t="shared" si="24"/>
        <v>-27.800000000000182</v>
      </c>
      <c r="W28" s="6">
        <f t="shared" si="13"/>
        <v>1</v>
      </c>
      <c r="X28" s="6">
        <f t="shared" si="14"/>
        <v>1</v>
      </c>
      <c r="Y28" s="6">
        <f t="shared" si="15"/>
        <v>1.25</v>
      </c>
      <c r="Z28" s="6">
        <f t="shared" si="16"/>
        <v>1</v>
      </c>
      <c r="AA28" s="6" t="e">
        <f t="shared" si="17"/>
        <v>#VALUE!</v>
      </c>
      <c r="AB28" s="6">
        <f t="shared" si="18"/>
        <v>1</v>
      </c>
      <c r="AC28" s="6">
        <f t="shared" si="19"/>
        <v>1</v>
      </c>
      <c r="AD28" s="6">
        <f t="shared" si="20"/>
        <v>1</v>
      </c>
      <c r="AE28" s="6">
        <f t="shared" si="21"/>
        <v>1</v>
      </c>
      <c r="AF28" s="6">
        <f t="shared" si="22"/>
        <v>1</v>
      </c>
    </row>
    <row r="29" spans="1:32" x14ac:dyDescent="0.3">
      <c r="A29">
        <v>9</v>
      </c>
      <c r="B29">
        <v>1</v>
      </c>
      <c r="C29">
        <v>5</v>
      </c>
      <c r="D29">
        <v>1</v>
      </c>
      <c r="E29" t="s">
        <v>32</v>
      </c>
      <c r="F29">
        <v>199</v>
      </c>
      <c r="G29">
        <v>5424</v>
      </c>
      <c r="H29">
        <v>602.5</v>
      </c>
      <c r="I29">
        <v>1583.8</v>
      </c>
      <c r="J29">
        <v>176</v>
      </c>
      <c r="K29">
        <f t="shared" si="23"/>
        <v>-27.699999999999818</v>
      </c>
      <c r="L29">
        <v>9</v>
      </c>
      <c r="M29">
        <v>1</v>
      </c>
      <c r="N29">
        <v>4</v>
      </c>
      <c r="O29">
        <v>1</v>
      </c>
      <c r="P29" t="s">
        <v>32</v>
      </c>
      <c r="Q29">
        <v>199</v>
      </c>
      <c r="R29">
        <v>5424</v>
      </c>
      <c r="S29">
        <v>602.5</v>
      </c>
      <c r="T29">
        <v>1583.8</v>
      </c>
      <c r="U29">
        <v>176</v>
      </c>
      <c r="V29">
        <f t="shared" si="24"/>
        <v>-27.699999999999818</v>
      </c>
      <c r="W29" s="6">
        <f t="shared" si="13"/>
        <v>1</v>
      </c>
      <c r="X29" s="6">
        <f t="shared" si="14"/>
        <v>1</v>
      </c>
      <c r="Y29" s="6">
        <f t="shared" si="15"/>
        <v>1.25</v>
      </c>
      <c r="Z29" s="6">
        <f t="shared" si="16"/>
        <v>1</v>
      </c>
      <c r="AA29" s="6" t="e">
        <f t="shared" si="17"/>
        <v>#VALUE!</v>
      </c>
      <c r="AB29" s="6">
        <f t="shared" si="18"/>
        <v>1</v>
      </c>
      <c r="AC29" s="6">
        <f t="shared" si="19"/>
        <v>1</v>
      </c>
      <c r="AD29" s="6">
        <f t="shared" si="20"/>
        <v>1</v>
      </c>
      <c r="AE29" s="6">
        <f t="shared" si="21"/>
        <v>1</v>
      </c>
      <c r="AF29" s="6">
        <f t="shared" si="22"/>
        <v>1</v>
      </c>
    </row>
    <row r="30" spans="1:32" x14ac:dyDescent="0.3">
      <c r="A30">
        <v>10</v>
      </c>
      <c r="B30">
        <v>1</v>
      </c>
      <c r="C30">
        <v>5</v>
      </c>
      <c r="D30">
        <v>1</v>
      </c>
      <c r="E30" t="s">
        <v>32</v>
      </c>
      <c r="F30">
        <v>200</v>
      </c>
      <c r="G30">
        <v>5404.5</v>
      </c>
      <c r="H30">
        <v>600.5</v>
      </c>
      <c r="I30">
        <v>1578.1</v>
      </c>
      <c r="J30">
        <v>175.3</v>
      </c>
      <c r="K30">
        <f t="shared" si="23"/>
        <v>-27.899999999999636</v>
      </c>
      <c r="L30">
        <v>10</v>
      </c>
      <c r="M30">
        <v>1</v>
      </c>
      <c r="N30">
        <v>4</v>
      </c>
      <c r="O30">
        <v>1</v>
      </c>
      <c r="P30" t="s">
        <v>32</v>
      </c>
      <c r="Q30">
        <v>200</v>
      </c>
      <c r="R30">
        <v>5404.5</v>
      </c>
      <c r="S30">
        <v>600.5</v>
      </c>
      <c r="T30">
        <v>1578.1</v>
      </c>
      <c r="U30">
        <v>175.3</v>
      </c>
      <c r="V30">
        <f t="shared" si="24"/>
        <v>-27.899999999999636</v>
      </c>
      <c r="W30" s="6">
        <f t="shared" si="13"/>
        <v>1</v>
      </c>
      <c r="X30" s="6">
        <f t="shared" si="14"/>
        <v>1</v>
      </c>
      <c r="Y30" s="6">
        <f t="shared" si="15"/>
        <v>1.25</v>
      </c>
      <c r="Z30" s="6">
        <f t="shared" si="16"/>
        <v>1</v>
      </c>
      <c r="AA30" s="6" t="e">
        <f t="shared" si="17"/>
        <v>#VALUE!</v>
      </c>
      <c r="AB30" s="6">
        <f t="shared" si="18"/>
        <v>1</v>
      </c>
      <c r="AC30" s="6">
        <f t="shared" si="19"/>
        <v>1</v>
      </c>
      <c r="AD30" s="6">
        <f t="shared" si="20"/>
        <v>1</v>
      </c>
      <c r="AE30" s="6">
        <f t="shared" si="21"/>
        <v>1</v>
      </c>
      <c r="AF30" s="6">
        <f t="shared" si="22"/>
        <v>1</v>
      </c>
    </row>
    <row r="31" spans="1:32" x14ac:dyDescent="0.3">
      <c r="A31">
        <v>11</v>
      </c>
      <c r="B31">
        <v>1</v>
      </c>
      <c r="C31">
        <v>5</v>
      </c>
      <c r="D31">
        <v>1</v>
      </c>
      <c r="E31" t="s">
        <v>32</v>
      </c>
      <c r="F31">
        <v>201</v>
      </c>
      <c r="G31">
        <v>5385.5</v>
      </c>
      <c r="H31">
        <v>598</v>
      </c>
      <c r="I31">
        <v>1572.5</v>
      </c>
      <c r="J31">
        <v>174.7</v>
      </c>
      <c r="K31">
        <f t="shared" si="23"/>
        <v>-27.700000000000728</v>
      </c>
      <c r="L31">
        <v>11</v>
      </c>
      <c r="M31">
        <v>1</v>
      </c>
      <c r="N31">
        <v>4</v>
      </c>
      <c r="O31">
        <v>1</v>
      </c>
      <c r="P31" t="s">
        <v>32</v>
      </c>
      <c r="Q31">
        <v>201</v>
      </c>
      <c r="R31">
        <v>5385.5</v>
      </c>
      <c r="S31">
        <v>598</v>
      </c>
      <c r="T31">
        <v>1572.5</v>
      </c>
      <c r="U31">
        <v>174.7</v>
      </c>
      <c r="V31">
        <f t="shared" si="24"/>
        <v>-27.700000000000728</v>
      </c>
      <c r="W31" s="6">
        <f t="shared" si="13"/>
        <v>1</v>
      </c>
      <c r="X31" s="6">
        <f t="shared" si="14"/>
        <v>1</v>
      </c>
      <c r="Y31" s="6">
        <f t="shared" si="15"/>
        <v>1.25</v>
      </c>
      <c r="Z31" s="6">
        <f t="shared" si="16"/>
        <v>1</v>
      </c>
      <c r="AA31" s="6" t="e">
        <f t="shared" si="17"/>
        <v>#VALUE!</v>
      </c>
      <c r="AB31" s="6">
        <f t="shared" si="18"/>
        <v>1</v>
      </c>
      <c r="AC31" s="6">
        <f t="shared" si="19"/>
        <v>1</v>
      </c>
      <c r="AD31" s="6">
        <f t="shared" si="20"/>
        <v>1</v>
      </c>
      <c r="AE31" s="6">
        <f t="shared" si="21"/>
        <v>1</v>
      </c>
      <c r="AF31" s="6">
        <f t="shared" si="22"/>
        <v>1</v>
      </c>
    </row>
    <row r="32" spans="1:32" x14ac:dyDescent="0.3">
      <c r="A32">
        <v>12</v>
      </c>
      <c r="B32">
        <v>1</v>
      </c>
      <c r="C32">
        <v>5</v>
      </c>
      <c r="D32">
        <v>1</v>
      </c>
      <c r="E32" t="s">
        <v>32</v>
      </c>
      <c r="F32">
        <v>202</v>
      </c>
      <c r="G32">
        <v>5366</v>
      </c>
      <c r="H32">
        <v>596</v>
      </c>
      <c r="I32">
        <v>1566.8</v>
      </c>
      <c r="J32">
        <v>174.1</v>
      </c>
      <c r="K32">
        <f t="shared" si="23"/>
        <v>-27.799999999999272</v>
      </c>
      <c r="L32">
        <v>12</v>
      </c>
      <c r="M32">
        <v>1</v>
      </c>
      <c r="N32">
        <v>4</v>
      </c>
      <c r="O32">
        <v>1</v>
      </c>
      <c r="P32" t="s">
        <v>32</v>
      </c>
      <c r="Q32">
        <v>202</v>
      </c>
      <c r="R32">
        <v>5366</v>
      </c>
      <c r="S32">
        <v>596</v>
      </c>
      <c r="T32">
        <v>1566.8</v>
      </c>
      <c r="U32">
        <v>174.1</v>
      </c>
      <c r="V32">
        <f t="shared" si="24"/>
        <v>-27.799999999999272</v>
      </c>
      <c r="W32" s="6">
        <f t="shared" si="13"/>
        <v>1</v>
      </c>
      <c r="X32" s="6">
        <f t="shared" si="14"/>
        <v>1</v>
      </c>
      <c r="Y32" s="6">
        <f t="shared" si="15"/>
        <v>1.25</v>
      </c>
      <c r="Z32" s="6">
        <f t="shared" si="16"/>
        <v>1</v>
      </c>
      <c r="AA32" s="6" t="e">
        <f t="shared" si="17"/>
        <v>#VALUE!</v>
      </c>
      <c r="AB32" s="6">
        <f t="shared" si="18"/>
        <v>1</v>
      </c>
      <c r="AC32" s="6">
        <f t="shared" si="19"/>
        <v>1</v>
      </c>
      <c r="AD32" s="6">
        <f t="shared" si="20"/>
        <v>1</v>
      </c>
      <c r="AE32" s="6">
        <f t="shared" si="21"/>
        <v>1</v>
      </c>
      <c r="AF32" s="6">
        <f t="shared" si="22"/>
        <v>1</v>
      </c>
    </row>
    <row r="33" spans="1:36" x14ac:dyDescent="0.3">
      <c r="A33">
        <v>13</v>
      </c>
      <c r="B33">
        <v>1</v>
      </c>
      <c r="C33">
        <v>5</v>
      </c>
      <c r="D33">
        <v>1</v>
      </c>
      <c r="E33" t="s">
        <v>32</v>
      </c>
      <c r="F33">
        <v>203</v>
      </c>
      <c r="G33">
        <v>5346.5</v>
      </c>
      <c r="H33">
        <v>594</v>
      </c>
      <c r="I33">
        <v>1561.2</v>
      </c>
      <c r="J33">
        <v>173.5</v>
      </c>
      <c r="K33">
        <f t="shared" si="23"/>
        <v>-27.700000000000728</v>
      </c>
      <c r="L33">
        <v>13</v>
      </c>
      <c r="M33">
        <v>1</v>
      </c>
      <c r="N33">
        <v>4</v>
      </c>
      <c r="O33">
        <v>1</v>
      </c>
      <c r="P33" t="s">
        <v>32</v>
      </c>
      <c r="Q33">
        <v>203</v>
      </c>
      <c r="R33">
        <v>5346.5</v>
      </c>
      <c r="S33">
        <v>594</v>
      </c>
      <c r="T33">
        <v>1561.2</v>
      </c>
      <c r="U33">
        <v>173.5</v>
      </c>
      <c r="V33">
        <f t="shared" si="24"/>
        <v>-27.700000000000728</v>
      </c>
      <c r="W33" s="6">
        <f t="shared" si="13"/>
        <v>1</v>
      </c>
      <c r="X33" s="6">
        <f t="shared" si="14"/>
        <v>1</v>
      </c>
      <c r="Y33" s="6">
        <f t="shared" si="15"/>
        <v>1.25</v>
      </c>
      <c r="Z33" s="6">
        <f t="shared" si="16"/>
        <v>1</v>
      </c>
      <c r="AA33" s="6" t="e">
        <f t="shared" si="17"/>
        <v>#VALUE!</v>
      </c>
      <c r="AB33" s="6">
        <f t="shared" si="18"/>
        <v>1</v>
      </c>
      <c r="AC33" s="6">
        <f t="shared" si="19"/>
        <v>1</v>
      </c>
      <c r="AD33" s="6">
        <f t="shared" si="20"/>
        <v>1</v>
      </c>
      <c r="AE33" s="6">
        <f t="shared" si="21"/>
        <v>1</v>
      </c>
      <c r="AF33" s="6">
        <f t="shared" si="22"/>
        <v>1</v>
      </c>
    </row>
    <row r="34" spans="1:36" x14ac:dyDescent="0.3">
      <c r="A34">
        <v>14</v>
      </c>
      <c r="B34">
        <v>1</v>
      </c>
      <c r="C34">
        <v>5</v>
      </c>
      <c r="D34">
        <v>1</v>
      </c>
      <c r="E34" t="s">
        <v>32</v>
      </c>
      <c r="F34">
        <v>204</v>
      </c>
      <c r="G34">
        <v>5328</v>
      </c>
      <c r="H34">
        <v>591.5</v>
      </c>
      <c r="I34">
        <v>1555.6</v>
      </c>
      <c r="J34">
        <v>172.8</v>
      </c>
      <c r="K34">
        <f t="shared" si="23"/>
        <v>-27.299999999999272</v>
      </c>
      <c r="L34">
        <v>14</v>
      </c>
      <c r="M34">
        <v>1</v>
      </c>
      <c r="N34">
        <v>4</v>
      </c>
      <c r="O34">
        <v>1</v>
      </c>
      <c r="P34" t="s">
        <v>32</v>
      </c>
      <c r="Q34">
        <v>204</v>
      </c>
      <c r="R34">
        <v>5328</v>
      </c>
      <c r="S34">
        <v>591.5</v>
      </c>
      <c r="T34">
        <v>1555.6</v>
      </c>
      <c r="U34">
        <v>172.8</v>
      </c>
      <c r="V34">
        <f t="shared" si="24"/>
        <v>-27.299999999999272</v>
      </c>
      <c r="W34" s="6">
        <f t="shared" si="13"/>
        <v>1</v>
      </c>
      <c r="X34" s="6">
        <f t="shared" si="14"/>
        <v>1</v>
      </c>
      <c r="Y34" s="6">
        <f t="shared" si="15"/>
        <v>1.25</v>
      </c>
      <c r="Z34" s="6">
        <f t="shared" si="16"/>
        <v>1</v>
      </c>
      <c r="AA34" s="6" t="e">
        <f t="shared" si="17"/>
        <v>#VALUE!</v>
      </c>
      <c r="AB34" s="6">
        <f t="shared" si="18"/>
        <v>1</v>
      </c>
      <c r="AC34" s="6">
        <f t="shared" si="19"/>
        <v>1</v>
      </c>
      <c r="AD34" s="6">
        <f t="shared" si="20"/>
        <v>1</v>
      </c>
      <c r="AE34" s="6">
        <f t="shared" si="21"/>
        <v>1</v>
      </c>
      <c r="AF34" s="6">
        <f t="shared" si="22"/>
        <v>1</v>
      </c>
    </row>
    <row r="35" spans="1:36" x14ac:dyDescent="0.3">
      <c r="A35">
        <v>15</v>
      </c>
      <c r="B35">
        <v>1</v>
      </c>
      <c r="C35">
        <v>5</v>
      </c>
      <c r="D35">
        <v>1</v>
      </c>
      <c r="E35" t="s">
        <v>32</v>
      </c>
      <c r="F35">
        <v>205</v>
      </c>
      <c r="G35">
        <v>5309</v>
      </c>
      <c r="H35">
        <v>589.5</v>
      </c>
      <c r="I35">
        <v>1550.1</v>
      </c>
      <c r="J35">
        <v>172.2</v>
      </c>
      <c r="K35">
        <f t="shared" si="23"/>
        <v>-27.100000000000364</v>
      </c>
      <c r="L35">
        <v>15</v>
      </c>
      <c r="M35">
        <v>1</v>
      </c>
      <c r="N35">
        <v>4</v>
      </c>
      <c r="O35">
        <v>1</v>
      </c>
      <c r="P35" t="s">
        <v>32</v>
      </c>
      <c r="Q35">
        <v>205</v>
      </c>
      <c r="R35">
        <v>5309</v>
      </c>
      <c r="S35">
        <v>589.5</v>
      </c>
      <c r="T35">
        <v>1550.1</v>
      </c>
      <c r="U35">
        <v>172.2</v>
      </c>
      <c r="V35">
        <f t="shared" si="24"/>
        <v>-27.100000000000364</v>
      </c>
      <c r="W35" s="6">
        <f t="shared" si="13"/>
        <v>1</v>
      </c>
      <c r="X35" s="6">
        <f t="shared" si="14"/>
        <v>1</v>
      </c>
      <c r="Y35" s="6">
        <f t="shared" si="15"/>
        <v>1.25</v>
      </c>
      <c r="Z35" s="6">
        <f t="shared" si="16"/>
        <v>1</v>
      </c>
      <c r="AA35" s="6" t="e">
        <f t="shared" si="17"/>
        <v>#VALUE!</v>
      </c>
      <c r="AB35" s="6">
        <f t="shared" si="18"/>
        <v>1</v>
      </c>
      <c r="AC35" s="6">
        <f t="shared" si="19"/>
        <v>1</v>
      </c>
      <c r="AD35" s="6">
        <f t="shared" si="20"/>
        <v>1</v>
      </c>
      <c r="AE35" s="6">
        <f t="shared" si="21"/>
        <v>1</v>
      </c>
      <c r="AF35" s="6">
        <f t="shared" si="22"/>
        <v>1</v>
      </c>
    </row>
    <row r="36" spans="1:36" x14ac:dyDescent="0.3">
      <c r="A36">
        <v>16</v>
      </c>
      <c r="B36">
        <v>1</v>
      </c>
      <c r="C36">
        <v>5</v>
      </c>
      <c r="D36">
        <v>1</v>
      </c>
      <c r="E36" t="s">
        <v>32</v>
      </c>
      <c r="F36">
        <v>206</v>
      </c>
      <c r="G36">
        <v>5290</v>
      </c>
      <c r="H36">
        <v>587.5</v>
      </c>
      <c r="I36">
        <v>1544.6</v>
      </c>
      <c r="J36">
        <v>171.6</v>
      </c>
      <c r="K36">
        <f t="shared" si="23"/>
        <v>-27.099999999999454</v>
      </c>
      <c r="L36">
        <v>16</v>
      </c>
      <c r="M36">
        <v>1</v>
      </c>
      <c r="N36">
        <v>4</v>
      </c>
      <c r="O36">
        <v>1</v>
      </c>
      <c r="P36" t="s">
        <v>32</v>
      </c>
      <c r="Q36">
        <v>206</v>
      </c>
      <c r="R36">
        <v>5290</v>
      </c>
      <c r="S36">
        <v>587.5</v>
      </c>
      <c r="T36">
        <v>1544.6</v>
      </c>
      <c r="U36">
        <v>171.6</v>
      </c>
      <c r="V36">
        <f t="shared" si="24"/>
        <v>-27.099999999999454</v>
      </c>
      <c r="W36" s="6">
        <f t="shared" si="13"/>
        <v>1</v>
      </c>
      <c r="X36" s="6">
        <f t="shared" si="14"/>
        <v>1</v>
      </c>
      <c r="Y36" s="6">
        <f t="shared" si="15"/>
        <v>1.25</v>
      </c>
      <c r="Z36" s="6">
        <f t="shared" si="16"/>
        <v>1</v>
      </c>
      <c r="AA36" s="6" t="e">
        <f t="shared" si="17"/>
        <v>#VALUE!</v>
      </c>
      <c r="AB36" s="6">
        <f t="shared" si="18"/>
        <v>1</v>
      </c>
      <c r="AC36" s="6">
        <f t="shared" si="19"/>
        <v>1</v>
      </c>
      <c r="AD36" s="6">
        <f t="shared" si="20"/>
        <v>1</v>
      </c>
      <c r="AE36" s="6">
        <f t="shared" si="21"/>
        <v>1</v>
      </c>
      <c r="AF36" s="6">
        <f t="shared" si="22"/>
        <v>1</v>
      </c>
    </row>
    <row r="37" spans="1:36" x14ac:dyDescent="0.3">
      <c r="A37">
        <v>17</v>
      </c>
      <c r="B37">
        <v>1</v>
      </c>
      <c r="C37">
        <v>5</v>
      </c>
      <c r="D37">
        <v>1</v>
      </c>
      <c r="E37" t="s">
        <v>32</v>
      </c>
      <c r="F37">
        <v>207</v>
      </c>
      <c r="G37">
        <v>5271</v>
      </c>
      <c r="H37">
        <v>585.5</v>
      </c>
      <c r="I37">
        <v>1539.1</v>
      </c>
      <c r="J37">
        <v>171</v>
      </c>
      <c r="K37">
        <f t="shared" si="23"/>
        <v>-27.100000000000364</v>
      </c>
      <c r="L37">
        <v>17</v>
      </c>
      <c r="M37">
        <v>1</v>
      </c>
      <c r="N37">
        <v>4</v>
      </c>
      <c r="O37">
        <v>1</v>
      </c>
      <c r="P37" t="s">
        <v>32</v>
      </c>
      <c r="Q37">
        <v>207</v>
      </c>
      <c r="R37">
        <v>5271</v>
      </c>
      <c r="S37">
        <v>585.5</v>
      </c>
      <c r="T37">
        <v>1539.1</v>
      </c>
      <c r="U37">
        <v>171</v>
      </c>
      <c r="V37">
        <f t="shared" si="24"/>
        <v>-27.100000000000364</v>
      </c>
      <c r="W37" s="6">
        <f t="shared" si="13"/>
        <v>1</v>
      </c>
      <c r="X37" s="6">
        <f t="shared" si="14"/>
        <v>1</v>
      </c>
      <c r="Y37" s="6">
        <f t="shared" si="15"/>
        <v>1.25</v>
      </c>
      <c r="Z37" s="6">
        <f t="shared" si="16"/>
        <v>1</v>
      </c>
      <c r="AA37" s="6" t="e">
        <f t="shared" si="17"/>
        <v>#VALUE!</v>
      </c>
      <c r="AB37" s="6">
        <f t="shared" si="18"/>
        <v>1</v>
      </c>
      <c r="AC37" s="6">
        <f t="shared" si="19"/>
        <v>1</v>
      </c>
      <c r="AD37" s="6">
        <f t="shared" si="20"/>
        <v>1</v>
      </c>
      <c r="AE37" s="6">
        <f t="shared" si="21"/>
        <v>1</v>
      </c>
      <c r="AF37" s="6">
        <f t="shared" si="22"/>
        <v>1</v>
      </c>
    </row>
    <row r="38" spans="1:36" x14ac:dyDescent="0.3">
      <c r="A38">
        <v>18</v>
      </c>
      <c r="B38">
        <v>1</v>
      </c>
      <c r="C38">
        <v>5</v>
      </c>
      <c r="D38">
        <v>1</v>
      </c>
      <c r="E38" t="s">
        <v>32</v>
      </c>
      <c r="F38">
        <v>208</v>
      </c>
      <c r="G38">
        <v>5252</v>
      </c>
      <c r="H38">
        <v>583.5</v>
      </c>
      <c r="I38">
        <v>1533.6</v>
      </c>
      <c r="J38">
        <v>170.4</v>
      </c>
      <c r="K38">
        <f t="shared" si="23"/>
        <v>-27.100000000000364</v>
      </c>
      <c r="L38">
        <v>18</v>
      </c>
      <c r="M38">
        <v>1</v>
      </c>
      <c r="N38">
        <v>4</v>
      </c>
      <c r="O38">
        <v>1</v>
      </c>
      <c r="P38" t="s">
        <v>32</v>
      </c>
      <c r="Q38">
        <v>208</v>
      </c>
      <c r="R38">
        <v>5252</v>
      </c>
      <c r="S38">
        <v>583.5</v>
      </c>
      <c r="T38">
        <v>1533.6</v>
      </c>
      <c r="U38">
        <v>170.4</v>
      </c>
      <c r="V38">
        <f t="shared" si="24"/>
        <v>-27.100000000000364</v>
      </c>
      <c r="W38" s="6">
        <f t="shared" si="13"/>
        <v>1</v>
      </c>
      <c r="X38" s="6">
        <f t="shared" si="14"/>
        <v>1</v>
      </c>
      <c r="Y38" s="6">
        <f t="shared" si="15"/>
        <v>1.25</v>
      </c>
      <c r="Z38" s="6">
        <f t="shared" si="16"/>
        <v>1</v>
      </c>
      <c r="AA38" s="6" t="e">
        <f t="shared" si="17"/>
        <v>#VALUE!</v>
      </c>
      <c r="AB38" s="6">
        <f t="shared" si="18"/>
        <v>1</v>
      </c>
      <c r="AC38" s="6">
        <f t="shared" si="19"/>
        <v>1</v>
      </c>
      <c r="AD38" s="6">
        <f t="shared" si="20"/>
        <v>1</v>
      </c>
      <c r="AE38" s="6">
        <f t="shared" si="21"/>
        <v>1</v>
      </c>
      <c r="AF38" s="6">
        <f t="shared" si="22"/>
        <v>1</v>
      </c>
    </row>
    <row r="39" spans="1:36" x14ac:dyDescent="0.3">
      <c r="A39">
        <v>19</v>
      </c>
      <c r="B39">
        <v>1</v>
      </c>
      <c r="C39">
        <v>5</v>
      </c>
      <c r="D39">
        <v>1</v>
      </c>
      <c r="E39" t="s">
        <v>32</v>
      </c>
      <c r="F39">
        <v>209</v>
      </c>
      <c r="G39">
        <v>5233.5</v>
      </c>
      <c r="H39">
        <v>581</v>
      </c>
      <c r="I39">
        <v>1528.1</v>
      </c>
      <c r="J39">
        <v>169.8</v>
      </c>
      <c r="K39">
        <f t="shared" si="23"/>
        <v>-27.099999999999454</v>
      </c>
      <c r="L39">
        <v>19</v>
      </c>
      <c r="M39">
        <v>1</v>
      </c>
      <c r="N39">
        <v>4</v>
      </c>
      <c r="O39">
        <v>1</v>
      </c>
      <c r="P39" t="s">
        <v>32</v>
      </c>
      <c r="Q39">
        <v>209</v>
      </c>
      <c r="R39">
        <v>5233.5</v>
      </c>
      <c r="S39">
        <v>581</v>
      </c>
      <c r="T39">
        <v>1528.1</v>
      </c>
      <c r="U39">
        <v>169.8</v>
      </c>
      <c r="V39">
        <f t="shared" si="24"/>
        <v>-27.099999999999454</v>
      </c>
      <c r="W39" s="6">
        <f t="shared" si="13"/>
        <v>1</v>
      </c>
      <c r="X39" s="6">
        <f t="shared" si="14"/>
        <v>1</v>
      </c>
      <c r="Y39" s="6">
        <f t="shared" si="15"/>
        <v>1.25</v>
      </c>
      <c r="Z39" s="6">
        <f t="shared" si="16"/>
        <v>1</v>
      </c>
      <c r="AA39" s="6" t="e">
        <f t="shared" si="17"/>
        <v>#VALUE!</v>
      </c>
      <c r="AB39" s="6">
        <f t="shared" si="18"/>
        <v>1</v>
      </c>
      <c r="AC39" s="6">
        <f t="shared" si="19"/>
        <v>1</v>
      </c>
      <c r="AD39" s="6">
        <f t="shared" si="20"/>
        <v>1</v>
      </c>
      <c r="AE39" s="6">
        <f t="shared" si="21"/>
        <v>1</v>
      </c>
      <c r="AF39" s="6">
        <f t="shared" si="22"/>
        <v>1</v>
      </c>
    </row>
    <row r="40" spans="1:36" x14ac:dyDescent="0.3">
      <c r="A40">
        <v>20</v>
      </c>
      <c r="B40">
        <v>1</v>
      </c>
      <c r="C40">
        <v>5</v>
      </c>
      <c r="D40">
        <v>1</v>
      </c>
      <c r="E40" t="s">
        <v>32</v>
      </c>
      <c r="F40">
        <v>210</v>
      </c>
      <c r="G40">
        <v>5214.5</v>
      </c>
      <c r="H40">
        <v>579</v>
      </c>
      <c r="I40">
        <v>1522.5</v>
      </c>
      <c r="J40">
        <v>169.2</v>
      </c>
      <c r="K40">
        <f t="shared" si="23"/>
        <v>-27.200000000000728</v>
      </c>
      <c r="L40">
        <v>20</v>
      </c>
      <c r="M40">
        <v>1</v>
      </c>
      <c r="N40">
        <v>4</v>
      </c>
      <c r="O40">
        <v>1</v>
      </c>
      <c r="P40" t="s">
        <v>32</v>
      </c>
      <c r="Q40">
        <v>210</v>
      </c>
      <c r="R40">
        <v>5214.5</v>
      </c>
      <c r="S40">
        <v>579</v>
      </c>
      <c r="T40">
        <v>1522.5</v>
      </c>
      <c r="U40">
        <v>169.2</v>
      </c>
      <c r="V40">
        <f t="shared" si="24"/>
        <v>-27.200000000000728</v>
      </c>
      <c r="W40" s="6">
        <f t="shared" si="13"/>
        <v>1</v>
      </c>
      <c r="X40" s="6">
        <f t="shared" si="14"/>
        <v>1</v>
      </c>
      <c r="Y40" s="6">
        <f t="shared" si="15"/>
        <v>1.25</v>
      </c>
      <c r="Z40" s="6">
        <f t="shared" si="16"/>
        <v>1</v>
      </c>
      <c r="AA40" s="6" t="e">
        <f t="shared" si="17"/>
        <v>#VALUE!</v>
      </c>
      <c r="AB40" s="6">
        <f t="shared" si="18"/>
        <v>1</v>
      </c>
      <c r="AC40" s="6">
        <f t="shared" si="19"/>
        <v>1</v>
      </c>
      <c r="AD40" s="6">
        <f t="shared" si="20"/>
        <v>1</v>
      </c>
      <c r="AE40" s="6">
        <f t="shared" si="21"/>
        <v>1</v>
      </c>
      <c r="AF40" s="6">
        <f t="shared" si="22"/>
        <v>1</v>
      </c>
    </row>
    <row r="41" spans="1:36" x14ac:dyDescent="0.3">
      <c r="A41">
        <v>21</v>
      </c>
      <c r="B41">
        <v>1</v>
      </c>
      <c r="C41">
        <v>5</v>
      </c>
      <c r="D41">
        <v>1</v>
      </c>
      <c r="E41" t="s">
        <v>32</v>
      </c>
      <c r="F41">
        <v>211</v>
      </c>
      <c r="G41">
        <v>5195.5</v>
      </c>
      <c r="H41">
        <v>577</v>
      </c>
      <c r="I41">
        <v>1517</v>
      </c>
      <c r="J41">
        <v>168.6</v>
      </c>
      <c r="K41">
        <f t="shared" si="23"/>
        <v>-27.099999999999454</v>
      </c>
      <c r="L41">
        <v>21</v>
      </c>
      <c r="M41">
        <v>1</v>
      </c>
      <c r="N41">
        <v>4</v>
      </c>
      <c r="O41">
        <v>1</v>
      </c>
      <c r="P41" t="s">
        <v>32</v>
      </c>
      <c r="Q41">
        <v>211</v>
      </c>
      <c r="R41">
        <v>5195.5</v>
      </c>
      <c r="S41">
        <v>577</v>
      </c>
      <c r="T41">
        <v>1517</v>
      </c>
      <c r="U41">
        <v>168.6</v>
      </c>
      <c r="V41">
        <f t="shared" si="24"/>
        <v>-27.099999999999454</v>
      </c>
      <c r="W41" s="6">
        <f t="shared" si="13"/>
        <v>1</v>
      </c>
      <c r="X41" s="6">
        <f t="shared" si="14"/>
        <v>1</v>
      </c>
      <c r="Y41" s="6">
        <f t="shared" si="15"/>
        <v>1.25</v>
      </c>
      <c r="Z41" s="6">
        <f t="shared" si="16"/>
        <v>1</v>
      </c>
      <c r="AA41" s="6" t="e">
        <f t="shared" si="17"/>
        <v>#VALUE!</v>
      </c>
      <c r="AB41" s="6">
        <f t="shared" si="18"/>
        <v>1</v>
      </c>
      <c r="AC41" s="6">
        <f t="shared" si="19"/>
        <v>1</v>
      </c>
      <c r="AD41" s="6">
        <f t="shared" si="20"/>
        <v>1</v>
      </c>
      <c r="AE41" s="6">
        <f t="shared" si="21"/>
        <v>1</v>
      </c>
      <c r="AF41" s="6">
        <f t="shared" si="22"/>
        <v>1</v>
      </c>
    </row>
    <row r="42" spans="1:36" x14ac:dyDescent="0.3">
      <c r="A42">
        <v>22</v>
      </c>
      <c r="B42">
        <v>1</v>
      </c>
      <c r="C42">
        <v>5</v>
      </c>
      <c r="D42">
        <v>1</v>
      </c>
      <c r="E42" t="s">
        <v>32</v>
      </c>
      <c r="F42">
        <v>212</v>
      </c>
      <c r="G42">
        <v>5176.5</v>
      </c>
      <c r="H42">
        <v>575</v>
      </c>
      <c r="I42">
        <v>1511.5</v>
      </c>
      <c r="J42">
        <v>167.9</v>
      </c>
      <c r="K42">
        <f t="shared" si="23"/>
        <v>-27.200000000000728</v>
      </c>
      <c r="L42">
        <v>22</v>
      </c>
      <c r="M42">
        <v>1</v>
      </c>
      <c r="N42">
        <v>4</v>
      </c>
      <c r="O42">
        <v>1</v>
      </c>
      <c r="P42" t="s">
        <v>32</v>
      </c>
      <c r="Q42">
        <v>212</v>
      </c>
      <c r="R42">
        <v>5176.5</v>
      </c>
      <c r="S42">
        <v>575</v>
      </c>
      <c r="T42">
        <v>1511.5</v>
      </c>
      <c r="U42">
        <v>167.9</v>
      </c>
      <c r="V42">
        <f t="shared" si="24"/>
        <v>-27.200000000000728</v>
      </c>
      <c r="W42" s="6">
        <f t="shared" si="13"/>
        <v>1</v>
      </c>
      <c r="X42" s="6">
        <f t="shared" si="14"/>
        <v>1</v>
      </c>
      <c r="Y42" s="6">
        <f t="shared" si="15"/>
        <v>1.25</v>
      </c>
      <c r="Z42" s="6">
        <f t="shared" si="16"/>
        <v>1</v>
      </c>
      <c r="AA42" s="6" t="e">
        <f t="shared" si="17"/>
        <v>#VALUE!</v>
      </c>
      <c r="AB42" s="6">
        <f t="shared" si="18"/>
        <v>1</v>
      </c>
      <c r="AC42" s="6">
        <f t="shared" si="19"/>
        <v>1</v>
      </c>
      <c r="AD42" s="6">
        <f t="shared" si="20"/>
        <v>1</v>
      </c>
      <c r="AE42" s="6">
        <f t="shared" si="21"/>
        <v>1</v>
      </c>
      <c r="AF42" s="6">
        <f t="shared" si="22"/>
        <v>1</v>
      </c>
    </row>
    <row r="43" spans="1:36" x14ac:dyDescent="0.3">
      <c r="A43">
        <v>23</v>
      </c>
      <c r="B43">
        <v>1</v>
      </c>
      <c r="C43">
        <v>5</v>
      </c>
      <c r="D43">
        <v>1</v>
      </c>
      <c r="E43" t="s">
        <v>32</v>
      </c>
      <c r="F43">
        <v>213</v>
      </c>
      <c r="G43">
        <v>5158</v>
      </c>
      <c r="H43">
        <v>573</v>
      </c>
      <c r="I43">
        <v>1506.1</v>
      </c>
      <c r="J43">
        <v>167.3</v>
      </c>
      <c r="K43">
        <f t="shared" si="23"/>
        <v>-26.499999999999091</v>
      </c>
      <c r="L43">
        <v>23</v>
      </c>
      <c r="M43">
        <v>1</v>
      </c>
      <c r="N43">
        <v>4</v>
      </c>
      <c r="O43">
        <v>1</v>
      </c>
      <c r="P43" t="s">
        <v>32</v>
      </c>
      <c r="Q43">
        <v>213</v>
      </c>
      <c r="R43">
        <v>5158</v>
      </c>
      <c r="S43">
        <v>573</v>
      </c>
      <c r="T43">
        <v>1506.1</v>
      </c>
      <c r="U43">
        <v>167.3</v>
      </c>
      <c r="V43">
        <f t="shared" si="24"/>
        <v>-26.499999999999091</v>
      </c>
      <c r="W43" s="6">
        <f t="shared" si="13"/>
        <v>1</v>
      </c>
      <c r="X43" s="6">
        <f t="shared" si="14"/>
        <v>1</v>
      </c>
      <c r="Y43" s="6">
        <f t="shared" si="15"/>
        <v>1.25</v>
      </c>
      <c r="Z43" s="6">
        <f t="shared" si="16"/>
        <v>1</v>
      </c>
      <c r="AA43" s="6" t="e">
        <f t="shared" si="17"/>
        <v>#VALUE!</v>
      </c>
      <c r="AB43" s="6">
        <f t="shared" si="18"/>
        <v>1</v>
      </c>
      <c r="AC43" s="6">
        <f t="shared" si="19"/>
        <v>1</v>
      </c>
      <c r="AD43" s="6">
        <f t="shared" si="20"/>
        <v>1</v>
      </c>
      <c r="AE43" s="6">
        <f t="shared" si="21"/>
        <v>1</v>
      </c>
      <c r="AF43" s="6">
        <f t="shared" si="22"/>
        <v>1</v>
      </c>
    </row>
    <row r="45" spans="1:36" ht="28.8" x14ac:dyDescent="0.55000000000000004">
      <c r="AB45" s="37" t="s">
        <v>219</v>
      </c>
    </row>
    <row r="46" spans="1:36" x14ac:dyDescent="0.3">
      <c r="L46" t="s">
        <v>22</v>
      </c>
      <c r="M46" t="s">
        <v>23</v>
      </c>
      <c r="N46" t="s">
        <v>24</v>
      </c>
      <c r="O46" t="s">
        <v>25</v>
      </c>
      <c r="P46" t="s">
        <v>26</v>
      </c>
      <c r="Q46" t="s">
        <v>121</v>
      </c>
      <c r="R46" t="s">
        <v>122</v>
      </c>
      <c r="S46" t="s">
        <v>123</v>
      </c>
      <c r="T46" t="s">
        <v>124</v>
      </c>
      <c r="U46" t="s">
        <v>125</v>
      </c>
      <c r="V46" t="s">
        <v>126</v>
      </c>
      <c r="W46" t="s">
        <v>127</v>
      </c>
      <c r="X46" t="s">
        <v>128</v>
      </c>
      <c r="Y46" t="s">
        <v>129</v>
      </c>
      <c r="AA46" t="s">
        <v>218</v>
      </c>
      <c r="AB46" t="s">
        <v>121</v>
      </c>
      <c r="AC46" t="s">
        <v>122</v>
      </c>
      <c r="AD46" t="s">
        <v>123</v>
      </c>
      <c r="AE46" t="s">
        <v>124</v>
      </c>
      <c r="AF46" t="s">
        <v>125</v>
      </c>
      <c r="AG46" t="s">
        <v>126</v>
      </c>
      <c r="AH46" t="s">
        <v>127</v>
      </c>
      <c r="AI46" t="s">
        <v>128</v>
      </c>
      <c r="AJ46" t="s">
        <v>129</v>
      </c>
    </row>
    <row r="47" spans="1:36" x14ac:dyDescent="0.3">
      <c r="L47">
        <v>0</v>
      </c>
      <c r="M47">
        <v>2</v>
      </c>
      <c r="N47">
        <v>1</v>
      </c>
      <c r="O47">
        <v>0</v>
      </c>
      <c r="P47" t="s">
        <v>33</v>
      </c>
      <c r="Q47">
        <v>201.28200000000001</v>
      </c>
      <c r="R47">
        <v>42.098999999999997</v>
      </c>
      <c r="S47">
        <v>607.154</v>
      </c>
      <c r="T47">
        <v>563.22900000000004</v>
      </c>
      <c r="U47">
        <v>1367.14</v>
      </c>
      <c r="V47">
        <v>3144.808</v>
      </c>
      <c r="W47">
        <v>1373.9349999999999</v>
      </c>
      <c r="X47">
        <v>1188.902</v>
      </c>
      <c r="Y47">
        <v>320.27999999999997</v>
      </c>
      <c r="Z47" s="6"/>
      <c r="AA47" s="6"/>
      <c r="AB47" s="6"/>
      <c r="AC47" s="6"/>
      <c r="AD47" s="6"/>
      <c r="AE47" s="6"/>
      <c r="AF47" s="6"/>
    </row>
    <row r="48" spans="1:36" x14ac:dyDescent="0.3">
      <c r="L48">
        <v>0</v>
      </c>
      <c r="M48">
        <v>2</v>
      </c>
      <c r="N48">
        <v>1</v>
      </c>
      <c r="O48">
        <v>0</v>
      </c>
      <c r="P48" t="s">
        <v>32</v>
      </c>
      <c r="Q48">
        <v>0</v>
      </c>
      <c r="R48">
        <v>0</v>
      </c>
      <c r="S48">
        <v>0</v>
      </c>
      <c r="T48">
        <v>0</v>
      </c>
      <c r="U48">
        <v>5.6000000000000001E-2</v>
      </c>
      <c r="V48">
        <v>4.6159999999999997</v>
      </c>
      <c r="W48">
        <v>3.7509999999999999</v>
      </c>
      <c r="X48">
        <v>0</v>
      </c>
      <c r="Y48">
        <v>0</v>
      </c>
      <c r="Z48" s="6"/>
      <c r="AA48" s="6"/>
      <c r="AB48" s="6"/>
      <c r="AC48" s="6"/>
      <c r="AD48" s="6"/>
      <c r="AE48" s="6"/>
      <c r="AF48" s="6"/>
    </row>
    <row r="49" spans="12:60" x14ac:dyDescent="0.3">
      <c r="L49">
        <v>1</v>
      </c>
      <c r="M49">
        <v>2</v>
      </c>
      <c r="N49">
        <v>1</v>
      </c>
      <c r="O49">
        <v>0</v>
      </c>
      <c r="P49" t="s">
        <v>33</v>
      </c>
      <c r="Q49">
        <v>144.17500000000001</v>
      </c>
      <c r="R49">
        <v>24.151</v>
      </c>
      <c r="S49">
        <v>560.976</v>
      </c>
      <c r="T49">
        <v>545.26800000000003</v>
      </c>
      <c r="U49">
        <v>1387.2139999999999</v>
      </c>
      <c r="V49">
        <v>3159.143</v>
      </c>
      <c r="W49">
        <v>1377.105</v>
      </c>
      <c r="X49">
        <v>1080.452</v>
      </c>
      <c r="Y49">
        <v>271.048</v>
      </c>
      <c r="Z49" t="s">
        <v>33</v>
      </c>
      <c r="AA49" s="6">
        <f>SUM(Q49:Y49)-SUM(Q47:Y47)</f>
        <v>-259.2970000000023</v>
      </c>
      <c r="AB49" s="6">
        <f>Q49-Q47</f>
        <v>-57.106999999999999</v>
      </c>
      <c r="AC49" s="6">
        <f t="shared" ref="AC49:AJ49" si="25">R49-R47</f>
        <v>-17.947999999999997</v>
      </c>
      <c r="AD49" s="33">
        <f t="shared" si="25"/>
        <v>-46.177999999999997</v>
      </c>
      <c r="AE49" s="6">
        <f t="shared" si="25"/>
        <v>-17.961000000000013</v>
      </c>
      <c r="AF49" s="6">
        <f t="shared" si="25"/>
        <v>20.073999999999842</v>
      </c>
      <c r="AG49" s="39">
        <f>V49-V47</f>
        <v>14.335000000000036</v>
      </c>
      <c r="AH49" s="6">
        <f>W49-W47</f>
        <v>3.1700000000000728</v>
      </c>
      <c r="AI49" s="6">
        <f t="shared" si="25"/>
        <v>-108.45000000000005</v>
      </c>
      <c r="AJ49" s="6">
        <f t="shared" si="25"/>
        <v>-49.231999999999971</v>
      </c>
      <c r="AK49" t="s">
        <v>231</v>
      </c>
    </row>
    <row r="50" spans="12:60" x14ac:dyDescent="0.3">
      <c r="L50">
        <v>1</v>
      </c>
      <c r="M50">
        <v>2</v>
      </c>
      <c r="N50">
        <v>1</v>
      </c>
      <c r="O50">
        <v>0</v>
      </c>
      <c r="P50" t="s">
        <v>32</v>
      </c>
      <c r="Q50">
        <v>14.821999999999999</v>
      </c>
      <c r="R50">
        <v>5.8159999999999998</v>
      </c>
      <c r="S50">
        <v>0.81100000000000005</v>
      </c>
      <c r="T50">
        <v>0.89400000000000002</v>
      </c>
      <c r="U50">
        <v>5.5E-2</v>
      </c>
      <c r="V50">
        <v>5.6719999999999997</v>
      </c>
      <c r="W50">
        <v>4.4530000000000003</v>
      </c>
      <c r="X50">
        <v>0</v>
      </c>
      <c r="Y50">
        <v>0</v>
      </c>
      <c r="Z50" t="s">
        <v>32</v>
      </c>
      <c r="AA50" s="6">
        <f>SUM(Q50:Y50)-SUM(Q48:Y48)</f>
        <v>24.099999999999994</v>
      </c>
      <c r="AB50" s="6">
        <f>Q50-Q48</f>
        <v>14.821999999999999</v>
      </c>
      <c r="AC50" s="6">
        <f t="shared" ref="AC50" si="26">R50-R48</f>
        <v>5.8159999999999998</v>
      </c>
      <c r="AD50" s="33">
        <f t="shared" ref="AD50" si="27">S50-S48</f>
        <v>0.81100000000000005</v>
      </c>
      <c r="AE50" s="6">
        <f t="shared" ref="AE50" si="28">T50-T48</f>
        <v>0.89400000000000002</v>
      </c>
      <c r="AF50" s="6">
        <f t="shared" ref="AF50" si="29">U50-U48</f>
        <v>-1.0000000000000009E-3</v>
      </c>
      <c r="AG50" s="6">
        <f t="shared" ref="AG50" si="30">V50-V48</f>
        <v>1.056</v>
      </c>
      <c r="AH50" s="6">
        <f t="shared" ref="AH50" si="31">W50-W48</f>
        <v>0.7020000000000004</v>
      </c>
      <c r="AI50" s="6">
        <f t="shared" ref="AI50" si="32">X50-X48</f>
        <v>0</v>
      </c>
      <c r="AJ50" s="6">
        <f t="shared" ref="AJ50" si="33">Y50-Y48</f>
        <v>0</v>
      </c>
    </row>
    <row r="51" spans="12:60" x14ac:dyDescent="0.3">
      <c r="L51">
        <v>2</v>
      </c>
      <c r="M51">
        <v>2</v>
      </c>
      <c r="N51">
        <v>1</v>
      </c>
      <c r="O51">
        <v>0</v>
      </c>
      <c r="P51" t="s">
        <v>33</v>
      </c>
      <c r="Q51">
        <v>103.271</v>
      </c>
      <c r="R51">
        <v>13.855</v>
      </c>
      <c r="S51">
        <v>516.12800000000004</v>
      </c>
      <c r="T51">
        <v>527.88099999999997</v>
      </c>
      <c r="U51">
        <v>1403.604</v>
      </c>
      <c r="V51">
        <v>3167.837</v>
      </c>
      <c r="W51">
        <v>1378.9010000000001</v>
      </c>
      <c r="X51">
        <v>981.89400000000001</v>
      </c>
      <c r="Y51">
        <v>229.38300000000001</v>
      </c>
      <c r="AD51" s="7"/>
    </row>
    <row r="52" spans="12:60" x14ac:dyDescent="0.3">
      <c r="L52">
        <v>2</v>
      </c>
      <c r="M52">
        <v>2</v>
      </c>
      <c r="N52">
        <v>1</v>
      </c>
      <c r="O52">
        <v>0</v>
      </c>
      <c r="P52" t="s">
        <v>32</v>
      </c>
      <c r="Q52">
        <v>27.178999999999998</v>
      </c>
      <c r="R52">
        <v>9.8490000000000002</v>
      </c>
      <c r="S52">
        <v>1.619</v>
      </c>
      <c r="T52">
        <v>1.867</v>
      </c>
      <c r="U52">
        <v>5.3999999999999999E-2</v>
      </c>
      <c r="V52">
        <v>7.6360000000000001</v>
      </c>
      <c r="W52">
        <v>5.6630000000000003</v>
      </c>
      <c r="X52">
        <v>0</v>
      </c>
      <c r="Y52">
        <v>0</v>
      </c>
      <c r="AA52" t="s">
        <v>22</v>
      </c>
      <c r="AB52" t="s">
        <v>23</v>
      </c>
      <c r="AC52" t="s">
        <v>24</v>
      </c>
      <c r="AD52" s="7" t="s">
        <v>25</v>
      </c>
      <c r="AE52" t="s">
        <v>26</v>
      </c>
      <c r="AF52" t="s">
        <v>38</v>
      </c>
      <c r="AG52" t="s">
        <v>97</v>
      </c>
      <c r="AH52" t="s">
        <v>220</v>
      </c>
      <c r="AI52" t="s">
        <v>98</v>
      </c>
      <c r="AJ52" t="s">
        <v>221</v>
      </c>
      <c r="AK52" t="s">
        <v>99</v>
      </c>
      <c r="AL52" t="s">
        <v>222</v>
      </c>
      <c r="AM52" t="s">
        <v>100</v>
      </c>
      <c r="AN52" t="s">
        <v>223</v>
      </c>
      <c r="AO52" t="s">
        <v>101</v>
      </c>
      <c r="AP52" t="s">
        <v>224</v>
      </c>
      <c r="AQ52" t="s">
        <v>102</v>
      </c>
      <c r="AR52" t="s">
        <v>225</v>
      </c>
      <c r="AS52" t="s">
        <v>103</v>
      </c>
      <c r="AT52" t="s">
        <v>226</v>
      </c>
      <c r="AU52" t="s">
        <v>104</v>
      </c>
      <c r="AV52" t="s">
        <v>227</v>
      </c>
      <c r="AW52" t="s">
        <v>105</v>
      </c>
      <c r="AX52" t="s">
        <v>106</v>
      </c>
      <c r="AY52" t="s">
        <v>228</v>
      </c>
      <c r="AZ52" t="s">
        <v>107</v>
      </c>
      <c r="BA52" t="s">
        <v>108</v>
      </c>
      <c r="BB52" t="s">
        <v>229</v>
      </c>
      <c r="BC52" t="s">
        <v>39</v>
      </c>
      <c r="BD52" t="s">
        <v>41</v>
      </c>
      <c r="BE52" t="s">
        <v>43</v>
      </c>
      <c r="BF52" t="s">
        <v>45</v>
      </c>
      <c r="BG52" t="s">
        <v>47</v>
      </c>
      <c r="BH52" t="s">
        <v>94</v>
      </c>
    </row>
    <row r="53" spans="12:60" x14ac:dyDescent="0.3">
      <c r="L53">
        <v>3</v>
      </c>
      <c r="M53">
        <v>2</v>
      </c>
      <c r="N53">
        <v>1</v>
      </c>
      <c r="O53">
        <v>0</v>
      </c>
      <c r="P53" t="s">
        <v>33</v>
      </c>
      <c r="Q53">
        <v>73.971000000000004</v>
      </c>
      <c r="R53">
        <v>7.9489999999999998</v>
      </c>
      <c r="S53">
        <v>473.11</v>
      </c>
      <c r="T53">
        <v>511.04700000000003</v>
      </c>
      <c r="U53">
        <v>1416.671</v>
      </c>
      <c r="V53">
        <v>3171.9850000000001</v>
      </c>
      <c r="W53">
        <v>1379.866</v>
      </c>
      <c r="X53">
        <v>892.327</v>
      </c>
      <c r="Y53">
        <v>194.12299999999999</v>
      </c>
      <c r="AA53">
        <v>1</v>
      </c>
      <c r="AB53">
        <v>2</v>
      </c>
      <c r="AC53">
        <v>1</v>
      </c>
      <c r="AD53" s="7">
        <v>0</v>
      </c>
      <c r="AE53" t="s">
        <v>33</v>
      </c>
      <c r="AF53">
        <v>0</v>
      </c>
      <c r="AG53">
        <v>46.542000000000002</v>
      </c>
      <c r="AH53">
        <v>10.565</v>
      </c>
      <c r="AI53">
        <v>14.896000000000001</v>
      </c>
      <c r="AJ53">
        <v>3.0510000000000002</v>
      </c>
      <c r="AK53">
        <v>64.911000000000001</v>
      </c>
      <c r="AL53">
        <v>13.295</v>
      </c>
      <c r="AM53">
        <v>14.907</v>
      </c>
      <c r="AN53">
        <v>3.0529999999999999</v>
      </c>
      <c r="AO53">
        <v>14.916</v>
      </c>
      <c r="AP53">
        <v>3.0550000000000002</v>
      </c>
      <c r="AQ53">
        <v>8.4039999999999999</v>
      </c>
      <c r="AR53">
        <v>19.068999999999999</v>
      </c>
      <c r="AS53">
        <v>22.004000000000001</v>
      </c>
      <c r="AT53">
        <v>0</v>
      </c>
      <c r="AU53">
        <v>58.436999999999998</v>
      </c>
      <c r="AV53">
        <v>11.968999999999999</v>
      </c>
      <c r="AW53">
        <v>38.045000000000002</v>
      </c>
      <c r="AX53">
        <v>14.279</v>
      </c>
      <c r="AY53">
        <v>2.9249999999999998</v>
      </c>
      <c r="AZ53">
        <v>32.027999999999999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2:60" x14ac:dyDescent="0.3">
      <c r="L54">
        <v>3</v>
      </c>
      <c r="M54">
        <v>2</v>
      </c>
      <c r="N54">
        <v>1</v>
      </c>
      <c r="O54">
        <v>0</v>
      </c>
      <c r="P54" t="s">
        <v>32</v>
      </c>
      <c r="Q54">
        <v>38.024999999999999</v>
      </c>
      <c r="R54">
        <v>12.964</v>
      </c>
      <c r="S54">
        <v>2.4409999999999998</v>
      </c>
      <c r="T54">
        <v>2.9319999999999999</v>
      </c>
      <c r="U54">
        <v>5.2999999999999999E-2</v>
      </c>
      <c r="V54">
        <v>10.39</v>
      </c>
      <c r="W54">
        <v>7.2629999999999999</v>
      </c>
      <c r="X54">
        <v>0</v>
      </c>
      <c r="Y54">
        <v>0</v>
      </c>
      <c r="AA54">
        <v>1</v>
      </c>
      <c r="AB54">
        <v>2</v>
      </c>
      <c r="AC54">
        <v>1</v>
      </c>
      <c r="AD54" s="7">
        <v>0</v>
      </c>
      <c r="AE54" t="s">
        <v>32</v>
      </c>
      <c r="AF54">
        <v>0</v>
      </c>
      <c r="AG54">
        <v>4.7850000000000001</v>
      </c>
      <c r="AH54">
        <v>1.0860000000000001</v>
      </c>
      <c r="AI54">
        <v>3.5870000000000002</v>
      </c>
      <c r="AJ54">
        <v>0.73499999999999999</v>
      </c>
      <c r="AK54">
        <v>9.4E-2</v>
      </c>
      <c r="AL54">
        <v>1.9E-2</v>
      </c>
      <c r="AM54">
        <v>2.4E-2</v>
      </c>
      <c r="AN54">
        <v>5.0000000000000001E-3</v>
      </c>
      <c r="AO54">
        <v>1E-3</v>
      </c>
      <c r="AP54">
        <v>0</v>
      </c>
      <c r="AQ54">
        <v>1.4999999999999999E-2</v>
      </c>
      <c r="AR54">
        <v>3.4000000000000002E-2</v>
      </c>
      <c r="AS54">
        <v>7.1999999999999995E-2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10.555</v>
      </c>
      <c r="BE54" s="31">
        <v>0</v>
      </c>
      <c r="BF54">
        <v>1.847</v>
      </c>
      <c r="BG54">
        <v>20.274999999999999</v>
      </c>
    </row>
    <row r="55" spans="12:60" x14ac:dyDescent="0.3">
      <c r="L55">
        <v>4</v>
      </c>
      <c r="M55">
        <v>2</v>
      </c>
      <c r="N55">
        <v>1</v>
      </c>
      <c r="O55">
        <v>0</v>
      </c>
      <c r="P55" t="s">
        <v>33</v>
      </c>
      <c r="Q55">
        <v>52.984000000000002</v>
      </c>
      <c r="R55">
        <v>4.5599999999999996</v>
      </c>
      <c r="S55">
        <v>432.26</v>
      </c>
      <c r="T55">
        <v>494.75099999999998</v>
      </c>
      <c r="U55">
        <v>1426.742</v>
      </c>
      <c r="V55">
        <v>3172.4209999999998</v>
      </c>
      <c r="W55">
        <v>1380.308</v>
      </c>
      <c r="X55">
        <v>810.93</v>
      </c>
      <c r="Y55">
        <v>164.28399999999999</v>
      </c>
      <c r="AD55" s="7"/>
      <c r="AG55" s="5" t="s">
        <v>241</v>
      </c>
      <c r="AH55" s="5"/>
      <c r="AI55" s="5"/>
      <c r="AJ55" s="5"/>
    </row>
    <row r="56" spans="12:60" x14ac:dyDescent="0.3">
      <c r="L56">
        <v>4</v>
      </c>
      <c r="M56">
        <v>2</v>
      </c>
      <c r="N56">
        <v>1</v>
      </c>
      <c r="O56">
        <v>0</v>
      </c>
      <c r="P56" t="s">
        <v>32</v>
      </c>
      <c r="Q56">
        <v>48.034999999999997</v>
      </c>
      <c r="R56">
        <v>15.656000000000001</v>
      </c>
      <c r="S56">
        <v>3.2879999999999998</v>
      </c>
      <c r="T56">
        <v>4.1020000000000003</v>
      </c>
      <c r="U56">
        <v>5.2999999999999999E-2</v>
      </c>
      <c r="V56">
        <v>13.867000000000001</v>
      </c>
      <c r="W56">
        <v>9.1999999999999993</v>
      </c>
      <c r="X56">
        <v>0</v>
      </c>
      <c r="Y56">
        <v>0</v>
      </c>
      <c r="AB56" t="s">
        <v>230</v>
      </c>
      <c r="AD56" s="7"/>
    </row>
    <row r="57" spans="12:60" x14ac:dyDescent="0.3">
      <c r="L57">
        <v>5</v>
      </c>
      <c r="M57">
        <v>2</v>
      </c>
      <c r="N57">
        <v>1</v>
      </c>
      <c r="O57">
        <v>0</v>
      </c>
      <c r="P57" t="s">
        <v>33</v>
      </c>
      <c r="Q57">
        <v>37.951999999999998</v>
      </c>
      <c r="R57">
        <v>2.6160000000000001</v>
      </c>
      <c r="S57">
        <v>393.79</v>
      </c>
      <c r="T57">
        <v>478.97399999999999</v>
      </c>
      <c r="U57">
        <v>1434.1130000000001</v>
      </c>
      <c r="V57">
        <v>3169.7910000000002</v>
      </c>
      <c r="W57">
        <v>1380.3979999999999</v>
      </c>
      <c r="X57">
        <v>736.95799999999997</v>
      </c>
      <c r="Y57">
        <v>139.03100000000001</v>
      </c>
      <c r="AB57" t="s">
        <v>121</v>
      </c>
      <c r="AC57" t="s">
        <v>122</v>
      </c>
      <c r="AD57" s="7" t="s">
        <v>123</v>
      </c>
      <c r="AE57" t="s">
        <v>124</v>
      </c>
      <c r="AF57" t="s">
        <v>125</v>
      </c>
      <c r="AG57" t="s">
        <v>126</v>
      </c>
      <c r="AH57" t="s">
        <v>127</v>
      </c>
      <c r="AI57" t="s">
        <v>128</v>
      </c>
      <c r="AJ57" t="s">
        <v>129</v>
      </c>
    </row>
    <row r="58" spans="12:60" x14ac:dyDescent="0.3">
      <c r="L58">
        <v>5</v>
      </c>
      <c r="M58">
        <v>2</v>
      </c>
      <c r="N58">
        <v>1</v>
      </c>
      <c r="O58">
        <v>0</v>
      </c>
      <c r="P58" t="s">
        <v>32</v>
      </c>
      <c r="Q58">
        <v>57.76</v>
      </c>
      <c r="R58">
        <v>18.231000000000002</v>
      </c>
      <c r="S58">
        <v>4.1740000000000004</v>
      </c>
      <c r="T58">
        <v>5.3929999999999998</v>
      </c>
      <c r="U58">
        <v>5.1999999999999998E-2</v>
      </c>
      <c r="V58">
        <v>18.041</v>
      </c>
      <c r="W58">
        <v>11.459</v>
      </c>
      <c r="X58">
        <v>0</v>
      </c>
      <c r="Y58">
        <v>0</v>
      </c>
      <c r="AB58">
        <f>SUM(AG53:AH53)*-1+BD53+(BG53*0.5)</f>
        <v>-57.106999999999999</v>
      </c>
      <c r="AC58">
        <f>SUM(AI53:AJ53)*-1+(BD53*0.5)</f>
        <v>-17.947000000000003</v>
      </c>
      <c r="AD58" s="7">
        <f>SUM(AK53:AL53)*-1+AZ53+BE53*0.75+BF53*0.5</f>
        <v>-46.178000000000004</v>
      </c>
      <c r="AE58">
        <f>SUM(AM53:AN53)*-1+(BF53*0.5)</f>
        <v>-17.96</v>
      </c>
      <c r="AF58">
        <f>SUM(AO53:AP53)*-1+AW53</f>
        <v>20.074000000000002</v>
      </c>
      <c r="AG58" s="38">
        <f>SUM(AQ53:AR53)*-1+SUM(AV53,AH53,AL53,AP53,AY53)</f>
        <v>14.335999999999999</v>
      </c>
      <c r="AH58">
        <f>SUM(AS53:AT53)*-1+AR53+AJ53+AN53</f>
        <v>3.1689999999999978</v>
      </c>
      <c r="AI58">
        <f>SUM(AU53:AW53)*-1+BC53</f>
        <v>-108.45099999999999</v>
      </c>
      <c r="AJ58">
        <f>SUM(AX53:AZ53)*-1+BE53</f>
        <v>-49.231999999999999</v>
      </c>
    </row>
    <row r="59" spans="12:60" x14ac:dyDescent="0.3">
      <c r="L59">
        <v>6</v>
      </c>
      <c r="M59">
        <v>2</v>
      </c>
      <c r="N59">
        <v>1</v>
      </c>
      <c r="O59">
        <v>0</v>
      </c>
      <c r="P59" t="s">
        <v>33</v>
      </c>
      <c r="Q59">
        <v>27.184000000000001</v>
      </c>
      <c r="R59">
        <v>1.5009999999999999</v>
      </c>
      <c r="S59">
        <v>357.81099999999998</v>
      </c>
      <c r="T59">
        <v>463.7</v>
      </c>
      <c r="U59">
        <v>1439.0519999999999</v>
      </c>
      <c r="V59">
        <v>3164.6</v>
      </c>
      <c r="W59">
        <v>1380.232</v>
      </c>
      <c r="X59">
        <v>669.73299999999995</v>
      </c>
      <c r="Y59">
        <v>117.65900000000001</v>
      </c>
      <c r="AB59">
        <f>SUM(AG54:AH54)*-1+BD54+(BG54*0.5)</f>
        <v>14.821499999999999</v>
      </c>
      <c r="AC59">
        <f>SUM(AI54:AJ54)*-1+(BG54*0.5)</f>
        <v>5.8154999999999992</v>
      </c>
      <c r="AD59" s="7">
        <f>SUM(AK54:AL54)*-1+AZ54+BE54*0.75+BF54*0.5</f>
        <v>0.8105</v>
      </c>
      <c r="AE59">
        <f>SUM(AM54:AN54)*-1+(BF54*0.5)</f>
        <v>0.89449999999999996</v>
      </c>
      <c r="AF59">
        <f>SUM(AO54:AP54)*-1+AW54</f>
        <v>-1E-3</v>
      </c>
      <c r="AG59" s="38">
        <f>SUM(AQ54:AR54)*-1+SUM(AV54,AH54,AL54,AP54,AY54)</f>
        <v>1.056</v>
      </c>
      <c r="AH59">
        <f>SUM(AS54:AT54)*-1+AR54+AJ54+AN54</f>
        <v>0.70199999999999996</v>
      </c>
      <c r="AI59">
        <f>SUM(AU54:AW54)*-1+BC54</f>
        <v>0</v>
      </c>
      <c r="AJ59">
        <f>SUM(AX54:AZ54)*-1+BE54</f>
        <v>0</v>
      </c>
    </row>
    <row r="60" spans="12:60" x14ac:dyDescent="0.3">
      <c r="L60">
        <v>6</v>
      </c>
      <c r="M60">
        <v>2</v>
      </c>
      <c r="N60">
        <v>1</v>
      </c>
      <c r="O60">
        <v>0</v>
      </c>
      <c r="P60" t="s">
        <v>32</v>
      </c>
      <c r="Q60">
        <v>67.591999999999999</v>
      </c>
      <c r="R60">
        <v>20.882999999999999</v>
      </c>
      <c r="S60">
        <v>5.117</v>
      </c>
      <c r="T60">
        <v>6.8239999999999998</v>
      </c>
      <c r="U60">
        <v>5.0999999999999997E-2</v>
      </c>
      <c r="V60">
        <v>22.917000000000002</v>
      </c>
      <c r="W60">
        <v>14.048</v>
      </c>
      <c r="X60">
        <v>0</v>
      </c>
      <c r="Y60">
        <v>0</v>
      </c>
      <c r="AD60" s="7"/>
    </row>
    <row r="61" spans="12:60" ht="28.8" x14ac:dyDescent="0.3">
      <c r="L61">
        <v>7</v>
      </c>
      <c r="M61">
        <v>2</v>
      </c>
      <c r="N61">
        <v>1</v>
      </c>
      <c r="O61">
        <v>0</v>
      </c>
      <c r="P61" t="s">
        <v>33</v>
      </c>
      <c r="Q61">
        <v>19.472000000000001</v>
      </c>
      <c r="R61">
        <v>0.86099999999999999</v>
      </c>
      <c r="S61">
        <v>324.358</v>
      </c>
      <c r="T61">
        <v>448.91300000000001</v>
      </c>
      <c r="U61">
        <v>1441.8050000000001</v>
      </c>
      <c r="V61">
        <v>3157.2489999999998</v>
      </c>
      <c r="W61">
        <v>1379.864</v>
      </c>
      <c r="X61">
        <v>608.64099999999996</v>
      </c>
      <c r="Y61">
        <v>99.572999999999993</v>
      </c>
      <c r="AA61" s="35" t="s">
        <v>232</v>
      </c>
      <c r="AB61" s="6">
        <f>AB58/AB49</f>
        <v>1</v>
      </c>
      <c r="AC61" s="6">
        <f t="shared" ref="AC61:AJ62" si="34">AC58/AC49</f>
        <v>0.99994428348562547</v>
      </c>
      <c r="AD61" s="33">
        <f t="shared" si="34"/>
        <v>1.0000000000000002</v>
      </c>
      <c r="AE61" s="6">
        <f t="shared" si="34"/>
        <v>0.99994432381270459</v>
      </c>
      <c r="AF61" s="6">
        <f t="shared" si="34"/>
        <v>1.000000000000008</v>
      </c>
      <c r="AG61" s="33">
        <f t="shared" si="34"/>
        <v>1.0000697593303078</v>
      </c>
      <c r="AH61" s="33">
        <f t="shared" si="34"/>
        <v>0.99968454258672712</v>
      </c>
      <c r="AI61" s="6">
        <f t="shared" si="34"/>
        <v>1.0000092208390958</v>
      </c>
      <c r="AJ61" s="6">
        <f t="shared" si="34"/>
        <v>1.0000000000000007</v>
      </c>
    </row>
    <row r="62" spans="12:60" x14ac:dyDescent="0.3">
      <c r="L62">
        <v>7</v>
      </c>
      <c r="M62">
        <v>2</v>
      </c>
      <c r="N62">
        <v>1</v>
      </c>
      <c r="O62">
        <v>0</v>
      </c>
      <c r="P62" t="s">
        <v>32</v>
      </c>
      <c r="Q62">
        <v>77.924999999999997</v>
      </c>
      <c r="R62">
        <v>23.736999999999998</v>
      </c>
      <c r="S62">
        <v>6.1289999999999996</v>
      </c>
      <c r="T62">
        <v>8.4139999999999997</v>
      </c>
      <c r="U62">
        <v>5.0999999999999997E-2</v>
      </c>
      <c r="V62">
        <v>28.524000000000001</v>
      </c>
      <c r="W62">
        <v>16.992999999999999</v>
      </c>
      <c r="X62">
        <v>0</v>
      </c>
      <c r="Y62">
        <v>0</v>
      </c>
      <c r="AB62" s="33">
        <f>AB59/AB50</f>
        <v>0.99996626636081498</v>
      </c>
      <c r="AC62" s="33">
        <f>AC59/AC50</f>
        <v>0.99991403026134795</v>
      </c>
      <c r="AD62" s="33">
        <f>AD59/AD50</f>
        <v>0.99938347718865594</v>
      </c>
      <c r="AE62" s="6">
        <f>AE59/AE50</f>
        <v>1.0005592841163311</v>
      </c>
      <c r="AF62" s="6">
        <f t="shared" si="34"/>
        <v>0.99999999999999911</v>
      </c>
      <c r="AG62" s="33">
        <f t="shared" si="34"/>
        <v>1</v>
      </c>
      <c r="AH62" s="33">
        <f t="shared" si="34"/>
        <v>0.99999999999999933</v>
      </c>
      <c r="AI62" s="6" t="e">
        <f t="shared" si="34"/>
        <v>#DIV/0!</v>
      </c>
      <c r="AJ62" s="6" t="e">
        <f t="shared" si="34"/>
        <v>#DIV/0!</v>
      </c>
    </row>
    <row r="63" spans="12:60" x14ac:dyDescent="0.3">
      <c r="L63">
        <v>8</v>
      </c>
      <c r="M63">
        <v>2</v>
      </c>
      <c r="N63">
        <v>1</v>
      </c>
      <c r="O63">
        <v>0</v>
      </c>
      <c r="P63" t="s">
        <v>33</v>
      </c>
      <c r="Q63">
        <v>13.946999999999999</v>
      </c>
      <c r="R63">
        <v>0.49399999999999999</v>
      </c>
      <c r="S63">
        <v>293.411</v>
      </c>
      <c r="T63">
        <v>434.59800000000001</v>
      </c>
      <c r="U63">
        <v>1442.5920000000001</v>
      </c>
      <c r="V63">
        <v>3148.0619999999999</v>
      </c>
      <c r="W63">
        <v>1379.3219999999999</v>
      </c>
      <c r="X63">
        <v>553.12099999999998</v>
      </c>
      <c r="Y63">
        <v>84.266999999999996</v>
      </c>
      <c r="AG63" s="7"/>
      <c r="AH63" s="7"/>
    </row>
    <row r="64" spans="12:60" x14ac:dyDescent="0.3">
      <c r="L64">
        <v>8</v>
      </c>
      <c r="M64">
        <v>2</v>
      </c>
      <c r="N64">
        <v>1</v>
      </c>
      <c r="O64">
        <v>0</v>
      </c>
      <c r="P64" t="s">
        <v>32</v>
      </c>
      <c r="Q64">
        <v>89.028000000000006</v>
      </c>
      <c r="R64">
        <v>26.891999999999999</v>
      </c>
      <c r="S64">
        <v>7.23</v>
      </c>
      <c r="T64">
        <v>10.186999999999999</v>
      </c>
      <c r="U64">
        <v>0.05</v>
      </c>
      <c r="V64">
        <v>34.914999999999999</v>
      </c>
      <c r="W64">
        <v>20.332000000000001</v>
      </c>
      <c r="X64">
        <v>0</v>
      </c>
      <c r="Y64">
        <v>0</v>
      </c>
      <c r="AG64" s="7"/>
      <c r="AH64" s="7"/>
    </row>
    <row r="65" spans="12:36" x14ac:dyDescent="0.3">
      <c r="L65">
        <v>9</v>
      </c>
      <c r="M65">
        <v>2</v>
      </c>
      <c r="N65">
        <v>1</v>
      </c>
      <c r="O65">
        <v>0</v>
      </c>
      <c r="P65" t="s">
        <v>33</v>
      </c>
      <c r="Q65">
        <v>9.99</v>
      </c>
      <c r="R65">
        <v>0.28299999999999997</v>
      </c>
      <c r="S65">
        <v>264.90699999999998</v>
      </c>
      <c r="T65">
        <v>420.73899999999998</v>
      </c>
      <c r="U65">
        <v>1441.616</v>
      </c>
      <c r="V65">
        <v>3137.3009999999999</v>
      </c>
      <c r="W65">
        <v>1378.6210000000001</v>
      </c>
      <c r="X65">
        <v>502.666</v>
      </c>
      <c r="Y65">
        <v>71.313999999999993</v>
      </c>
      <c r="AB65" t="s">
        <v>121</v>
      </c>
      <c r="AC65" t="s">
        <v>122</v>
      </c>
      <c r="AD65" t="s">
        <v>123</v>
      </c>
      <c r="AE65" t="s">
        <v>124</v>
      </c>
      <c r="AF65" t="s">
        <v>125</v>
      </c>
      <c r="AG65" t="s">
        <v>126</v>
      </c>
      <c r="AH65" t="s">
        <v>127</v>
      </c>
      <c r="AI65" t="s">
        <v>128</v>
      </c>
      <c r="AJ65" t="s">
        <v>129</v>
      </c>
    </row>
    <row r="66" spans="12:36" x14ac:dyDescent="0.3">
      <c r="L66">
        <v>9</v>
      </c>
      <c r="M66">
        <v>2</v>
      </c>
      <c r="N66">
        <v>1</v>
      </c>
      <c r="O66">
        <v>0</v>
      </c>
      <c r="P66" t="s">
        <v>32</v>
      </c>
      <c r="Q66">
        <v>101.121</v>
      </c>
      <c r="R66">
        <v>30.419</v>
      </c>
      <c r="S66">
        <v>8.4350000000000005</v>
      </c>
      <c r="T66">
        <v>12.167</v>
      </c>
      <c r="U66">
        <v>4.9000000000000002E-2</v>
      </c>
      <c r="V66">
        <v>42.158999999999999</v>
      </c>
      <c r="W66">
        <v>24.111000000000001</v>
      </c>
      <c r="X66">
        <v>0</v>
      </c>
      <c r="Y66">
        <v>0</v>
      </c>
      <c r="AA66" t="s">
        <v>235</v>
      </c>
      <c r="AB66">
        <v>0.35499999999999998</v>
      </c>
      <c r="AC66">
        <v>0.5</v>
      </c>
      <c r="AD66">
        <v>0.14349999999999999</v>
      </c>
      <c r="AE66">
        <v>3.7400000000000003E-2</v>
      </c>
      <c r="AF66">
        <v>1.4999999999999999E-2</v>
      </c>
      <c r="AG66">
        <v>3.3E-3</v>
      </c>
      <c r="AH66">
        <v>1.8700000000000001E-2</v>
      </c>
      <c r="AI66">
        <v>7.1749999999999994E-2</v>
      </c>
      <c r="AJ66">
        <v>7.0000000000000007E-2</v>
      </c>
    </row>
    <row r="67" spans="12:36" ht="57.6" x14ac:dyDescent="0.3">
      <c r="L67">
        <v>10</v>
      </c>
      <c r="M67">
        <v>2</v>
      </c>
      <c r="N67">
        <v>1</v>
      </c>
      <c r="O67">
        <v>0</v>
      </c>
      <c r="P67" t="s">
        <v>33</v>
      </c>
      <c r="Q67">
        <v>7.1559999999999997</v>
      </c>
      <c r="R67">
        <v>0.16300000000000001</v>
      </c>
      <c r="S67">
        <v>238.75299999999999</v>
      </c>
      <c r="T67">
        <v>407.32299999999998</v>
      </c>
      <c r="U67">
        <v>1439.058</v>
      </c>
      <c r="V67">
        <v>3125.1869999999999</v>
      </c>
      <c r="W67">
        <v>1377.769</v>
      </c>
      <c r="X67">
        <v>456.81400000000002</v>
      </c>
      <c r="Y67">
        <v>60.351999999999997</v>
      </c>
      <c r="AA67" s="2" t="s">
        <v>234</v>
      </c>
      <c r="AB67">
        <f>EXP(($AA$68-10)*LN(2.65)*0.1)</f>
        <v>0.79919627129971826</v>
      </c>
      <c r="AC67">
        <f>EXP(($AA$68-10)*LN(2)*0.1)</f>
        <v>0.8526348917679567</v>
      </c>
      <c r="AD67">
        <f>EXP(($AA$68-10)*LN(2)*0.1)</f>
        <v>0.8526348917679567</v>
      </c>
      <c r="AE67">
        <f>EXP(($AA$68-10)*LN(2)*0.1)</f>
        <v>0.8526348917679567</v>
      </c>
      <c r="AF67">
        <f>EXP(($AA$68-10)*LN(2)*0.1)</f>
        <v>0.8526348917679567</v>
      </c>
      <c r="AG67">
        <f t="shared" ref="AG67" si="35">EXP(($AA$68-10)*LN(2.65)*0.1)</f>
        <v>0.79919627129971826</v>
      </c>
      <c r="AH67">
        <f>EXP(($AA$68-10)*LN(2)*0.1)</f>
        <v>0.8526348917679567</v>
      </c>
      <c r="AI67">
        <f>EXP(($AA$68-10)*LN(2)*0.1)</f>
        <v>0.8526348917679567</v>
      </c>
      <c r="AJ67">
        <f>EXP(($AA$68-10)*LN(2)*0.1)</f>
        <v>0.8526348917679567</v>
      </c>
    </row>
    <row r="68" spans="12:36" x14ac:dyDescent="0.3">
      <c r="L68">
        <v>10</v>
      </c>
      <c r="M68">
        <v>2</v>
      </c>
      <c r="N68">
        <v>1</v>
      </c>
      <c r="O68">
        <v>0</v>
      </c>
      <c r="P68" t="s">
        <v>32</v>
      </c>
      <c r="Q68">
        <v>114.476</v>
      </c>
      <c r="R68">
        <v>34.378</v>
      </c>
      <c r="S68">
        <v>9.7620000000000005</v>
      </c>
      <c r="T68">
        <v>14.382</v>
      </c>
      <c r="U68">
        <v>4.9000000000000002E-2</v>
      </c>
      <c r="V68">
        <v>50.341000000000001</v>
      </c>
      <c r="W68">
        <v>28.384</v>
      </c>
      <c r="X68">
        <v>0</v>
      </c>
      <c r="Y68">
        <v>0</v>
      </c>
      <c r="AA68">
        <v>7.7</v>
      </c>
    </row>
    <row r="69" spans="12:36" ht="43.2" x14ac:dyDescent="0.3">
      <c r="L69">
        <v>11</v>
      </c>
      <c r="M69">
        <v>2</v>
      </c>
      <c r="N69">
        <v>1</v>
      </c>
      <c r="O69">
        <v>0</v>
      </c>
      <c r="P69" t="s">
        <v>33</v>
      </c>
      <c r="Q69">
        <v>5.1260000000000003</v>
      </c>
      <c r="R69">
        <v>9.2999999999999999E-2</v>
      </c>
      <c r="S69">
        <v>214.83799999999999</v>
      </c>
      <c r="T69">
        <v>394.334</v>
      </c>
      <c r="U69">
        <v>1435.0840000000001</v>
      </c>
      <c r="V69">
        <v>3111.902</v>
      </c>
      <c r="W69">
        <v>1376.77</v>
      </c>
      <c r="X69">
        <v>415.14400000000001</v>
      </c>
      <c r="Y69">
        <v>51.075000000000003</v>
      </c>
      <c r="AA69" s="2" t="s">
        <v>236</v>
      </c>
      <c r="AB69">
        <f>AB66*AB67</f>
        <v>0.28371467631139996</v>
      </c>
      <c r="AC69">
        <f t="shared" ref="AC69:AJ69" si="36">AC66*AC67</f>
        <v>0.42631744588397835</v>
      </c>
      <c r="AD69">
        <f t="shared" si="36"/>
        <v>0.12235310696870177</v>
      </c>
      <c r="AE69">
        <f t="shared" si="36"/>
        <v>3.1888544952121581E-2</v>
      </c>
      <c r="AF69">
        <f t="shared" si="36"/>
        <v>1.2789523376519349E-2</v>
      </c>
      <c r="AG69">
        <f t="shared" si="36"/>
        <v>2.6373476952890702E-3</v>
      </c>
      <c r="AH69">
        <f t="shared" si="36"/>
        <v>1.594427247606079E-2</v>
      </c>
      <c r="AI69">
        <f t="shared" si="36"/>
        <v>6.1176553484350887E-2</v>
      </c>
      <c r="AJ69">
        <f t="shared" si="36"/>
        <v>5.9684442423756978E-2</v>
      </c>
    </row>
    <row r="70" spans="12:36" x14ac:dyDescent="0.3">
      <c r="L70">
        <v>11</v>
      </c>
      <c r="M70">
        <v>2</v>
      </c>
      <c r="N70">
        <v>1</v>
      </c>
      <c r="O70">
        <v>0</v>
      </c>
      <c r="P70" t="s">
        <v>32</v>
      </c>
      <c r="Q70">
        <v>129.26900000000001</v>
      </c>
      <c r="R70">
        <v>38.834000000000003</v>
      </c>
      <c r="S70">
        <v>11.231999999999999</v>
      </c>
      <c r="T70">
        <v>16.861999999999998</v>
      </c>
      <c r="U70">
        <v>4.8000000000000001E-2</v>
      </c>
      <c r="V70">
        <v>59.561999999999998</v>
      </c>
      <c r="W70">
        <v>33.210999999999999</v>
      </c>
      <c r="X70">
        <v>0</v>
      </c>
      <c r="Y70">
        <v>0</v>
      </c>
      <c r="AA70" t="s">
        <v>237</v>
      </c>
      <c r="AG70">
        <v>6.0000000000000001E-3</v>
      </c>
      <c r="AI70">
        <v>3.2000000000000001E-2</v>
      </c>
      <c r="AJ70">
        <v>0.1</v>
      </c>
    </row>
    <row r="71" spans="12:36" x14ac:dyDescent="0.3">
      <c r="L71">
        <v>12</v>
      </c>
      <c r="M71">
        <v>2</v>
      </c>
      <c r="N71">
        <v>1</v>
      </c>
      <c r="O71">
        <v>0</v>
      </c>
      <c r="P71" t="s">
        <v>33</v>
      </c>
      <c r="Q71">
        <v>3.6709999999999998</v>
      </c>
      <c r="R71">
        <v>5.2999999999999999E-2</v>
      </c>
      <c r="S71">
        <v>193.03399999999999</v>
      </c>
      <c r="T71">
        <v>381.75900000000001</v>
      </c>
      <c r="U71">
        <v>1429.8440000000001</v>
      </c>
      <c r="V71">
        <v>3097.6019999999999</v>
      </c>
      <c r="W71">
        <v>1375.626</v>
      </c>
      <c r="X71">
        <v>377.27499999999998</v>
      </c>
      <c r="Y71">
        <v>43.223999999999997</v>
      </c>
    </row>
    <row r="72" spans="12:36" x14ac:dyDescent="0.3">
      <c r="L72">
        <v>12</v>
      </c>
      <c r="M72">
        <v>2</v>
      </c>
      <c r="N72">
        <v>1</v>
      </c>
      <c r="O72">
        <v>0</v>
      </c>
      <c r="P72" t="s">
        <v>32</v>
      </c>
      <c r="Q72">
        <v>145.65</v>
      </c>
      <c r="R72">
        <v>43.844999999999999</v>
      </c>
      <c r="S72">
        <v>12.864000000000001</v>
      </c>
      <c r="T72">
        <v>19.64</v>
      </c>
      <c r="U72">
        <v>4.8000000000000001E-2</v>
      </c>
      <c r="V72">
        <v>69.930999999999997</v>
      </c>
      <c r="W72">
        <v>38.662999999999997</v>
      </c>
      <c r="X72">
        <v>0</v>
      </c>
      <c r="Y72">
        <v>0</v>
      </c>
      <c r="AA72" s="32" t="s">
        <v>233</v>
      </c>
      <c r="AB72">
        <f>AB69+AB70</f>
        <v>0.28371467631139996</v>
      </c>
      <c r="AC72">
        <f t="shared" ref="AC72:AJ72" si="37">AC69+AC70</f>
        <v>0.42631744588397835</v>
      </c>
      <c r="AD72">
        <f t="shared" si="37"/>
        <v>0.12235310696870177</v>
      </c>
      <c r="AE72">
        <f t="shared" si="37"/>
        <v>3.1888544952121581E-2</v>
      </c>
      <c r="AF72">
        <f t="shared" si="37"/>
        <v>1.2789523376519349E-2</v>
      </c>
      <c r="AG72">
        <f>AG69+AG70</f>
        <v>8.6373476952890695E-3</v>
      </c>
      <c r="AH72">
        <f t="shared" si="37"/>
        <v>1.594427247606079E-2</v>
      </c>
      <c r="AI72">
        <f t="shared" si="37"/>
        <v>9.3176553484350888E-2</v>
      </c>
      <c r="AJ72">
        <f t="shared" si="37"/>
        <v>0.15968444242375698</v>
      </c>
    </row>
    <row r="75" spans="12:36" x14ac:dyDescent="0.3">
      <c r="AA75" t="s">
        <v>238</v>
      </c>
      <c r="AB75">
        <f>SUM(AG53:AH53)</f>
        <v>57.106999999999999</v>
      </c>
      <c r="AC75">
        <f>SUM(AI53:AJ53)</f>
        <v>17.947000000000003</v>
      </c>
      <c r="AD75">
        <f>SUM(AK53:AL53)</f>
        <v>78.206000000000003</v>
      </c>
      <c r="AE75">
        <f>SUM(AM53:AN53)</f>
        <v>17.96</v>
      </c>
      <c r="AF75">
        <f>SUM(AO53:AP53)</f>
        <v>17.971</v>
      </c>
      <c r="AG75">
        <f>SUM(AQ53:AR53)</f>
        <v>27.472999999999999</v>
      </c>
      <c r="AH75">
        <f>SUM(AS53:AT53)</f>
        <v>22.004000000000001</v>
      </c>
      <c r="AI75">
        <f>SUM(AU53:AW53)</f>
        <v>108.45099999999999</v>
      </c>
      <c r="AJ75">
        <f>SUM(AX53:AZ53)</f>
        <v>49.231999999999999</v>
      </c>
    </row>
    <row r="76" spans="12:36" x14ac:dyDescent="0.3">
      <c r="AB76">
        <f>SUM(AG54:AH54)</f>
        <v>5.8710000000000004</v>
      </c>
      <c r="AC76">
        <f>SUM(AI54:AJ54)</f>
        <v>4.3220000000000001</v>
      </c>
      <c r="AD76">
        <f>SUM(AK54:AL54)</f>
        <v>0.113</v>
      </c>
      <c r="AE76">
        <f>SUM(AM54:AN54)</f>
        <v>2.9000000000000001E-2</v>
      </c>
      <c r="AF76">
        <f>SUM(AO54:AP54)</f>
        <v>1E-3</v>
      </c>
      <c r="AG76">
        <f>SUM(AQ54:AR54)</f>
        <v>4.9000000000000002E-2</v>
      </c>
      <c r="AH76">
        <f>SUM(AS54:AT54)</f>
        <v>7.1999999999999995E-2</v>
      </c>
      <c r="AI76">
        <f>SUM(AU54:AW54)</f>
        <v>0</v>
      </c>
      <c r="AJ76">
        <f>SUM(AX54:AZ54)</f>
        <v>0</v>
      </c>
    </row>
    <row r="78" spans="12:36" x14ac:dyDescent="0.3">
      <c r="AA78" s="32" t="s">
        <v>244</v>
      </c>
      <c r="AB78" t="s">
        <v>121</v>
      </c>
      <c r="AC78" t="s">
        <v>122</v>
      </c>
      <c r="AD78" t="s">
        <v>123</v>
      </c>
      <c r="AE78" t="s">
        <v>124</v>
      </c>
      <c r="AF78" t="s">
        <v>125</v>
      </c>
      <c r="AG78" t="s">
        <v>126</v>
      </c>
      <c r="AH78" t="s">
        <v>127</v>
      </c>
      <c r="AI78" t="s">
        <v>128</v>
      </c>
      <c r="AJ78" t="s">
        <v>129</v>
      </c>
    </row>
    <row r="79" spans="12:36" x14ac:dyDescent="0.3">
      <c r="AA79" t="s">
        <v>240</v>
      </c>
      <c r="AB79">
        <f>BD53+(BG53*0.5)+Q47</f>
        <v>201.28200000000001</v>
      </c>
      <c r="AC79">
        <f>(BG53*0.5)+R47</f>
        <v>42.098999999999997</v>
      </c>
      <c r="AD79">
        <f>AZ53+S47</f>
        <v>639.18200000000002</v>
      </c>
      <c r="AE79">
        <f>(BF53*0.5)+T47</f>
        <v>563.22900000000004</v>
      </c>
      <c r="AF79" s="7">
        <f>AW53+U47</f>
        <v>1405.1850000000002</v>
      </c>
      <c r="AG79" s="7">
        <f>SUM(AV53,AH53,AJ53,AL53,AN53,AP53,AY53)+V47</f>
        <v>3192.721</v>
      </c>
      <c r="AH79">
        <f>AR53+AJ53+W47</f>
        <v>1396.0549999999998</v>
      </c>
      <c r="AI79">
        <f>BC53+X47</f>
        <v>1188.902</v>
      </c>
      <c r="AJ79">
        <f>BE53+Y47</f>
        <v>320.27999999999997</v>
      </c>
    </row>
    <row r="80" spans="12:36" x14ac:dyDescent="0.3">
      <c r="AB80">
        <f>BD54+(BG54*0.5)</f>
        <v>20.692499999999999</v>
      </c>
      <c r="AC80">
        <f>(BG54*0.5)</f>
        <v>10.137499999999999</v>
      </c>
      <c r="AD80">
        <f>AZ54</f>
        <v>0</v>
      </c>
      <c r="AE80">
        <f>(BF54*0.5)</f>
        <v>0.92349999999999999</v>
      </c>
      <c r="AF80" s="7">
        <f>AW54+U48</f>
        <v>5.6000000000000001E-2</v>
      </c>
      <c r="AG80" s="7">
        <f>SUM(AV54,AH54,AJ54,AL54,AN54,AP54,AY54)+V48</f>
        <v>6.4609999999999994</v>
      </c>
      <c r="AH80">
        <f>AR54+AJ54+W48</f>
        <v>4.5199999999999996</v>
      </c>
      <c r="AI80">
        <f>BC54</f>
        <v>0</v>
      </c>
      <c r="AJ80">
        <f>BE54</f>
        <v>0</v>
      </c>
    </row>
    <row r="81" spans="26:38" x14ac:dyDescent="0.3">
      <c r="AA81" s="32" t="s">
        <v>242</v>
      </c>
      <c r="AB81">
        <f t="shared" ref="AB81:AJ81" si="38">AB$72*AB79</f>
        <v>57.106657477311209</v>
      </c>
      <c r="AC81">
        <f t="shared" si="38"/>
        <v>17.947538154269605</v>
      </c>
      <c r="AD81">
        <f t="shared" si="38"/>
        <v>78.205903618468739</v>
      </c>
      <c r="AE81">
        <f t="shared" si="38"/>
        <v>17.960553284838486</v>
      </c>
      <c r="AF81" s="7">
        <f t="shared" si="38"/>
        <v>17.971646405834345</v>
      </c>
      <c r="AG81" s="7">
        <f t="shared" si="38"/>
        <v>27.576641371051014</v>
      </c>
      <c r="AH81">
        <f t="shared" si="38"/>
        <v>22.259081311567044</v>
      </c>
      <c r="AI81">
        <f t="shared" si="38"/>
        <v>110.77779079065175</v>
      </c>
      <c r="AJ81">
        <f t="shared" si="38"/>
        <v>51.143733219480879</v>
      </c>
    </row>
    <row r="82" spans="26:38" x14ac:dyDescent="0.3">
      <c r="AB82">
        <f t="shared" ref="AB82:AJ82" si="39">AB$72*AB80</f>
        <v>5.8707659395736433</v>
      </c>
      <c r="AC82">
        <f t="shared" si="39"/>
        <v>4.3217931076488298</v>
      </c>
      <c r="AD82">
        <f t="shared" si="39"/>
        <v>0</v>
      </c>
      <c r="AE82">
        <f t="shared" si="39"/>
        <v>2.944907126328428E-2</v>
      </c>
      <c r="AF82" s="7">
        <f t="shared" si="39"/>
        <v>7.1621330908508353E-4</v>
      </c>
      <c r="AG82" s="7">
        <f t="shared" si="39"/>
        <v>5.5805903459262673E-2</v>
      </c>
      <c r="AH82">
        <f t="shared" si="39"/>
        <v>7.206811159179477E-2</v>
      </c>
      <c r="AI82">
        <f t="shared" si="39"/>
        <v>0</v>
      </c>
      <c r="AJ82">
        <f t="shared" si="39"/>
        <v>0</v>
      </c>
      <c r="AL82" s="6"/>
    </row>
    <row r="83" spans="26:38" x14ac:dyDescent="0.3">
      <c r="AB83" s="6">
        <f>AB75/AB81</f>
        <v>1.000005997946718</v>
      </c>
      <c r="AC83" s="6">
        <f>AC75/AC81</f>
        <v>0.99997001514831863</v>
      </c>
      <c r="AD83" s="6">
        <f>AD75/AD81</f>
        <v>1.0000012324073606</v>
      </c>
      <c r="AE83" s="6">
        <f>AE75/AE81</f>
        <v>0.99996919444352794</v>
      </c>
      <c r="AF83" s="33">
        <f>AF75/AF81</f>
        <v>0.99996403190783145</v>
      </c>
      <c r="AG83" s="40">
        <f>AG75/AG81</f>
        <v>0.99624169710674726</v>
      </c>
      <c r="AH83" s="6">
        <f>AH75/AH81</f>
        <v>0.98854034863359397</v>
      </c>
      <c r="AI83" s="36">
        <f>AI75/AI81</f>
        <v>0.97899587296293955</v>
      </c>
      <c r="AJ83" s="36">
        <f>AJ75/AJ81</f>
        <v>0.96262038183101006</v>
      </c>
      <c r="AK83" t="s">
        <v>243</v>
      </c>
    </row>
    <row r="84" spans="26:38" x14ac:dyDescent="0.3">
      <c r="Z84" s="5"/>
      <c r="AA84" s="34" t="s">
        <v>239</v>
      </c>
      <c r="AB84" s="6">
        <f>AB76/AB82</f>
        <v>1.0000398688056662</v>
      </c>
      <c r="AC84" s="6">
        <f>AC76/AC82</f>
        <v>1.0000478718777177</v>
      </c>
      <c r="AD84" s="6" t="e">
        <f>AD76/AD82</f>
        <v>#DIV/0!</v>
      </c>
      <c r="AE84" s="6">
        <f>AE76/AE82</f>
        <v>0.98475091933224534</v>
      </c>
      <c r="AF84" s="36">
        <f>AF76/AF82</f>
        <v>1.3962320824189036</v>
      </c>
      <c r="AG84" s="36">
        <f>AG76/AG82</f>
        <v>0.87804330657900986</v>
      </c>
      <c r="AH84" s="6">
        <f>AH76/AH82</f>
        <v>0.99905489972901507</v>
      </c>
      <c r="AI84" s="6" t="e">
        <f>AI76/AI82</f>
        <v>#DIV/0!</v>
      </c>
      <c r="AJ84" s="6" t="e">
        <f>AJ76/AJ82</f>
        <v>#DIV/0!</v>
      </c>
      <c r="AK84" s="6"/>
    </row>
    <row r="85" spans="26:38" x14ac:dyDescent="0.3">
      <c r="AB85" t="s">
        <v>121</v>
      </c>
      <c r="AC85" t="s">
        <v>122</v>
      </c>
      <c r="AD85" t="s">
        <v>123</v>
      </c>
      <c r="AE85" t="s">
        <v>124</v>
      </c>
      <c r="AF85" t="s">
        <v>125</v>
      </c>
      <c r="AG85" t="s">
        <v>126</v>
      </c>
      <c r="AH85" t="s">
        <v>127</v>
      </c>
      <c r="AI85" t="s">
        <v>128</v>
      </c>
      <c r="AJ85" t="s">
        <v>129</v>
      </c>
    </row>
    <row r="88" spans="26:38" x14ac:dyDescent="0.3">
      <c r="AC88" t="s">
        <v>94</v>
      </c>
    </row>
  </sheetData>
  <sortState ref="L5:U48">
    <sortCondition ref="M6:M48"/>
    <sortCondition ref="N6:N48"/>
    <sortCondition ref="L6:L48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32A2-4D62-4855-B165-CE9655FFAC81}">
  <dimension ref="A2:T13"/>
  <sheetViews>
    <sheetView workbookViewId="0">
      <selection activeCell="P9" sqref="P9"/>
    </sheetView>
  </sheetViews>
  <sheetFormatPr defaultRowHeight="14.4" x14ac:dyDescent="0.3"/>
  <sheetData>
    <row r="2" spans="1:20" x14ac:dyDescent="0.3">
      <c r="A2" t="s">
        <v>205</v>
      </c>
    </row>
    <row r="3" spans="1:20" x14ac:dyDescent="0.3">
      <c r="A3" t="s">
        <v>22</v>
      </c>
      <c r="B3" t="s">
        <v>204</v>
      </c>
      <c r="C3" t="s">
        <v>203</v>
      </c>
      <c r="D3" t="s">
        <v>202</v>
      </c>
      <c r="E3" t="s">
        <v>58</v>
      </c>
      <c r="F3" t="s">
        <v>57</v>
      </c>
      <c r="G3" t="s">
        <v>59</v>
      </c>
    </row>
    <row r="4" spans="1:20" x14ac:dyDescent="0.3">
      <c r="A4">
        <v>5</v>
      </c>
      <c r="B4">
        <v>2</v>
      </c>
      <c r="C4">
        <v>3</v>
      </c>
      <c r="D4">
        <v>1</v>
      </c>
      <c r="E4">
        <v>1</v>
      </c>
      <c r="F4">
        <v>1</v>
      </c>
      <c r="G4">
        <v>4</v>
      </c>
    </row>
    <row r="6" spans="1:20" x14ac:dyDescent="0.3">
      <c r="A6" t="s">
        <v>182</v>
      </c>
    </row>
    <row r="7" spans="1:20" x14ac:dyDescent="0.3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M7" t="s">
        <v>131</v>
      </c>
      <c r="N7" t="s">
        <v>134</v>
      </c>
      <c r="O7" t="s">
        <v>132</v>
      </c>
      <c r="P7" t="s">
        <v>133</v>
      </c>
    </row>
    <row r="8" spans="1:20" x14ac:dyDescent="0.3">
      <c r="A8">
        <v>4</v>
      </c>
      <c r="B8">
        <v>2</v>
      </c>
      <c r="C8">
        <v>3</v>
      </c>
      <c r="D8">
        <v>1</v>
      </c>
      <c r="E8" t="s">
        <v>33</v>
      </c>
      <c r="F8">
        <v>94</v>
      </c>
      <c r="G8">
        <v>3182</v>
      </c>
      <c r="H8">
        <v>353.5</v>
      </c>
      <c r="I8">
        <v>1255.3</v>
      </c>
      <c r="J8">
        <v>275.60000000000002</v>
      </c>
      <c r="M8" s="30">
        <f>(G13+K13)/G8</f>
        <v>1</v>
      </c>
      <c r="N8">
        <f>Q13</f>
        <v>0</v>
      </c>
      <c r="O8" s="30">
        <f>(I13)/H8</f>
        <v>1</v>
      </c>
      <c r="P8" s="30">
        <f>SUM(M13:P13)/(I8+J8)</f>
        <v>0.9999817101051669</v>
      </c>
      <c r="Q8" s="5" t="s">
        <v>73</v>
      </c>
      <c r="R8" s="5" t="s">
        <v>74</v>
      </c>
      <c r="S8" s="5" t="s">
        <v>135</v>
      </c>
      <c r="T8" s="5" t="s">
        <v>137</v>
      </c>
    </row>
    <row r="9" spans="1:20" x14ac:dyDescent="0.3">
      <c r="A9" t="s">
        <v>206</v>
      </c>
    </row>
    <row r="11" spans="1:20" x14ac:dyDescent="0.3">
      <c r="A11" t="s">
        <v>155</v>
      </c>
    </row>
    <row r="12" spans="1:20" x14ac:dyDescent="0.3">
      <c r="A12" t="s">
        <v>22</v>
      </c>
      <c r="B12" t="s">
        <v>23</v>
      </c>
      <c r="C12" t="s">
        <v>24</v>
      </c>
      <c r="D12" t="s">
        <v>25</v>
      </c>
      <c r="E12" t="s">
        <v>26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48</v>
      </c>
      <c r="Q12" t="s">
        <v>49</v>
      </c>
    </row>
    <row r="13" spans="1:20" x14ac:dyDescent="0.3">
      <c r="A13">
        <v>5</v>
      </c>
      <c r="B13">
        <v>2</v>
      </c>
      <c r="C13">
        <v>3</v>
      </c>
      <c r="D13">
        <v>1</v>
      </c>
      <c r="E13" t="s">
        <v>33</v>
      </c>
      <c r="F13">
        <v>3</v>
      </c>
      <c r="G13">
        <v>1922.0139999999999</v>
      </c>
      <c r="H13">
        <v>0</v>
      </c>
      <c r="I13">
        <v>353.5</v>
      </c>
      <c r="J13">
        <v>0</v>
      </c>
      <c r="K13">
        <v>1259.9860000000001</v>
      </c>
      <c r="L13">
        <v>0</v>
      </c>
      <c r="M13">
        <v>1255.3150000000001</v>
      </c>
      <c r="N13">
        <v>0</v>
      </c>
      <c r="O13">
        <v>275.55700000000002</v>
      </c>
      <c r="P13">
        <v>0</v>
      </c>
      <c r="Q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14B3-4D93-4F98-BE95-BDF1B3C8FC27}">
  <dimension ref="A3:W18"/>
  <sheetViews>
    <sheetView workbookViewId="0">
      <selection activeCell="A24" sqref="A24"/>
    </sheetView>
  </sheetViews>
  <sheetFormatPr defaultRowHeight="14.4" x14ac:dyDescent="0.3"/>
  <cols>
    <col min="1" max="1" width="20.21875" customWidth="1"/>
    <col min="3" max="6" width="3.77734375" customWidth="1"/>
    <col min="8" max="8" width="5.44140625" customWidth="1"/>
    <col min="14" max="20" width="0" hidden="1" customWidth="1"/>
  </cols>
  <sheetData>
    <row r="3" spans="1:23" x14ac:dyDescent="0.3">
      <c r="A3" t="s">
        <v>187</v>
      </c>
    </row>
    <row r="4" spans="1:23" x14ac:dyDescent="0.3">
      <c r="A4" t="s">
        <v>188</v>
      </c>
    </row>
    <row r="5" spans="1:23" x14ac:dyDescent="0.3">
      <c r="B5" t="s">
        <v>195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26</v>
      </c>
      <c r="N5" t="s">
        <v>121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127</v>
      </c>
      <c r="U5" t="s">
        <v>128</v>
      </c>
      <c r="V5" t="s">
        <v>129</v>
      </c>
      <c r="W5" t="s">
        <v>130</v>
      </c>
    </row>
    <row r="6" spans="1:23" ht="28.8" x14ac:dyDescent="0.3">
      <c r="A6" s="2" t="s">
        <v>189</v>
      </c>
      <c r="B6" t="s">
        <v>74</v>
      </c>
      <c r="C6">
        <v>0</v>
      </c>
      <c r="D6">
        <v>6</v>
      </c>
      <c r="E6">
        <v>7</v>
      </c>
      <c r="F6">
        <v>1</v>
      </c>
      <c r="G6" t="s">
        <v>33</v>
      </c>
      <c r="H6">
        <v>1</v>
      </c>
      <c r="I6">
        <v>135</v>
      </c>
      <c r="J6">
        <v>15</v>
      </c>
      <c r="K6">
        <v>53.3</v>
      </c>
      <c r="L6">
        <v>11.7</v>
      </c>
      <c r="M6" t="s">
        <v>33</v>
      </c>
      <c r="N6">
        <v>23.754999999999999</v>
      </c>
      <c r="O6">
        <v>4.5460000000000003</v>
      </c>
      <c r="P6">
        <v>125.84</v>
      </c>
      <c r="Q6">
        <v>87.415000000000006</v>
      </c>
      <c r="R6">
        <v>144.065</v>
      </c>
      <c r="S6">
        <v>739.23</v>
      </c>
      <c r="T6">
        <v>575.20299999999997</v>
      </c>
      <c r="U6">
        <v>167.58600000000001</v>
      </c>
      <c r="V6">
        <v>108.792</v>
      </c>
      <c r="W6">
        <v>0</v>
      </c>
    </row>
    <row r="7" spans="1:23" x14ac:dyDescent="0.3">
      <c r="A7" s="2"/>
      <c r="M7" t="s">
        <v>32</v>
      </c>
      <c r="N7">
        <v>396.99400000000003</v>
      </c>
      <c r="O7">
        <v>82.674000000000007</v>
      </c>
      <c r="P7">
        <v>657.80399999999997</v>
      </c>
      <c r="Q7">
        <v>593.17499999999995</v>
      </c>
      <c r="R7">
        <v>4990.5159999999996</v>
      </c>
      <c r="S7">
        <v>6655.384</v>
      </c>
      <c r="T7">
        <v>3157.6439999999998</v>
      </c>
      <c r="U7">
        <v>711.80499999999995</v>
      </c>
      <c r="V7">
        <v>117.128</v>
      </c>
      <c r="W7">
        <v>0</v>
      </c>
    </row>
    <row r="8" spans="1:23" ht="28.8" x14ac:dyDescent="0.3">
      <c r="A8" s="2" t="s">
        <v>196</v>
      </c>
      <c r="B8" t="s">
        <v>74</v>
      </c>
      <c r="C8">
        <v>0</v>
      </c>
      <c r="D8">
        <v>6</v>
      </c>
      <c r="E8">
        <v>6</v>
      </c>
      <c r="F8">
        <v>1</v>
      </c>
      <c r="G8" t="s">
        <v>32</v>
      </c>
      <c r="H8">
        <v>191</v>
      </c>
      <c r="I8">
        <v>5550</v>
      </c>
      <c r="J8">
        <v>616.5</v>
      </c>
      <c r="K8">
        <v>1620.6</v>
      </c>
      <c r="L8">
        <v>180.1</v>
      </c>
      <c r="M8" t="s">
        <v>32</v>
      </c>
      <c r="N8">
        <v>397.524</v>
      </c>
      <c r="O8">
        <v>82.968000000000004</v>
      </c>
      <c r="P8">
        <v>507.97300000000001</v>
      </c>
      <c r="Q8">
        <v>592.24699999999996</v>
      </c>
      <c r="R8">
        <v>3727.95</v>
      </c>
      <c r="S8">
        <v>6668.7780000000002</v>
      </c>
      <c r="T8">
        <v>3152.6149999999998</v>
      </c>
      <c r="U8">
        <v>1788.6110000000001</v>
      </c>
      <c r="V8">
        <v>302.471</v>
      </c>
      <c r="W8">
        <v>0</v>
      </c>
    </row>
    <row r="9" spans="1:23" x14ac:dyDescent="0.3">
      <c r="A9" s="2"/>
      <c r="C9">
        <v>0</v>
      </c>
      <c r="D9">
        <v>6</v>
      </c>
      <c r="E9">
        <v>6</v>
      </c>
      <c r="F9">
        <v>1</v>
      </c>
      <c r="G9" t="s">
        <v>33</v>
      </c>
      <c r="H9">
        <v>51</v>
      </c>
      <c r="I9">
        <v>478.5</v>
      </c>
      <c r="J9">
        <v>53</v>
      </c>
      <c r="K9">
        <v>188.7</v>
      </c>
      <c r="L9">
        <v>41.4</v>
      </c>
      <c r="M9" t="s">
        <v>33</v>
      </c>
      <c r="N9">
        <v>0</v>
      </c>
      <c r="O9">
        <v>0</v>
      </c>
      <c r="P9">
        <v>0</v>
      </c>
      <c r="Q9">
        <v>1.141</v>
      </c>
      <c r="R9">
        <v>133.09299999999999</v>
      </c>
      <c r="S9">
        <v>718.80499999999995</v>
      </c>
      <c r="T9">
        <v>573.55999999999995</v>
      </c>
      <c r="U9">
        <v>0</v>
      </c>
      <c r="V9">
        <v>0</v>
      </c>
      <c r="W9">
        <v>0</v>
      </c>
    </row>
    <row r="10" spans="1:23" x14ac:dyDescent="0.3">
      <c r="A10" s="2"/>
      <c r="C10">
        <v>0</v>
      </c>
      <c r="D10">
        <v>6</v>
      </c>
      <c r="E10">
        <v>6</v>
      </c>
      <c r="F10">
        <v>1</v>
      </c>
      <c r="G10" t="s">
        <v>33</v>
      </c>
      <c r="H10">
        <v>1</v>
      </c>
      <c r="I10">
        <v>57.5</v>
      </c>
      <c r="J10">
        <v>6</v>
      </c>
      <c r="K10">
        <v>22.5</v>
      </c>
      <c r="L10">
        <v>4.9000000000000004</v>
      </c>
    </row>
    <row r="11" spans="1:23" x14ac:dyDescent="0.3">
      <c r="A11" s="2" t="s">
        <v>190</v>
      </c>
      <c r="B11" t="s">
        <v>74</v>
      </c>
      <c r="C11">
        <v>0</v>
      </c>
      <c r="D11">
        <v>1</v>
      </c>
      <c r="E11">
        <v>6</v>
      </c>
      <c r="F11">
        <v>1</v>
      </c>
      <c r="G11" t="s">
        <v>33</v>
      </c>
      <c r="H11">
        <v>10</v>
      </c>
      <c r="I11">
        <v>301.5</v>
      </c>
      <c r="J11">
        <v>33</v>
      </c>
      <c r="K11">
        <v>118.8</v>
      </c>
      <c r="L11">
        <v>26.1</v>
      </c>
      <c r="M11" t="s">
        <v>33</v>
      </c>
      <c r="N11">
        <v>39.232999999999997</v>
      </c>
      <c r="O11">
        <v>10.432</v>
      </c>
      <c r="P11">
        <v>7.6749999999999998</v>
      </c>
      <c r="Q11">
        <v>155.69399999999999</v>
      </c>
      <c r="R11">
        <v>1095.8430000000001</v>
      </c>
      <c r="S11">
        <v>2764.299</v>
      </c>
      <c r="T11">
        <v>1800.722</v>
      </c>
      <c r="U11">
        <v>13.532999999999999</v>
      </c>
      <c r="V11">
        <v>0.159</v>
      </c>
      <c r="W11">
        <v>0</v>
      </c>
    </row>
    <row r="12" spans="1:23" ht="28.8" x14ac:dyDescent="0.3">
      <c r="A12" s="2" t="s">
        <v>191</v>
      </c>
      <c r="B12" t="s">
        <v>74</v>
      </c>
      <c r="C12">
        <v>0</v>
      </c>
      <c r="D12">
        <v>1</v>
      </c>
      <c r="E12">
        <v>9</v>
      </c>
      <c r="F12">
        <v>1</v>
      </c>
      <c r="G12" t="s">
        <v>33</v>
      </c>
      <c r="H12">
        <v>51</v>
      </c>
      <c r="I12">
        <v>486.5</v>
      </c>
      <c r="J12">
        <v>54</v>
      </c>
      <c r="K12">
        <v>191.9</v>
      </c>
      <c r="L12">
        <v>42.1</v>
      </c>
      <c r="M12" t="s">
        <v>33</v>
      </c>
      <c r="N12">
        <v>0</v>
      </c>
      <c r="O12">
        <v>0</v>
      </c>
      <c r="P12">
        <v>0</v>
      </c>
      <c r="Q12">
        <v>1.113</v>
      </c>
      <c r="R12">
        <v>131.577</v>
      </c>
      <c r="S12">
        <v>713.61800000000005</v>
      </c>
      <c r="T12">
        <v>569.76199999999994</v>
      </c>
      <c r="U12">
        <v>0</v>
      </c>
      <c r="V12">
        <v>0</v>
      </c>
      <c r="W12">
        <v>0</v>
      </c>
    </row>
    <row r="13" spans="1:23" x14ac:dyDescent="0.3">
      <c r="A13" s="2"/>
      <c r="M13" t="s">
        <v>32</v>
      </c>
      <c r="N13">
        <v>397.04399999999998</v>
      </c>
      <c r="O13">
        <v>82.68</v>
      </c>
      <c r="P13">
        <v>508.25</v>
      </c>
      <c r="Q13">
        <v>593.14499999999998</v>
      </c>
      <c r="R13">
        <v>3742.7930000000001</v>
      </c>
      <c r="S13">
        <v>6680.6279999999997</v>
      </c>
      <c r="T13">
        <v>3158.681</v>
      </c>
      <c r="U13">
        <v>1794.5429999999999</v>
      </c>
      <c r="V13">
        <v>302.721</v>
      </c>
      <c r="W13">
        <v>0</v>
      </c>
    </row>
    <row r="14" spans="1:23" ht="28.8" x14ac:dyDescent="0.3">
      <c r="A14" s="2" t="s">
        <v>192</v>
      </c>
      <c r="B14" t="s">
        <v>74</v>
      </c>
      <c r="C14">
        <v>0</v>
      </c>
      <c r="D14">
        <v>1</v>
      </c>
      <c r="E14">
        <v>4</v>
      </c>
      <c r="F14">
        <v>1</v>
      </c>
      <c r="G14" t="s">
        <v>32</v>
      </c>
      <c r="H14">
        <v>191</v>
      </c>
      <c r="I14">
        <v>5550</v>
      </c>
      <c r="J14">
        <v>616.5</v>
      </c>
      <c r="K14">
        <v>1620.6</v>
      </c>
      <c r="L14">
        <v>180.1</v>
      </c>
      <c r="M14" t="s">
        <v>32</v>
      </c>
      <c r="N14">
        <v>397.339</v>
      </c>
      <c r="O14">
        <v>82.968000000000004</v>
      </c>
      <c r="P14">
        <v>657.16899999999998</v>
      </c>
      <c r="Q14">
        <v>592.24699999999996</v>
      </c>
      <c r="R14">
        <v>4971.4250000000002</v>
      </c>
      <c r="S14">
        <v>6644.6170000000002</v>
      </c>
      <c r="T14">
        <v>3152.1480000000001</v>
      </c>
      <c r="U14">
        <v>709.13499999999999</v>
      </c>
      <c r="V14">
        <v>116.97799999999999</v>
      </c>
      <c r="W14">
        <v>0</v>
      </c>
    </row>
    <row r="15" spans="1:23" x14ac:dyDescent="0.3">
      <c r="A15" s="2"/>
      <c r="M15" t="s">
        <v>33</v>
      </c>
      <c r="N15">
        <v>23.347000000000001</v>
      </c>
      <c r="O15">
        <v>4.4820000000000002</v>
      </c>
      <c r="P15">
        <v>124.098</v>
      </c>
      <c r="Q15">
        <v>86.227999999999994</v>
      </c>
      <c r="R15">
        <v>145.49799999999999</v>
      </c>
      <c r="S15">
        <v>744.32100000000003</v>
      </c>
      <c r="T15">
        <v>579.096</v>
      </c>
      <c r="U15">
        <v>165.31200000000001</v>
      </c>
      <c r="V15">
        <v>107.316</v>
      </c>
      <c r="W15">
        <v>0</v>
      </c>
    </row>
    <row r="16" spans="1:23" x14ac:dyDescent="0.3">
      <c r="A16" s="2" t="s">
        <v>193</v>
      </c>
      <c r="C16">
        <v>0</v>
      </c>
      <c r="D16">
        <v>3</v>
      </c>
      <c r="E16">
        <v>1</v>
      </c>
      <c r="F16">
        <v>0</v>
      </c>
      <c r="G16" t="s">
        <v>33</v>
      </c>
      <c r="H16">
        <v>90</v>
      </c>
      <c r="I16">
        <v>3201</v>
      </c>
      <c r="J16">
        <v>355.5</v>
      </c>
      <c r="K16">
        <v>1163.5999999999999</v>
      </c>
      <c r="L16">
        <v>255.4</v>
      </c>
      <c r="M16" t="s">
        <v>33</v>
      </c>
      <c r="N16">
        <v>357.767</v>
      </c>
      <c r="O16">
        <v>116.68899999999999</v>
      </c>
      <c r="P16">
        <v>366.65699999999998</v>
      </c>
      <c r="Q16">
        <v>330.59199999999998</v>
      </c>
      <c r="R16">
        <v>982.17899999999997</v>
      </c>
      <c r="S16">
        <v>3223.2489999999998</v>
      </c>
      <c r="T16">
        <v>1902.0419999999999</v>
      </c>
      <c r="U16">
        <v>666.62400000000002</v>
      </c>
      <c r="V16">
        <v>223.65899999999999</v>
      </c>
      <c r="W16">
        <v>0</v>
      </c>
    </row>
    <row r="17" spans="1:23" x14ac:dyDescent="0.3">
      <c r="A17" s="2" t="s">
        <v>194</v>
      </c>
      <c r="C17">
        <v>0</v>
      </c>
      <c r="D17">
        <v>1</v>
      </c>
      <c r="E17">
        <v>1</v>
      </c>
      <c r="F17">
        <v>0</v>
      </c>
      <c r="G17" t="s">
        <v>33</v>
      </c>
      <c r="H17">
        <v>90</v>
      </c>
      <c r="I17">
        <v>3194.5</v>
      </c>
      <c r="J17">
        <v>354.5</v>
      </c>
      <c r="K17">
        <v>1161.2</v>
      </c>
      <c r="L17">
        <v>254.9</v>
      </c>
      <c r="M17" t="s">
        <v>33</v>
      </c>
      <c r="N17">
        <v>354.97</v>
      </c>
      <c r="O17">
        <v>116.61199999999999</v>
      </c>
      <c r="P17">
        <v>367.01499999999999</v>
      </c>
      <c r="Q17">
        <v>331.64800000000002</v>
      </c>
      <c r="R17">
        <v>982.06600000000003</v>
      </c>
      <c r="S17">
        <v>3224.8180000000002</v>
      </c>
      <c r="T17">
        <v>1903.278</v>
      </c>
      <c r="U17">
        <v>664.32500000000005</v>
      </c>
      <c r="V17">
        <v>222.52500000000001</v>
      </c>
      <c r="W17">
        <v>0</v>
      </c>
    </row>
    <row r="18" spans="1:23" x14ac:dyDescent="0.3">
      <c r="C18">
        <v>0</v>
      </c>
      <c r="D18">
        <v>1</v>
      </c>
      <c r="E18">
        <v>1</v>
      </c>
      <c r="F18">
        <v>0</v>
      </c>
      <c r="G18" t="s">
        <v>33</v>
      </c>
      <c r="H18">
        <v>5</v>
      </c>
      <c r="I18">
        <v>121.5</v>
      </c>
      <c r="J18">
        <v>13.5</v>
      </c>
      <c r="K18">
        <v>44.2</v>
      </c>
      <c r="L18">
        <v>9.6999999999999993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31D7-8170-496A-82E1-E77A554D2EEA}">
  <sheetPr filterMode="1"/>
  <dimension ref="A1:R122"/>
  <sheetViews>
    <sheetView topLeftCell="A3" workbookViewId="0">
      <selection activeCell="N35" sqref="N35"/>
    </sheetView>
  </sheetViews>
  <sheetFormatPr defaultRowHeight="14.4" x14ac:dyDescent="0.3"/>
  <sheetData>
    <row r="1" spans="1:18" x14ac:dyDescent="0.3">
      <c r="A1" s="9" t="s">
        <v>67</v>
      </c>
    </row>
    <row r="2" spans="1:18" x14ac:dyDescent="0.3">
      <c r="A2" s="8"/>
    </row>
    <row r="4" spans="1:18" x14ac:dyDescent="0.3">
      <c r="A4" t="s">
        <v>61</v>
      </c>
    </row>
    <row r="5" spans="1:18" x14ac:dyDescent="0.3">
      <c r="A5" t="s">
        <v>22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</row>
    <row r="6" spans="1:18" x14ac:dyDescent="0.3">
      <c r="A6">
        <v>4</v>
      </c>
      <c r="B6">
        <v>3</v>
      </c>
      <c r="C6" t="s">
        <v>60</v>
      </c>
      <c r="D6">
        <v>9223</v>
      </c>
      <c r="E6">
        <v>2267</v>
      </c>
      <c r="F6">
        <v>2.78</v>
      </c>
    </row>
    <row r="8" spans="1:18" x14ac:dyDescent="0.3">
      <c r="A8" t="s">
        <v>52</v>
      </c>
    </row>
    <row r="9" spans="1:18" x14ac:dyDescent="0.3">
      <c r="A9" t="s">
        <v>22</v>
      </c>
      <c r="B9" t="s">
        <v>23</v>
      </c>
      <c r="C9" t="s">
        <v>24</v>
      </c>
      <c r="D9" t="s">
        <v>25</v>
      </c>
      <c r="E9" t="s">
        <v>26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</row>
    <row r="10" spans="1:18" x14ac:dyDescent="0.3">
      <c r="A10">
        <v>4</v>
      </c>
      <c r="B10">
        <v>1</v>
      </c>
      <c r="C10">
        <v>2</v>
      </c>
      <c r="D10">
        <v>0</v>
      </c>
      <c r="E10" t="s">
        <v>50</v>
      </c>
      <c r="F10">
        <v>4</v>
      </c>
      <c r="G10">
        <v>12.664999999999999</v>
      </c>
      <c r="H10">
        <v>0</v>
      </c>
      <c r="I10">
        <v>6.3</v>
      </c>
      <c r="J10">
        <v>2.7</v>
      </c>
      <c r="K10">
        <v>71.334999999999994</v>
      </c>
      <c r="L10">
        <v>0</v>
      </c>
      <c r="M10">
        <v>30.428000000000001</v>
      </c>
      <c r="N10">
        <v>0</v>
      </c>
      <c r="O10">
        <v>6.6790000000000003</v>
      </c>
      <c r="P10">
        <v>0</v>
      </c>
      <c r="Q10">
        <v>0</v>
      </c>
    </row>
    <row r="11" spans="1:18" x14ac:dyDescent="0.3">
      <c r="A11">
        <v>4</v>
      </c>
      <c r="B11">
        <v>1</v>
      </c>
      <c r="C11">
        <v>2</v>
      </c>
      <c r="D11">
        <v>0</v>
      </c>
      <c r="E11" t="s">
        <v>50</v>
      </c>
      <c r="F11">
        <v>4</v>
      </c>
      <c r="G11">
        <v>34.637999999999998</v>
      </c>
      <c r="H11">
        <v>0</v>
      </c>
      <c r="I11">
        <v>5.25</v>
      </c>
      <c r="J11">
        <v>2.25</v>
      </c>
      <c r="K11">
        <v>34.862000000000002</v>
      </c>
      <c r="L11">
        <v>0</v>
      </c>
      <c r="M11">
        <v>25.193000000000001</v>
      </c>
      <c r="N11">
        <v>0</v>
      </c>
      <c r="O11">
        <v>5.53</v>
      </c>
      <c r="P11">
        <v>0</v>
      </c>
      <c r="Q11">
        <v>0</v>
      </c>
    </row>
    <row r="12" spans="1:18" x14ac:dyDescent="0.3">
      <c r="A12">
        <v>4</v>
      </c>
      <c r="B12">
        <v>1</v>
      </c>
      <c r="C12">
        <v>2</v>
      </c>
      <c r="D12">
        <v>0</v>
      </c>
      <c r="E12" t="s">
        <v>50</v>
      </c>
      <c r="F12">
        <v>4</v>
      </c>
      <c r="G12">
        <v>301.01100000000002</v>
      </c>
      <c r="H12">
        <v>0</v>
      </c>
      <c r="I12">
        <v>35</v>
      </c>
      <c r="J12">
        <v>15</v>
      </c>
      <c r="K12">
        <v>152.989</v>
      </c>
      <c r="L12">
        <v>0</v>
      </c>
      <c r="M12">
        <v>164.899</v>
      </c>
      <c r="N12">
        <v>0</v>
      </c>
      <c r="O12">
        <v>36.197000000000003</v>
      </c>
      <c r="P12">
        <v>0</v>
      </c>
      <c r="Q12">
        <v>0</v>
      </c>
    </row>
    <row r="13" spans="1:18" x14ac:dyDescent="0.3">
      <c r="A13">
        <v>4</v>
      </c>
      <c r="B13">
        <v>1</v>
      </c>
      <c r="C13">
        <v>2</v>
      </c>
      <c r="D13">
        <v>0</v>
      </c>
      <c r="E13" t="s">
        <v>51</v>
      </c>
      <c r="F13">
        <v>4</v>
      </c>
      <c r="G13">
        <v>1297.914</v>
      </c>
      <c r="H13">
        <v>0</v>
      </c>
      <c r="I13">
        <v>139.65</v>
      </c>
      <c r="J13">
        <v>59.85</v>
      </c>
      <c r="K13">
        <v>500.08600000000001</v>
      </c>
      <c r="L13">
        <v>0</v>
      </c>
      <c r="M13">
        <v>653.54200000000003</v>
      </c>
      <c r="N13">
        <v>0</v>
      </c>
      <c r="O13">
        <v>143.46</v>
      </c>
      <c r="P13">
        <v>0</v>
      </c>
      <c r="Q13">
        <v>0</v>
      </c>
    </row>
    <row r="15" spans="1:18" ht="15" thickBot="1" x14ac:dyDescent="0.35">
      <c r="A15" t="s">
        <v>54</v>
      </c>
    </row>
    <row r="16" spans="1:18" ht="15" thickBot="1" x14ac:dyDescent="0.35">
      <c r="A16" t="s">
        <v>22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L16" s="23"/>
      <c r="M16" s="24" t="s">
        <v>71</v>
      </c>
      <c r="N16" s="24" t="s">
        <v>76</v>
      </c>
      <c r="O16" s="24" t="s">
        <v>77</v>
      </c>
      <c r="P16" s="24" t="s">
        <v>78</v>
      </c>
      <c r="Q16" s="24"/>
      <c r="R16" s="25"/>
    </row>
    <row r="17" spans="1:10" hidden="1" x14ac:dyDescent="0.3">
      <c r="A17">
        <v>0</v>
      </c>
      <c r="B17">
        <v>1</v>
      </c>
      <c r="C17">
        <v>2</v>
      </c>
      <c r="D17">
        <v>0</v>
      </c>
      <c r="E17" t="s">
        <v>51</v>
      </c>
      <c r="F17">
        <v>180</v>
      </c>
      <c r="G17">
        <v>1906</v>
      </c>
      <c r="H17">
        <v>211.5</v>
      </c>
      <c r="I17">
        <v>692.8</v>
      </c>
      <c r="J17">
        <v>152.1</v>
      </c>
    </row>
    <row r="18" spans="1:10" hidden="1" x14ac:dyDescent="0.3">
      <c r="A18">
        <v>0</v>
      </c>
      <c r="B18">
        <v>1</v>
      </c>
      <c r="C18">
        <v>2</v>
      </c>
      <c r="D18">
        <v>0</v>
      </c>
      <c r="E18" t="s">
        <v>53</v>
      </c>
      <c r="F18">
        <v>120</v>
      </c>
      <c r="G18">
        <v>698</v>
      </c>
      <c r="H18">
        <v>77.5</v>
      </c>
      <c r="I18">
        <v>256.3</v>
      </c>
      <c r="J18">
        <v>56.3</v>
      </c>
    </row>
    <row r="19" spans="1:10" hidden="1" x14ac:dyDescent="0.3">
      <c r="A19">
        <v>0</v>
      </c>
      <c r="B19">
        <v>1</v>
      </c>
      <c r="C19">
        <v>2</v>
      </c>
      <c r="D19">
        <v>0</v>
      </c>
      <c r="E19" t="s">
        <v>53</v>
      </c>
      <c r="F19">
        <v>90</v>
      </c>
      <c r="G19">
        <v>3024</v>
      </c>
      <c r="H19">
        <v>336</v>
      </c>
      <c r="I19">
        <v>1110.3</v>
      </c>
      <c r="J19">
        <v>243.7</v>
      </c>
    </row>
    <row r="20" spans="1:10" hidden="1" x14ac:dyDescent="0.3">
      <c r="A20">
        <v>0</v>
      </c>
      <c r="B20">
        <v>1</v>
      </c>
      <c r="C20">
        <v>2</v>
      </c>
      <c r="D20">
        <v>0</v>
      </c>
      <c r="E20" t="s">
        <v>50</v>
      </c>
      <c r="F20">
        <v>120</v>
      </c>
      <c r="G20">
        <v>464.5</v>
      </c>
      <c r="H20">
        <v>51.5</v>
      </c>
      <c r="I20">
        <v>168.8</v>
      </c>
      <c r="J20">
        <v>37.1</v>
      </c>
    </row>
    <row r="21" spans="1:10" hidden="1" x14ac:dyDescent="0.3">
      <c r="A21">
        <v>0</v>
      </c>
      <c r="B21">
        <v>1</v>
      </c>
      <c r="C21">
        <v>2</v>
      </c>
      <c r="D21">
        <v>0</v>
      </c>
      <c r="E21" t="s">
        <v>50</v>
      </c>
      <c r="F21">
        <v>60</v>
      </c>
      <c r="G21">
        <v>53.5</v>
      </c>
      <c r="H21">
        <v>5.5</v>
      </c>
      <c r="I21">
        <v>19.3</v>
      </c>
      <c r="J21">
        <v>4.2</v>
      </c>
    </row>
    <row r="22" spans="1:10" hidden="1" x14ac:dyDescent="0.3">
      <c r="A22">
        <v>0</v>
      </c>
      <c r="B22">
        <v>1</v>
      </c>
      <c r="C22">
        <v>2</v>
      </c>
      <c r="D22">
        <v>0</v>
      </c>
      <c r="E22" t="s">
        <v>50</v>
      </c>
      <c r="F22">
        <v>10</v>
      </c>
      <c r="G22">
        <v>64.5</v>
      </c>
      <c r="H22">
        <v>7</v>
      </c>
      <c r="I22">
        <v>23.4</v>
      </c>
      <c r="J22">
        <v>5.0999999999999996</v>
      </c>
    </row>
    <row r="23" spans="1:10" hidden="1" x14ac:dyDescent="0.3">
      <c r="A23">
        <v>1</v>
      </c>
      <c r="B23">
        <v>1</v>
      </c>
      <c r="C23">
        <v>2</v>
      </c>
      <c r="D23">
        <v>0</v>
      </c>
      <c r="E23" t="s">
        <v>51</v>
      </c>
      <c r="F23">
        <v>181</v>
      </c>
      <c r="G23">
        <v>1870.5</v>
      </c>
      <c r="H23">
        <v>207.5</v>
      </c>
      <c r="I23">
        <v>679.9</v>
      </c>
      <c r="J23">
        <v>149.19999999999999</v>
      </c>
    </row>
    <row r="24" spans="1:10" hidden="1" x14ac:dyDescent="0.3">
      <c r="A24">
        <v>1</v>
      </c>
      <c r="B24">
        <v>1</v>
      </c>
      <c r="C24">
        <v>2</v>
      </c>
      <c r="D24">
        <v>0</v>
      </c>
      <c r="E24" t="s">
        <v>53</v>
      </c>
      <c r="F24">
        <v>121</v>
      </c>
      <c r="G24">
        <v>598</v>
      </c>
      <c r="H24">
        <v>66</v>
      </c>
      <c r="I24">
        <v>219.4</v>
      </c>
      <c r="J24">
        <v>48.2</v>
      </c>
    </row>
    <row r="25" spans="1:10" hidden="1" x14ac:dyDescent="0.3">
      <c r="A25">
        <v>1</v>
      </c>
      <c r="B25">
        <v>1</v>
      </c>
      <c r="C25">
        <v>2</v>
      </c>
      <c r="D25">
        <v>0</v>
      </c>
      <c r="E25" t="s">
        <v>53</v>
      </c>
      <c r="F25">
        <v>91</v>
      </c>
      <c r="G25">
        <v>3063</v>
      </c>
      <c r="H25">
        <v>340</v>
      </c>
      <c r="I25">
        <v>1124.5999999999999</v>
      </c>
      <c r="J25">
        <v>246.9</v>
      </c>
    </row>
    <row r="26" spans="1:10" hidden="1" x14ac:dyDescent="0.3">
      <c r="A26">
        <v>1</v>
      </c>
      <c r="B26">
        <v>1</v>
      </c>
      <c r="C26">
        <v>2</v>
      </c>
      <c r="D26">
        <v>0</v>
      </c>
      <c r="E26" t="s">
        <v>50</v>
      </c>
      <c r="F26">
        <v>121</v>
      </c>
      <c r="G26">
        <v>458</v>
      </c>
      <c r="H26">
        <v>50.5</v>
      </c>
      <c r="I26">
        <v>166.4</v>
      </c>
      <c r="J26">
        <v>36.5</v>
      </c>
    </row>
    <row r="27" spans="1:10" hidden="1" x14ac:dyDescent="0.3">
      <c r="A27">
        <v>1</v>
      </c>
      <c r="B27">
        <v>1</v>
      </c>
      <c r="C27">
        <v>2</v>
      </c>
      <c r="D27">
        <v>0</v>
      </c>
      <c r="E27" t="s">
        <v>50</v>
      </c>
      <c r="F27">
        <v>61</v>
      </c>
      <c r="G27">
        <v>58.5</v>
      </c>
      <c r="H27">
        <v>6</v>
      </c>
      <c r="I27">
        <v>21.1</v>
      </c>
      <c r="J27">
        <v>4.5999999999999996</v>
      </c>
    </row>
    <row r="28" spans="1:10" hidden="1" x14ac:dyDescent="0.3">
      <c r="A28">
        <v>1</v>
      </c>
      <c r="B28">
        <v>1</v>
      </c>
      <c r="C28">
        <v>2</v>
      </c>
      <c r="D28">
        <v>0</v>
      </c>
      <c r="E28" t="s">
        <v>50</v>
      </c>
      <c r="F28">
        <v>11</v>
      </c>
      <c r="G28">
        <v>70.5</v>
      </c>
      <c r="H28">
        <v>7.5</v>
      </c>
      <c r="I28">
        <v>25.5</v>
      </c>
      <c r="J28">
        <v>5.6</v>
      </c>
    </row>
    <row r="29" spans="1:10" hidden="1" x14ac:dyDescent="0.3">
      <c r="A29">
        <v>2</v>
      </c>
      <c r="B29">
        <v>1</v>
      </c>
      <c r="C29">
        <v>2</v>
      </c>
      <c r="D29">
        <v>0</v>
      </c>
      <c r="E29" t="s">
        <v>51</v>
      </c>
      <c r="F29">
        <v>182</v>
      </c>
      <c r="G29">
        <v>1834.5</v>
      </c>
      <c r="H29">
        <v>203.5</v>
      </c>
      <c r="I29">
        <v>666.8</v>
      </c>
      <c r="J29">
        <v>146.4</v>
      </c>
    </row>
    <row r="30" spans="1:10" hidden="1" x14ac:dyDescent="0.3">
      <c r="A30">
        <v>2</v>
      </c>
      <c r="B30">
        <v>1</v>
      </c>
      <c r="C30">
        <v>2</v>
      </c>
      <c r="D30">
        <v>0</v>
      </c>
      <c r="E30" t="s">
        <v>53</v>
      </c>
      <c r="F30">
        <v>122</v>
      </c>
      <c r="G30">
        <v>506</v>
      </c>
      <c r="H30">
        <v>56</v>
      </c>
      <c r="I30">
        <v>185.7</v>
      </c>
      <c r="J30">
        <v>40.799999999999997</v>
      </c>
    </row>
    <row r="31" spans="1:10" hidden="1" x14ac:dyDescent="0.3">
      <c r="A31">
        <v>2</v>
      </c>
      <c r="B31">
        <v>1</v>
      </c>
      <c r="C31">
        <v>2</v>
      </c>
      <c r="D31">
        <v>0</v>
      </c>
      <c r="E31" t="s">
        <v>53</v>
      </c>
      <c r="F31">
        <v>92</v>
      </c>
      <c r="G31">
        <v>3100</v>
      </c>
      <c r="H31">
        <v>344</v>
      </c>
      <c r="I31">
        <v>1138.0999999999999</v>
      </c>
      <c r="J31">
        <v>249.8</v>
      </c>
    </row>
    <row r="32" spans="1:10" hidden="1" x14ac:dyDescent="0.3">
      <c r="A32">
        <v>2</v>
      </c>
      <c r="B32">
        <v>1</v>
      </c>
      <c r="C32">
        <v>2</v>
      </c>
      <c r="D32">
        <v>0</v>
      </c>
      <c r="E32" t="s">
        <v>50</v>
      </c>
      <c r="F32">
        <v>122</v>
      </c>
      <c r="G32">
        <v>454</v>
      </c>
      <c r="H32">
        <v>50</v>
      </c>
      <c r="I32">
        <v>164.9</v>
      </c>
      <c r="J32">
        <v>36.200000000000003</v>
      </c>
    </row>
    <row r="33" spans="1:18" hidden="1" x14ac:dyDescent="0.3">
      <c r="A33">
        <v>2</v>
      </c>
      <c r="B33">
        <v>1</v>
      </c>
      <c r="C33">
        <v>2</v>
      </c>
      <c r="D33">
        <v>0</v>
      </c>
      <c r="E33" t="s">
        <v>50</v>
      </c>
      <c r="F33">
        <v>62</v>
      </c>
      <c r="G33">
        <v>63.5</v>
      </c>
      <c r="H33">
        <v>7</v>
      </c>
      <c r="I33">
        <v>23.1</v>
      </c>
      <c r="J33">
        <v>5.0999999999999996</v>
      </c>
    </row>
    <row r="34" spans="1:18" hidden="1" x14ac:dyDescent="0.3">
      <c r="A34">
        <v>2</v>
      </c>
      <c r="B34">
        <v>1</v>
      </c>
      <c r="C34">
        <v>2</v>
      </c>
      <c r="D34">
        <v>0</v>
      </c>
      <c r="E34" t="s">
        <v>50</v>
      </c>
      <c r="F34">
        <v>12</v>
      </c>
      <c r="G34">
        <v>76.5</v>
      </c>
      <c r="H34">
        <v>8.5</v>
      </c>
      <c r="I34">
        <v>27.8</v>
      </c>
      <c r="J34">
        <v>6.1</v>
      </c>
    </row>
    <row r="35" spans="1:18" x14ac:dyDescent="0.3">
      <c r="A35">
        <v>3</v>
      </c>
      <c r="B35">
        <v>1</v>
      </c>
      <c r="C35">
        <v>2</v>
      </c>
      <c r="D35">
        <v>0</v>
      </c>
      <c r="E35" t="s">
        <v>51</v>
      </c>
      <c r="F35">
        <v>183</v>
      </c>
      <c r="G35">
        <v>1798</v>
      </c>
      <c r="H35">
        <v>199.5</v>
      </c>
      <c r="I35">
        <v>653.5</v>
      </c>
      <c r="J35">
        <v>143.5</v>
      </c>
      <c r="K35" t="s">
        <v>70</v>
      </c>
      <c r="L35" s="12" t="s">
        <v>81</v>
      </c>
      <c r="M35" s="13">
        <f>SUM(G35,G38,G39,G40)</f>
        <v>2405.5</v>
      </c>
      <c r="N35" s="13">
        <f>SUM(H35,H38,H39,H40)</f>
        <v>266</v>
      </c>
      <c r="O35" s="13">
        <f>SUM(I35,I38,I39,I40)</f>
        <v>874</v>
      </c>
      <c r="P35" s="13">
        <f>SUM(J35,J38,J39,J40)</f>
        <v>191.89999999999998</v>
      </c>
      <c r="Q35" s="13"/>
      <c r="R35" s="14"/>
    </row>
    <row r="36" spans="1:18" x14ac:dyDescent="0.3">
      <c r="A36">
        <v>3</v>
      </c>
      <c r="B36">
        <v>1</v>
      </c>
      <c r="C36">
        <v>2</v>
      </c>
      <c r="D36">
        <v>0</v>
      </c>
      <c r="E36" t="s">
        <v>53</v>
      </c>
      <c r="F36">
        <v>123</v>
      </c>
      <c r="G36">
        <v>423</v>
      </c>
      <c r="H36">
        <v>47</v>
      </c>
      <c r="I36">
        <v>155.30000000000001</v>
      </c>
      <c r="J36">
        <v>34.1</v>
      </c>
      <c r="K36" t="s">
        <v>69</v>
      </c>
      <c r="L36" s="15"/>
      <c r="M36" s="16"/>
      <c r="N36" s="16"/>
      <c r="O36" s="16"/>
      <c r="P36" s="16"/>
      <c r="Q36" s="16"/>
      <c r="R36" s="17"/>
    </row>
    <row r="37" spans="1:18" x14ac:dyDescent="0.3">
      <c r="A37">
        <v>3</v>
      </c>
      <c r="B37">
        <v>1</v>
      </c>
      <c r="C37">
        <v>2</v>
      </c>
      <c r="D37">
        <v>0</v>
      </c>
      <c r="E37" t="s">
        <v>53</v>
      </c>
      <c r="F37">
        <v>93</v>
      </c>
      <c r="G37">
        <v>3134.5</v>
      </c>
      <c r="H37">
        <v>348</v>
      </c>
      <c r="I37">
        <v>1150.8</v>
      </c>
      <c r="J37">
        <v>252.6</v>
      </c>
      <c r="K37" t="s">
        <v>69</v>
      </c>
      <c r="L37" s="15"/>
      <c r="M37" s="16" t="s">
        <v>71</v>
      </c>
      <c r="N37" s="16" t="s">
        <v>76</v>
      </c>
      <c r="O37" s="16" t="s">
        <v>77</v>
      </c>
      <c r="P37" s="16" t="s">
        <v>78</v>
      </c>
      <c r="Q37" s="16"/>
      <c r="R37" s="17"/>
    </row>
    <row r="38" spans="1:18" x14ac:dyDescent="0.3">
      <c r="A38">
        <v>3</v>
      </c>
      <c r="B38">
        <v>1</v>
      </c>
      <c r="C38">
        <v>2</v>
      </c>
      <c r="D38">
        <v>0</v>
      </c>
      <c r="E38" t="s">
        <v>50</v>
      </c>
      <c r="F38">
        <v>123</v>
      </c>
      <c r="G38">
        <v>454</v>
      </c>
      <c r="H38">
        <v>50</v>
      </c>
      <c r="I38">
        <v>164.9</v>
      </c>
      <c r="J38">
        <v>36.200000000000003</v>
      </c>
      <c r="K38" t="s">
        <v>70</v>
      </c>
      <c r="L38" s="15" t="s">
        <v>80</v>
      </c>
      <c r="M38" s="16">
        <f>SUM(G10:G13,K10:K13)</f>
        <v>2405.5</v>
      </c>
      <c r="N38" s="16">
        <f>SUM(I10:J13)</f>
        <v>266</v>
      </c>
      <c r="O38" s="16">
        <f>SUM(M10:M13)</f>
        <v>874.06200000000001</v>
      </c>
      <c r="P38" s="16">
        <f>SUM(O10:O13)</f>
        <v>191.86600000000001</v>
      </c>
      <c r="Q38" s="16"/>
      <c r="R38" s="17"/>
    </row>
    <row r="39" spans="1:18" x14ac:dyDescent="0.3">
      <c r="A39">
        <v>3</v>
      </c>
      <c r="B39">
        <v>1</v>
      </c>
      <c r="C39">
        <v>2</v>
      </c>
      <c r="D39">
        <v>0</v>
      </c>
      <c r="E39" t="s">
        <v>50</v>
      </c>
      <c r="F39">
        <v>63</v>
      </c>
      <c r="G39">
        <v>69.5</v>
      </c>
      <c r="H39">
        <v>7.5</v>
      </c>
      <c r="I39">
        <v>25.2</v>
      </c>
      <c r="J39">
        <v>5.5</v>
      </c>
      <c r="K39" t="s">
        <v>70</v>
      </c>
      <c r="L39" s="15"/>
      <c r="M39" s="16"/>
      <c r="N39" s="16">
        <f>SUM(J10:J13)</f>
        <v>79.8</v>
      </c>
      <c r="O39" s="16" t="s">
        <v>62</v>
      </c>
      <c r="P39" s="16"/>
      <c r="Q39" s="16"/>
      <c r="R39" s="17"/>
    </row>
    <row r="40" spans="1:18" ht="15" thickBot="1" x14ac:dyDescent="0.35">
      <c r="A40">
        <v>3</v>
      </c>
      <c r="B40">
        <v>1</v>
      </c>
      <c r="C40">
        <v>2</v>
      </c>
      <c r="D40">
        <v>0</v>
      </c>
      <c r="E40" t="s">
        <v>50</v>
      </c>
      <c r="F40">
        <v>13</v>
      </c>
      <c r="G40">
        <v>84</v>
      </c>
      <c r="H40">
        <v>9</v>
      </c>
      <c r="I40">
        <v>30.4</v>
      </c>
      <c r="J40">
        <v>6.7</v>
      </c>
      <c r="K40" t="s">
        <v>70</v>
      </c>
      <c r="L40" s="20"/>
      <c r="M40" s="21">
        <f>M38/M35</f>
        <v>1</v>
      </c>
      <c r="N40" s="21">
        <f>N38/N35</f>
        <v>1</v>
      </c>
      <c r="O40" s="21">
        <f t="shared" ref="O40:P40" si="0">O38/O35</f>
        <v>1.000070938215103</v>
      </c>
      <c r="P40" s="21">
        <f t="shared" si="0"/>
        <v>0.99982282438770209</v>
      </c>
      <c r="Q40" s="26" t="s">
        <v>73</v>
      </c>
      <c r="R40" s="27" t="s">
        <v>74</v>
      </c>
    </row>
    <row r="41" spans="1:18" hidden="1" x14ac:dyDescent="0.3">
      <c r="A41" s="5">
        <v>4</v>
      </c>
      <c r="B41" s="5">
        <v>1</v>
      </c>
      <c r="C41" s="5">
        <v>2</v>
      </c>
      <c r="D41" s="5">
        <v>0</v>
      </c>
      <c r="E41" s="5" t="s">
        <v>53</v>
      </c>
      <c r="F41" s="5">
        <v>124</v>
      </c>
      <c r="G41" s="5">
        <v>349</v>
      </c>
      <c r="H41" s="5">
        <v>38.5</v>
      </c>
      <c r="I41" s="5">
        <v>128.1</v>
      </c>
      <c r="J41" s="5">
        <v>28.1</v>
      </c>
    </row>
    <row r="42" spans="1:18" hidden="1" x14ac:dyDescent="0.3">
      <c r="A42" s="5">
        <v>4</v>
      </c>
      <c r="B42" s="5">
        <v>1</v>
      </c>
      <c r="C42" s="5">
        <v>2</v>
      </c>
      <c r="D42" s="5">
        <v>0</v>
      </c>
      <c r="E42" s="5" t="s">
        <v>53</v>
      </c>
      <c r="F42" s="5">
        <v>94</v>
      </c>
      <c r="G42" s="5">
        <v>3289.5</v>
      </c>
      <c r="H42" s="5">
        <v>365.5</v>
      </c>
      <c r="I42" s="5">
        <v>1207.8</v>
      </c>
      <c r="J42" s="5">
        <v>265.10000000000002</v>
      </c>
    </row>
    <row r="43" spans="1:18" hidden="1" x14ac:dyDescent="0.3">
      <c r="A43">
        <v>5</v>
      </c>
      <c r="B43">
        <v>1</v>
      </c>
      <c r="C43">
        <v>2</v>
      </c>
      <c r="D43">
        <v>0</v>
      </c>
      <c r="E43" t="s">
        <v>53</v>
      </c>
      <c r="F43">
        <v>125</v>
      </c>
      <c r="G43">
        <v>283.5</v>
      </c>
      <c r="H43">
        <v>31.5</v>
      </c>
      <c r="I43">
        <v>104.1</v>
      </c>
      <c r="J43">
        <v>22.9</v>
      </c>
    </row>
    <row r="44" spans="1:18" hidden="1" x14ac:dyDescent="0.3">
      <c r="A44">
        <v>5</v>
      </c>
      <c r="B44">
        <v>1</v>
      </c>
      <c r="C44">
        <v>2</v>
      </c>
      <c r="D44">
        <v>0</v>
      </c>
      <c r="E44" t="s">
        <v>53</v>
      </c>
      <c r="F44">
        <v>95</v>
      </c>
      <c r="G44">
        <v>3429</v>
      </c>
      <c r="H44">
        <v>381</v>
      </c>
      <c r="I44">
        <v>1259.0999999999999</v>
      </c>
      <c r="J44">
        <v>276.39999999999998</v>
      </c>
    </row>
    <row r="45" spans="1:18" hidden="1" x14ac:dyDescent="0.3">
      <c r="A45">
        <v>6</v>
      </c>
      <c r="B45">
        <v>1</v>
      </c>
      <c r="C45">
        <v>2</v>
      </c>
      <c r="D45">
        <v>0</v>
      </c>
      <c r="E45" t="s">
        <v>53</v>
      </c>
      <c r="F45">
        <v>126</v>
      </c>
      <c r="G45">
        <v>227</v>
      </c>
      <c r="H45">
        <v>25</v>
      </c>
      <c r="I45">
        <v>83.3</v>
      </c>
      <c r="J45">
        <v>18.3</v>
      </c>
    </row>
    <row r="46" spans="1:18" hidden="1" x14ac:dyDescent="0.3">
      <c r="A46">
        <v>6</v>
      </c>
      <c r="B46">
        <v>1</v>
      </c>
      <c r="C46">
        <v>2</v>
      </c>
      <c r="D46">
        <v>0</v>
      </c>
      <c r="E46" t="s">
        <v>53</v>
      </c>
      <c r="F46">
        <v>96</v>
      </c>
      <c r="G46">
        <v>3551</v>
      </c>
      <c r="H46">
        <v>394.5</v>
      </c>
      <c r="I46">
        <v>1303.8</v>
      </c>
      <c r="J46">
        <v>286.2</v>
      </c>
    </row>
    <row r="47" spans="1:18" hidden="1" x14ac:dyDescent="0.3">
      <c r="A47">
        <v>7</v>
      </c>
      <c r="B47">
        <v>1</v>
      </c>
      <c r="C47">
        <v>2</v>
      </c>
      <c r="D47">
        <v>0</v>
      </c>
      <c r="E47" t="s">
        <v>53</v>
      </c>
      <c r="F47">
        <v>127</v>
      </c>
      <c r="G47">
        <v>179</v>
      </c>
      <c r="H47">
        <v>19.5</v>
      </c>
      <c r="I47">
        <v>65.599999999999994</v>
      </c>
      <c r="J47">
        <v>14.4</v>
      </c>
    </row>
    <row r="48" spans="1:18" hidden="1" x14ac:dyDescent="0.3">
      <c r="A48">
        <v>7</v>
      </c>
      <c r="B48">
        <v>1</v>
      </c>
      <c r="C48">
        <v>2</v>
      </c>
      <c r="D48">
        <v>0</v>
      </c>
      <c r="E48" t="s">
        <v>53</v>
      </c>
      <c r="F48">
        <v>97</v>
      </c>
      <c r="G48">
        <v>3655</v>
      </c>
      <c r="H48">
        <v>406</v>
      </c>
      <c r="I48">
        <v>1342</v>
      </c>
      <c r="J48">
        <v>294.60000000000002</v>
      </c>
    </row>
    <row r="49" spans="1:10" hidden="1" x14ac:dyDescent="0.3">
      <c r="A49">
        <v>8</v>
      </c>
      <c r="B49">
        <v>1</v>
      </c>
      <c r="C49">
        <v>2</v>
      </c>
      <c r="D49">
        <v>0</v>
      </c>
      <c r="E49" t="s">
        <v>53</v>
      </c>
      <c r="F49">
        <v>128</v>
      </c>
      <c r="G49">
        <v>138.5</v>
      </c>
      <c r="H49">
        <v>15</v>
      </c>
      <c r="I49">
        <v>50.7</v>
      </c>
      <c r="J49">
        <v>11.1</v>
      </c>
    </row>
    <row r="50" spans="1:10" hidden="1" x14ac:dyDescent="0.3">
      <c r="A50">
        <v>8</v>
      </c>
      <c r="B50">
        <v>1</v>
      </c>
      <c r="C50">
        <v>2</v>
      </c>
      <c r="D50">
        <v>0</v>
      </c>
      <c r="E50" t="s">
        <v>53</v>
      </c>
      <c r="F50">
        <v>98</v>
      </c>
      <c r="G50">
        <v>3740</v>
      </c>
      <c r="H50">
        <v>415.5</v>
      </c>
      <c r="I50">
        <v>1373.2</v>
      </c>
      <c r="J50">
        <v>301.39999999999998</v>
      </c>
    </row>
    <row r="51" spans="1:10" hidden="1" x14ac:dyDescent="0.3">
      <c r="A51">
        <v>9</v>
      </c>
      <c r="B51">
        <v>1</v>
      </c>
      <c r="C51">
        <v>2</v>
      </c>
      <c r="D51">
        <v>0</v>
      </c>
      <c r="E51" t="s">
        <v>53</v>
      </c>
      <c r="F51">
        <v>129</v>
      </c>
      <c r="G51">
        <v>105</v>
      </c>
      <c r="H51">
        <v>11.5</v>
      </c>
      <c r="I51">
        <v>38.5</v>
      </c>
      <c r="J51">
        <v>8.5</v>
      </c>
    </row>
    <row r="52" spans="1:10" hidden="1" x14ac:dyDescent="0.3">
      <c r="A52">
        <v>9</v>
      </c>
      <c r="B52">
        <v>1</v>
      </c>
      <c r="C52">
        <v>2</v>
      </c>
      <c r="D52">
        <v>0</v>
      </c>
      <c r="E52" t="s">
        <v>53</v>
      </c>
      <c r="F52">
        <v>99</v>
      </c>
      <c r="G52">
        <v>3807</v>
      </c>
      <c r="H52">
        <v>423</v>
      </c>
      <c r="I52">
        <v>1397.8</v>
      </c>
      <c r="J52">
        <v>306.8</v>
      </c>
    </row>
    <row r="53" spans="1:10" hidden="1" x14ac:dyDescent="0.3">
      <c r="A53">
        <v>10</v>
      </c>
      <c r="B53">
        <v>1</v>
      </c>
      <c r="C53">
        <v>2</v>
      </c>
      <c r="D53">
        <v>0</v>
      </c>
      <c r="E53" t="s">
        <v>53</v>
      </c>
      <c r="F53">
        <v>130</v>
      </c>
      <c r="G53">
        <v>78</v>
      </c>
      <c r="H53">
        <v>8.5</v>
      </c>
      <c r="I53">
        <v>28.6</v>
      </c>
      <c r="J53">
        <v>6.3</v>
      </c>
    </row>
    <row r="54" spans="1:10" hidden="1" x14ac:dyDescent="0.3">
      <c r="A54">
        <v>10</v>
      </c>
      <c r="B54">
        <v>1</v>
      </c>
      <c r="C54">
        <v>2</v>
      </c>
      <c r="D54">
        <v>0</v>
      </c>
      <c r="E54" t="s">
        <v>53</v>
      </c>
      <c r="F54">
        <v>100</v>
      </c>
      <c r="G54">
        <v>3857.5</v>
      </c>
      <c r="H54">
        <v>428.5</v>
      </c>
      <c r="I54">
        <v>1416.4</v>
      </c>
      <c r="J54">
        <v>310.89999999999998</v>
      </c>
    </row>
    <row r="55" spans="1:10" hidden="1" x14ac:dyDescent="0.3">
      <c r="A55">
        <v>11</v>
      </c>
      <c r="B55">
        <v>1</v>
      </c>
      <c r="C55">
        <v>2</v>
      </c>
      <c r="D55">
        <v>0</v>
      </c>
      <c r="E55" t="s">
        <v>53</v>
      </c>
      <c r="F55">
        <v>131</v>
      </c>
      <c r="G55">
        <v>57</v>
      </c>
      <c r="H55">
        <v>6</v>
      </c>
      <c r="I55">
        <v>20.8</v>
      </c>
      <c r="J55">
        <v>4.5999999999999996</v>
      </c>
    </row>
    <row r="56" spans="1:10" hidden="1" x14ac:dyDescent="0.3">
      <c r="A56">
        <v>11</v>
      </c>
      <c r="B56">
        <v>1</v>
      </c>
      <c r="C56">
        <v>2</v>
      </c>
      <c r="D56">
        <v>0</v>
      </c>
      <c r="E56" t="s">
        <v>53</v>
      </c>
      <c r="F56">
        <v>101</v>
      </c>
      <c r="G56">
        <v>3892</v>
      </c>
      <c r="H56">
        <v>432</v>
      </c>
      <c r="I56">
        <v>1428.9</v>
      </c>
      <c r="J56">
        <v>313.7</v>
      </c>
    </row>
    <row r="57" spans="1:10" hidden="1" x14ac:dyDescent="0.3">
      <c r="A57">
        <v>12</v>
      </c>
      <c r="B57">
        <v>1</v>
      </c>
      <c r="C57">
        <v>2</v>
      </c>
      <c r="D57">
        <v>0</v>
      </c>
      <c r="E57" t="s">
        <v>53</v>
      </c>
      <c r="F57">
        <v>132</v>
      </c>
      <c r="G57">
        <v>40.5</v>
      </c>
      <c r="H57">
        <v>4.5</v>
      </c>
      <c r="I57">
        <v>14.9</v>
      </c>
      <c r="J57">
        <v>3.3</v>
      </c>
    </row>
    <row r="58" spans="1:10" hidden="1" x14ac:dyDescent="0.3">
      <c r="A58">
        <v>12</v>
      </c>
      <c r="B58">
        <v>1</v>
      </c>
      <c r="C58">
        <v>2</v>
      </c>
      <c r="D58">
        <v>0</v>
      </c>
      <c r="E58" t="s">
        <v>53</v>
      </c>
      <c r="F58">
        <v>102</v>
      </c>
      <c r="G58">
        <v>3911.5</v>
      </c>
      <c r="H58">
        <v>434.5</v>
      </c>
      <c r="I58">
        <v>1436.2</v>
      </c>
      <c r="J58">
        <v>315.3</v>
      </c>
    </row>
    <row r="59" spans="1:10" hidden="1" x14ac:dyDescent="0.3">
      <c r="A59">
        <v>13</v>
      </c>
      <c r="B59">
        <v>1</v>
      </c>
      <c r="C59">
        <v>2</v>
      </c>
      <c r="D59">
        <v>0</v>
      </c>
      <c r="E59" t="s">
        <v>53</v>
      </c>
      <c r="F59">
        <v>133</v>
      </c>
      <c r="G59">
        <v>28.5</v>
      </c>
      <c r="H59">
        <v>3</v>
      </c>
      <c r="I59">
        <v>10.4</v>
      </c>
      <c r="J59">
        <v>2.2999999999999998</v>
      </c>
    </row>
    <row r="60" spans="1:10" hidden="1" x14ac:dyDescent="0.3">
      <c r="A60">
        <v>13</v>
      </c>
      <c r="B60">
        <v>1</v>
      </c>
      <c r="C60">
        <v>2</v>
      </c>
      <c r="D60">
        <v>0</v>
      </c>
      <c r="E60" t="s">
        <v>53</v>
      </c>
      <c r="F60">
        <v>103</v>
      </c>
      <c r="G60">
        <v>3918</v>
      </c>
      <c r="H60">
        <v>435</v>
      </c>
      <c r="I60">
        <v>1438.5</v>
      </c>
      <c r="J60">
        <v>315.8</v>
      </c>
    </row>
    <row r="61" spans="1:10" hidden="1" x14ac:dyDescent="0.3">
      <c r="A61">
        <v>14</v>
      </c>
      <c r="B61">
        <v>1</v>
      </c>
      <c r="C61">
        <v>2</v>
      </c>
      <c r="D61">
        <v>0</v>
      </c>
      <c r="E61" t="s">
        <v>53</v>
      </c>
      <c r="F61">
        <v>134</v>
      </c>
      <c r="G61">
        <v>19.5</v>
      </c>
      <c r="H61">
        <v>2</v>
      </c>
      <c r="I61">
        <v>7.1</v>
      </c>
      <c r="J61">
        <v>1.6</v>
      </c>
    </row>
    <row r="62" spans="1:10" hidden="1" x14ac:dyDescent="0.3">
      <c r="A62">
        <v>14</v>
      </c>
      <c r="B62">
        <v>1</v>
      </c>
      <c r="C62">
        <v>2</v>
      </c>
      <c r="D62">
        <v>0</v>
      </c>
      <c r="E62" t="s">
        <v>53</v>
      </c>
      <c r="F62">
        <v>104</v>
      </c>
      <c r="G62">
        <v>3905.5</v>
      </c>
      <c r="H62">
        <v>433.5</v>
      </c>
      <c r="I62">
        <v>1433.9</v>
      </c>
      <c r="J62">
        <v>314.8</v>
      </c>
    </row>
    <row r="63" spans="1:10" hidden="1" x14ac:dyDescent="0.3">
      <c r="A63">
        <v>15</v>
      </c>
      <c r="B63">
        <v>1</v>
      </c>
      <c r="C63">
        <v>2</v>
      </c>
      <c r="D63">
        <v>0</v>
      </c>
      <c r="E63" t="s">
        <v>53</v>
      </c>
      <c r="F63">
        <v>135</v>
      </c>
      <c r="G63">
        <v>13.5</v>
      </c>
      <c r="H63">
        <v>1</v>
      </c>
      <c r="I63">
        <v>4.8</v>
      </c>
      <c r="J63">
        <v>1.1000000000000001</v>
      </c>
    </row>
    <row r="64" spans="1:10" hidden="1" x14ac:dyDescent="0.3">
      <c r="A64">
        <v>15</v>
      </c>
      <c r="B64">
        <v>1</v>
      </c>
      <c r="C64">
        <v>2</v>
      </c>
      <c r="D64">
        <v>0</v>
      </c>
      <c r="E64" t="s">
        <v>53</v>
      </c>
      <c r="F64">
        <v>105</v>
      </c>
      <c r="G64">
        <v>3869</v>
      </c>
      <c r="H64">
        <v>429.5</v>
      </c>
      <c r="I64">
        <v>1420.5</v>
      </c>
      <c r="J64">
        <v>311.8</v>
      </c>
    </row>
    <row r="65" spans="1:10" hidden="1" x14ac:dyDescent="0.3">
      <c r="A65">
        <v>16</v>
      </c>
      <c r="B65">
        <v>1</v>
      </c>
      <c r="C65">
        <v>2</v>
      </c>
      <c r="D65">
        <v>0</v>
      </c>
      <c r="E65" t="s">
        <v>53</v>
      </c>
      <c r="F65">
        <v>136</v>
      </c>
      <c r="G65">
        <v>9</v>
      </c>
      <c r="H65">
        <v>0.5</v>
      </c>
      <c r="I65">
        <v>3.1</v>
      </c>
      <c r="J65">
        <v>0.7</v>
      </c>
    </row>
    <row r="66" spans="1:10" hidden="1" x14ac:dyDescent="0.3">
      <c r="A66">
        <v>16</v>
      </c>
      <c r="B66">
        <v>1</v>
      </c>
      <c r="C66">
        <v>2</v>
      </c>
      <c r="D66">
        <v>0</v>
      </c>
      <c r="E66" t="s">
        <v>53</v>
      </c>
      <c r="F66">
        <v>106</v>
      </c>
      <c r="G66">
        <v>3810</v>
      </c>
      <c r="H66">
        <v>423</v>
      </c>
      <c r="I66">
        <v>1398.8</v>
      </c>
      <c r="J66">
        <v>307.10000000000002</v>
      </c>
    </row>
    <row r="67" spans="1:10" hidden="1" x14ac:dyDescent="0.3">
      <c r="A67">
        <v>17</v>
      </c>
      <c r="B67">
        <v>1</v>
      </c>
      <c r="C67">
        <v>2</v>
      </c>
      <c r="D67">
        <v>0</v>
      </c>
      <c r="E67" t="s">
        <v>53</v>
      </c>
      <c r="F67">
        <v>137</v>
      </c>
      <c r="G67">
        <v>5.5</v>
      </c>
      <c r="H67">
        <v>0.5</v>
      </c>
      <c r="I67">
        <v>2</v>
      </c>
      <c r="J67">
        <v>0.4</v>
      </c>
    </row>
    <row r="68" spans="1:10" hidden="1" x14ac:dyDescent="0.3">
      <c r="A68">
        <v>17</v>
      </c>
      <c r="B68">
        <v>1</v>
      </c>
      <c r="C68">
        <v>2</v>
      </c>
      <c r="D68">
        <v>0</v>
      </c>
      <c r="E68" t="s">
        <v>53</v>
      </c>
      <c r="F68">
        <v>107</v>
      </c>
      <c r="G68">
        <v>3727.5</v>
      </c>
      <c r="H68">
        <v>414</v>
      </c>
      <c r="I68">
        <v>1368.6</v>
      </c>
      <c r="J68">
        <v>300.39999999999998</v>
      </c>
    </row>
    <row r="69" spans="1:10" hidden="1" x14ac:dyDescent="0.3">
      <c r="A69">
        <v>18</v>
      </c>
      <c r="B69">
        <v>1</v>
      </c>
      <c r="C69">
        <v>2</v>
      </c>
      <c r="D69">
        <v>0</v>
      </c>
      <c r="E69" t="s">
        <v>53</v>
      </c>
      <c r="F69">
        <v>138</v>
      </c>
      <c r="G69">
        <v>3.5</v>
      </c>
      <c r="H69">
        <v>0</v>
      </c>
      <c r="I69">
        <v>1.2</v>
      </c>
      <c r="J69">
        <v>0.3</v>
      </c>
    </row>
    <row r="70" spans="1:10" hidden="1" x14ac:dyDescent="0.3">
      <c r="A70">
        <v>18</v>
      </c>
      <c r="B70">
        <v>1</v>
      </c>
      <c r="C70">
        <v>2</v>
      </c>
      <c r="D70">
        <v>0</v>
      </c>
      <c r="E70" t="s">
        <v>53</v>
      </c>
      <c r="F70">
        <v>108</v>
      </c>
      <c r="G70">
        <v>3623.5</v>
      </c>
      <c r="H70">
        <v>402.5</v>
      </c>
      <c r="I70">
        <v>1330.4</v>
      </c>
      <c r="J70">
        <v>292</v>
      </c>
    </row>
    <row r="71" spans="1:10" hidden="1" x14ac:dyDescent="0.3">
      <c r="A71">
        <v>19</v>
      </c>
      <c r="B71">
        <v>1</v>
      </c>
      <c r="C71">
        <v>2</v>
      </c>
      <c r="D71">
        <v>0</v>
      </c>
      <c r="E71" t="s">
        <v>53</v>
      </c>
      <c r="F71">
        <v>139</v>
      </c>
      <c r="G71">
        <v>2</v>
      </c>
      <c r="H71">
        <v>0</v>
      </c>
      <c r="I71">
        <v>0.7</v>
      </c>
      <c r="J71">
        <v>0.1</v>
      </c>
    </row>
    <row r="72" spans="1:10" hidden="1" x14ac:dyDescent="0.3">
      <c r="A72">
        <v>19</v>
      </c>
      <c r="B72">
        <v>1</v>
      </c>
      <c r="C72">
        <v>2</v>
      </c>
      <c r="D72">
        <v>0</v>
      </c>
      <c r="E72" t="s">
        <v>53</v>
      </c>
      <c r="F72">
        <v>109</v>
      </c>
      <c r="G72">
        <v>3500</v>
      </c>
      <c r="H72">
        <v>388.5</v>
      </c>
      <c r="I72">
        <v>1285</v>
      </c>
      <c r="J72">
        <v>282.10000000000002</v>
      </c>
    </row>
    <row r="73" spans="1:10" hidden="1" x14ac:dyDescent="0.3">
      <c r="A73">
        <v>20</v>
      </c>
      <c r="B73">
        <v>1</v>
      </c>
      <c r="C73">
        <v>2</v>
      </c>
      <c r="D73">
        <v>0</v>
      </c>
      <c r="E73" t="s">
        <v>53</v>
      </c>
      <c r="F73">
        <v>140</v>
      </c>
      <c r="G73">
        <v>1</v>
      </c>
      <c r="H73">
        <v>0</v>
      </c>
      <c r="I73">
        <v>0.3</v>
      </c>
      <c r="J73">
        <v>0.1</v>
      </c>
    </row>
    <row r="74" spans="1:10" hidden="1" x14ac:dyDescent="0.3">
      <c r="A74">
        <v>20</v>
      </c>
      <c r="B74">
        <v>1</v>
      </c>
      <c r="C74">
        <v>2</v>
      </c>
      <c r="D74">
        <v>0</v>
      </c>
      <c r="E74" t="s">
        <v>53</v>
      </c>
      <c r="F74">
        <v>110</v>
      </c>
      <c r="G74">
        <v>3356.5</v>
      </c>
      <c r="H74">
        <v>372.5</v>
      </c>
      <c r="I74">
        <v>1232.3</v>
      </c>
      <c r="J74">
        <v>270.5</v>
      </c>
    </row>
    <row r="75" spans="1:10" hidden="1" x14ac:dyDescent="0.3">
      <c r="A75">
        <v>21</v>
      </c>
      <c r="B75">
        <v>1</v>
      </c>
      <c r="C75">
        <v>2</v>
      </c>
      <c r="D75">
        <v>0</v>
      </c>
      <c r="E75" t="s">
        <v>53</v>
      </c>
      <c r="F75">
        <v>141</v>
      </c>
      <c r="G75">
        <v>0.5</v>
      </c>
      <c r="H75">
        <v>0</v>
      </c>
      <c r="I75">
        <v>0.2</v>
      </c>
      <c r="J75">
        <v>0</v>
      </c>
    </row>
    <row r="76" spans="1:10" hidden="1" x14ac:dyDescent="0.3">
      <c r="A76">
        <v>21</v>
      </c>
      <c r="B76">
        <v>1</v>
      </c>
      <c r="C76">
        <v>2</v>
      </c>
      <c r="D76">
        <v>0</v>
      </c>
      <c r="E76" t="s">
        <v>53</v>
      </c>
      <c r="F76">
        <v>111</v>
      </c>
      <c r="G76">
        <v>3195.5</v>
      </c>
      <c r="H76">
        <v>355</v>
      </c>
      <c r="I76">
        <v>1173.3</v>
      </c>
      <c r="J76">
        <v>257.60000000000002</v>
      </c>
    </row>
    <row r="77" spans="1:10" hidden="1" x14ac:dyDescent="0.3">
      <c r="A77">
        <v>22</v>
      </c>
      <c r="B77">
        <v>1</v>
      </c>
      <c r="C77">
        <v>2</v>
      </c>
      <c r="D77">
        <v>0</v>
      </c>
      <c r="E77" t="s">
        <v>53</v>
      </c>
      <c r="F77">
        <v>142</v>
      </c>
      <c r="G77">
        <v>0.5</v>
      </c>
      <c r="H77">
        <v>0</v>
      </c>
      <c r="I77">
        <v>0.2</v>
      </c>
      <c r="J77">
        <v>0</v>
      </c>
    </row>
    <row r="78" spans="1:10" hidden="1" x14ac:dyDescent="0.3">
      <c r="A78">
        <v>22</v>
      </c>
      <c r="B78">
        <v>1</v>
      </c>
      <c r="C78">
        <v>2</v>
      </c>
      <c r="D78">
        <v>0</v>
      </c>
      <c r="E78" t="s">
        <v>53</v>
      </c>
      <c r="F78">
        <v>112</v>
      </c>
      <c r="G78">
        <v>3019.5</v>
      </c>
      <c r="H78">
        <v>335</v>
      </c>
      <c r="I78">
        <v>1108.5</v>
      </c>
      <c r="J78">
        <v>243.3</v>
      </c>
    </row>
    <row r="79" spans="1:10" hidden="1" x14ac:dyDescent="0.3">
      <c r="A79">
        <v>23</v>
      </c>
      <c r="B79">
        <v>1</v>
      </c>
      <c r="C79">
        <v>2</v>
      </c>
      <c r="D79">
        <v>0</v>
      </c>
      <c r="E79" t="s">
        <v>53</v>
      </c>
      <c r="F79">
        <v>143</v>
      </c>
      <c r="G79">
        <v>0.5</v>
      </c>
      <c r="H79">
        <v>0</v>
      </c>
      <c r="I79">
        <v>0.2</v>
      </c>
      <c r="J79">
        <v>0</v>
      </c>
    </row>
    <row r="80" spans="1:10" hidden="1" x14ac:dyDescent="0.3">
      <c r="A80">
        <v>23</v>
      </c>
      <c r="B80">
        <v>1</v>
      </c>
      <c r="C80">
        <v>2</v>
      </c>
      <c r="D80">
        <v>0</v>
      </c>
      <c r="E80" t="s">
        <v>53</v>
      </c>
      <c r="F80">
        <v>113</v>
      </c>
      <c r="G80">
        <v>2829</v>
      </c>
      <c r="H80">
        <v>314</v>
      </c>
      <c r="I80">
        <v>1038.5999999999999</v>
      </c>
      <c r="J80">
        <v>228</v>
      </c>
    </row>
    <row r="81" spans="1:18" hidden="1" x14ac:dyDescent="0.3">
      <c r="A81">
        <v>24</v>
      </c>
      <c r="B81">
        <v>1</v>
      </c>
      <c r="C81">
        <v>2</v>
      </c>
      <c r="D81">
        <v>0</v>
      </c>
      <c r="E81" t="s">
        <v>53</v>
      </c>
      <c r="F81">
        <v>144</v>
      </c>
      <c r="G81">
        <v>0.5</v>
      </c>
      <c r="H81">
        <v>0</v>
      </c>
      <c r="I81">
        <v>0.2</v>
      </c>
      <c r="J81">
        <v>0</v>
      </c>
    </row>
    <row r="82" spans="1:18" hidden="1" x14ac:dyDescent="0.3">
      <c r="A82">
        <v>24</v>
      </c>
      <c r="B82">
        <v>1</v>
      </c>
      <c r="C82">
        <v>2</v>
      </c>
      <c r="D82">
        <v>0</v>
      </c>
      <c r="E82" t="s">
        <v>53</v>
      </c>
      <c r="F82">
        <v>114</v>
      </c>
      <c r="G82">
        <v>2627</v>
      </c>
      <c r="H82">
        <v>291.5</v>
      </c>
      <c r="I82">
        <v>964.4</v>
      </c>
      <c r="J82">
        <v>211.7</v>
      </c>
    </row>
    <row r="83" spans="1:18" hidden="1" x14ac:dyDescent="0.3">
      <c r="A83">
        <v>25</v>
      </c>
      <c r="B83">
        <v>1</v>
      </c>
      <c r="C83">
        <v>2</v>
      </c>
      <c r="D83">
        <v>0</v>
      </c>
      <c r="E83" t="s">
        <v>53</v>
      </c>
      <c r="F83">
        <v>145</v>
      </c>
      <c r="G83">
        <v>0.5</v>
      </c>
      <c r="H83">
        <v>0</v>
      </c>
      <c r="I83">
        <v>0.2</v>
      </c>
      <c r="J83">
        <v>0</v>
      </c>
    </row>
    <row r="84" spans="1:18" hidden="1" x14ac:dyDescent="0.3">
      <c r="A84">
        <v>25</v>
      </c>
      <c r="B84">
        <v>1</v>
      </c>
      <c r="C84">
        <v>2</v>
      </c>
      <c r="D84">
        <v>0</v>
      </c>
      <c r="E84" t="s">
        <v>53</v>
      </c>
      <c r="F84">
        <v>115</v>
      </c>
      <c r="G84">
        <v>2416</v>
      </c>
      <c r="H84">
        <v>268</v>
      </c>
      <c r="I84">
        <v>887</v>
      </c>
      <c r="J84">
        <v>194.7</v>
      </c>
    </row>
    <row r="85" spans="1:18" ht="15" thickBot="1" x14ac:dyDescent="0.35">
      <c r="L85" s="23"/>
      <c r="M85" s="24"/>
      <c r="N85" s="24">
        <f>N39/N38</f>
        <v>0.3</v>
      </c>
      <c r="O85" s="24" t="s">
        <v>62</v>
      </c>
      <c r="P85" s="24"/>
      <c r="Q85" s="28" t="s">
        <v>75</v>
      </c>
      <c r="R85" s="29" t="s">
        <v>74</v>
      </c>
    </row>
    <row r="86" spans="1:18" s="10" customFormat="1" x14ac:dyDescent="0.3"/>
    <row r="88" spans="1:18" x14ac:dyDescent="0.3">
      <c r="A88" t="s">
        <v>68</v>
      </c>
    </row>
    <row r="90" spans="1:18" x14ac:dyDescent="0.3">
      <c r="A90" t="s">
        <v>61</v>
      </c>
    </row>
    <row r="91" spans="1:18" x14ac:dyDescent="0.3">
      <c r="A91" t="s">
        <v>22</v>
      </c>
      <c r="B91" t="s">
        <v>55</v>
      </c>
      <c r="C91" t="s">
        <v>56</v>
      </c>
      <c r="D91" t="s">
        <v>57</v>
      </c>
      <c r="E91" t="s">
        <v>58</v>
      </c>
      <c r="F91" t="s">
        <v>59</v>
      </c>
    </row>
    <row r="92" spans="1:18" x14ac:dyDescent="0.3">
      <c r="A92">
        <v>1</v>
      </c>
      <c r="B92">
        <v>1</v>
      </c>
      <c r="C92" t="s">
        <v>60</v>
      </c>
      <c r="D92">
        <v>2263</v>
      </c>
      <c r="E92">
        <v>641</v>
      </c>
      <c r="F92">
        <v>1.77</v>
      </c>
    </row>
    <row r="94" spans="1:18" x14ac:dyDescent="0.3">
      <c r="A94" t="s">
        <v>52</v>
      </c>
    </row>
    <row r="95" spans="1:18" x14ac:dyDescent="0.3">
      <c r="A95" t="s">
        <v>22</v>
      </c>
      <c r="B95" t="s">
        <v>23</v>
      </c>
      <c r="C95" t="s">
        <v>24</v>
      </c>
      <c r="D95" t="s">
        <v>25</v>
      </c>
      <c r="E95" t="s">
        <v>26</v>
      </c>
      <c r="F95" t="s">
        <v>38</v>
      </c>
      <c r="G95" t="s">
        <v>39</v>
      </c>
      <c r="H95" t="s">
        <v>40</v>
      </c>
      <c r="I95" t="s">
        <v>41</v>
      </c>
      <c r="J95" t="s">
        <v>42</v>
      </c>
      <c r="K95" t="s">
        <v>43</v>
      </c>
      <c r="L95" t="s">
        <v>44</v>
      </c>
      <c r="M95" t="s">
        <v>45</v>
      </c>
      <c r="N95" t="s">
        <v>46</v>
      </c>
      <c r="O95" t="s">
        <v>47</v>
      </c>
      <c r="P95" t="s">
        <v>48</v>
      </c>
      <c r="Q95" t="s">
        <v>49</v>
      </c>
    </row>
    <row r="96" spans="1:18" x14ac:dyDescent="0.3">
      <c r="A96">
        <v>1</v>
      </c>
      <c r="B96">
        <v>1</v>
      </c>
      <c r="C96">
        <v>2</v>
      </c>
      <c r="D96">
        <v>0</v>
      </c>
      <c r="E96" t="s">
        <v>50</v>
      </c>
      <c r="F96">
        <v>4</v>
      </c>
      <c r="G96">
        <v>25.940999999999999</v>
      </c>
      <c r="H96">
        <v>0</v>
      </c>
      <c r="I96">
        <v>3.85</v>
      </c>
      <c r="J96">
        <v>1.65</v>
      </c>
      <c r="K96">
        <v>27.559000000000001</v>
      </c>
      <c r="L96">
        <v>0</v>
      </c>
      <c r="M96">
        <v>19.303999999999998</v>
      </c>
      <c r="N96">
        <v>0</v>
      </c>
      <c r="O96">
        <v>4.2370000000000001</v>
      </c>
      <c r="P96">
        <v>0</v>
      </c>
      <c r="Q96">
        <v>0</v>
      </c>
    </row>
    <row r="97" spans="1:18" x14ac:dyDescent="0.3">
      <c r="A97">
        <v>1</v>
      </c>
      <c r="B97">
        <v>1</v>
      </c>
      <c r="C97">
        <v>2</v>
      </c>
      <c r="D97">
        <v>0</v>
      </c>
      <c r="E97" t="s">
        <v>50</v>
      </c>
      <c r="F97">
        <v>4</v>
      </c>
      <c r="G97">
        <v>305.72800000000001</v>
      </c>
      <c r="H97">
        <v>0</v>
      </c>
      <c r="I97">
        <v>36.049999999999997</v>
      </c>
      <c r="J97">
        <v>15.45</v>
      </c>
      <c r="K97">
        <v>158.77199999999999</v>
      </c>
      <c r="L97">
        <v>0</v>
      </c>
      <c r="M97">
        <v>168.82499999999999</v>
      </c>
      <c r="N97">
        <v>0</v>
      </c>
      <c r="O97">
        <v>37.058999999999997</v>
      </c>
      <c r="P97">
        <v>0</v>
      </c>
      <c r="Q97">
        <v>0</v>
      </c>
    </row>
    <row r="98" spans="1:18" ht="15" thickBot="1" x14ac:dyDescent="0.35"/>
    <row r="99" spans="1:18" x14ac:dyDescent="0.3">
      <c r="A99" t="s">
        <v>54</v>
      </c>
      <c r="L99" s="12"/>
      <c r="M99" s="13"/>
      <c r="N99" s="13"/>
      <c r="O99" s="13"/>
      <c r="P99" s="13"/>
      <c r="Q99" s="13"/>
      <c r="R99" s="14"/>
    </row>
    <row r="100" spans="1:18" x14ac:dyDescent="0.3">
      <c r="A100" t="s">
        <v>22</v>
      </c>
      <c r="B100" t="s">
        <v>23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 t="s">
        <v>31</v>
      </c>
      <c r="L100" s="15"/>
      <c r="M100" s="16" t="s">
        <v>71</v>
      </c>
      <c r="N100" s="16" t="s">
        <v>76</v>
      </c>
      <c r="O100" s="16" t="s">
        <v>77</v>
      </c>
      <c r="P100" s="16" t="s">
        <v>78</v>
      </c>
      <c r="Q100" s="16"/>
      <c r="R100" s="17"/>
    </row>
    <row r="101" spans="1:18" x14ac:dyDescent="0.3">
      <c r="A101">
        <v>0</v>
      </c>
      <c r="B101">
        <v>1</v>
      </c>
      <c r="C101">
        <v>2</v>
      </c>
      <c r="D101">
        <v>0</v>
      </c>
      <c r="E101" t="s">
        <v>51</v>
      </c>
      <c r="F101">
        <v>180</v>
      </c>
      <c r="G101">
        <v>1905</v>
      </c>
      <c r="H101">
        <v>211.5</v>
      </c>
      <c r="I101">
        <v>692.5</v>
      </c>
      <c r="J101">
        <v>152</v>
      </c>
      <c r="K101" t="s">
        <v>69</v>
      </c>
      <c r="L101" s="15" t="s">
        <v>79</v>
      </c>
      <c r="M101" s="16">
        <f>SUM(G104,G105)</f>
        <v>518</v>
      </c>
      <c r="N101" s="16">
        <f>SUM(H104,H105)</f>
        <v>57</v>
      </c>
      <c r="O101" s="16">
        <f>SUM(I104,I105)</f>
        <v>188.10000000000002</v>
      </c>
      <c r="P101" s="16">
        <f>SUM(J104,J105)</f>
        <v>41.300000000000004</v>
      </c>
      <c r="Q101" s="16"/>
      <c r="R101" s="17"/>
    </row>
    <row r="102" spans="1:18" x14ac:dyDescent="0.3">
      <c r="A102">
        <v>0</v>
      </c>
      <c r="B102">
        <v>1</v>
      </c>
      <c r="C102">
        <v>2</v>
      </c>
      <c r="D102">
        <v>0</v>
      </c>
      <c r="E102" t="s">
        <v>53</v>
      </c>
      <c r="F102">
        <v>120</v>
      </c>
      <c r="G102">
        <v>698.5</v>
      </c>
      <c r="H102">
        <v>77.5</v>
      </c>
      <c r="I102">
        <v>256.39999999999998</v>
      </c>
      <c r="J102">
        <v>56.3</v>
      </c>
      <c r="K102" t="s">
        <v>69</v>
      </c>
      <c r="L102" s="15"/>
      <c r="M102" s="16"/>
      <c r="N102" s="16"/>
      <c r="O102" s="16"/>
      <c r="P102" s="16"/>
      <c r="Q102" s="16"/>
      <c r="R102" s="17"/>
    </row>
    <row r="103" spans="1:18" x14ac:dyDescent="0.3">
      <c r="A103">
        <v>0</v>
      </c>
      <c r="B103">
        <v>1</v>
      </c>
      <c r="C103">
        <v>2</v>
      </c>
      <c r="D103">
        <v>0</v>
      </c>
      <c r="E103" t="s">
        <v>53</v>
      </c>
      <c r="F103">
        <v>90</v>
      </c>
      <c r="G103">
        <v>3024.5</v>
      </c>
      <c r="H103">
        <v>336</v>
      </c>
      <c r="I103">
        <v>1110.5</v>
      </c>
      <c r="J103">
        <v>243.8</v>
      </c>
      <c r="K103" t="s">
        <v>69</v>
      </c>
      <c r="L103" s="15"/>
      <c r="M103" s="16" t="s">
        <v>71</v>
      </c>
      <c r="N103" s="16" t="s">
        <v>76</v>
      </c>
      <c r="O103" s="16" t="s">
        <v>77</v>
      </c>
      <c r="P103" s="16" t="s">
        <v>78</v>
      </c>
      <c r="Q103" s="16"/>
      <c r="R103" s="17"/>
    </row>
    <row r="104" spans="1:18" x14ac:dyDescent="0.3">
      <c r="A104">
        <v>0</v>
      </c>
      <c r="B104">
        <v>1</v>
      </c>
      <c r="C104">
        <v>2</v>
      </c>
      <c r="D104">
        <v>0</v>
      </c>
      <c r="E104" t="s">
        <v>50</v>
      </c>
      <c r="F104">
        <v>120</v>
      </c>
      <c r="G104">
        <v>464.5</v>
      </c>
      <c r="H104">
        <v>51.5</v>
      </c>
      <c r="I104">
        <v>168.8</v>
      </c>
      <c r="J104">
        <v>37.1</v>
      </c>
      <c r="K104" t="s">
        <v>70</v>
      </c>
      <c r="L104" s="15" t="s">
        <v>80</v>
      </c>
      <c r="M104" s="16">
        <f>SUM(G96:G97,K96:K97)</f>
        <v>518</v>
      </c>
      <c r="N104" s="16">
        <f>SUM(I96:J97)</f>
        <v>57</v>
      </c>
      <c r="O104" s="16">
        <f>SUM(M96:M97)</f>
        <v>188.12899999999999</v>
      </c>
      <c r="P104" s="16">
        <f>SUM(O96:O97)</f>
        <v>41.295999999999999</v>
      </c>
      <c r="Q104" s="16"/>
      <c r="R104" s="17"/>
    </row>
    <row r="105" spans="1:18" x14ac:dyDescent="0.3">
      <c r="A105">
        <v>0</v>
      </c>
      <c r="B105">
        <v>1</v>
      </c>
      <c r="C105">
        <v>2</v>
      </c>
      <c r="D105">
        <v>0</v>
      </c>
      <c r="E105" t="s">
        <v>50</v>
      </c>
      <c r="F105">
        <v>60</v>
      </c>
      <c r="G105">
        <v>53.5</v>
      </c>
      <c r="H105">
        <v>5.5</v>
      </c>
      <c r="I105">
        <v>19.3</v>
      </c>
      <c r="J105">
        <v>4.2</v>
      </c>
      <c r="K105" t="s">
        <v>70</v>
      </c>
      <c r="L105" s="15"/>
      <c r="M105" s="16"/>
      <c r="N105" s="16">
        <f>SUM(J96:J97)</f>
        <v>17.099999999999998</v>
      </c>
      <c r="O105" s="16" t="s">
        <v>62</v>
      </c>
      <c r="P105" s="16"/>
      <c r="Q105" s="16"/>
      <c r="R105" s="17"/>
    </row>
    <row r="106" spans="1:18" x14ac:dyDescent="0.3">
      <c r="A106">
        <v>0</v>
      </c>
      <c r="B106">
        <v>1</v>
      </c>
      <c r="C106">
        <v>2</v>
      </c>
      <c r="D106">
        <v>0</v>
      </c>
      <c r="E106" t="s">
        <v>50</v>
      </c>
      <c r="F106">
        <v>10</v>
      </c>
      <c r="G106">
        <v>64.5</v>
      </c>
      <c r="H106">
        <v>7</v>
      </c>
      <c r="I106">
        <v>23.4</v>
      </c>
      <c r="J106">
        <v>5.0999999999999996</v>
      </c>
      <c r="K106" t="s">
        <v>69</v>
      </c>
      <c r="L106" s="15"/>
      <c r="M106" s="16">
        <f>M104/M101</f>
        <v>1</v>
      </c>
      <c r="N106" s="16">
        <f>N104/N101</f>
        <v>1</v>
      </c>
      <c r="O106" s="16">
        <f t="shared" ref="O106:P106" si="1">O104/O101</f>
        <v>1.0001541733120678</v>
      </c>
      <c r="P106" s="16">
        <f t="shared" si="1"/>
        <v>0.99990314769975774</v>
      </c>
      <c r="Q106" s="18" t="s">
        <v>73</v>
      </c>
      <c r="R106" s="19" t="s">
        <v>74</v>
      </c>
    </row>
    <row r="107" spans="1:18" x14ac:dyDescent="0.3">
      <c r="A107">
        <v>1</v>
      </c>
      <c r="B107">
        <v>1</v>
      </c>
      <c r="C107">
        <v>2</v>
      </c>
      <c r="D107">
        <v>0</v>
      </c>
      <c r="E107" t="s">
        <v>51</v>
      </c>
      <c r="F107">
        <v>181</v>
      </c>
      <c r="G107">
        <v>1871</v>
      </c>
      <c r="H107">
        <v>207.5</v>
      </c>
      <c r="I107">
        <v>680</v>
      </c>
      <c r="J107">
        <v>149.30000000000001</v>
      </c>
      <c r="L107" s="15"/>
      <c r="M107" s="16"/>
      <c r="N107" s="16">
        <f>N105/N104</f>
        <v>0.3</v>
      </c>
      <c r="O107" s="16" t="s">
        <v>62</v>
      </c>
      <c r="P107" s="16"/>
      <c r="Q107" s="18" t="s">
        <v>75</v>
      </c>
      <c r="R107" s="19" t="s">
        <v>74</v>
      </c>
    </row>
    <row r="108" spans="1:18" x14ac:dyDescent="0.3">
      <c r="A108">
        <v>1</v>
      </c>
      <c r="B108">
        <v>1</v>
      </c>
      <c r="C108">
        <v>2</v>
      </c>
      <c r="D108">
        <v>0</v>
      </c>
      <c r="E108" t="s">
        <v>53</v>
      </c>
      <c r="F108">
        <v>121</v>
      </c>
      <c r="G108">
        <v>598.5</v>
      </c>
      <c r="H108">
        <v>66</v>
      </c>
      <c r="I108">
        <v>219.6</v>
      </c>
      <c r="J108">
        <v>48.2</v>
      </c>
      <c r="L108" s="15"/>
      <c r="M108" s="16"/>
      <c r="N108" s="16"/>
      <c r="O108" s="16"/>
      <c r="P108" s="16"/>
      <c r="Q108" s="16"/>
      <c r="R108" s="17"/>
    </row>
    <row r="109" spans="1:18" ht="15" thickBot="1" x14ac:dyDescent="0.35">
      <c r="A109">
        <v>1</v>
      </c>
      <c r="B109">
        <v>1</v>
      </c>
      <c r="C109">
        <v>2</v>
      </c>
      <c r="D109">
        <v>0</v>
      </c>
      <c r="E109" t="s">
        <v>53</v>
      </c>
      <c r="F109">
        <v>91</v>
      </c>
      <c r="G109">
        <v>3096.5</v>
      </c>
      <c r="H109">
        <v>344</v>
      </c>
      <c r="I109">
        <v>1136.9000000000001</v>
      </c>
      <c r="J109">
        <v>249.6</v>
      </c>
      <c r="L109" s="20"/>
      <c r="M109" s="21"/>
      <c r="N109" s="21"/>
      <c r="O109" s="21"/>
      <c r="P109" s="21"/>
      <c r="Q109" s="21"/>
      <c r="R109" s="22"/>
    </row>
    <row r="110" spans="1:18" x14ac:dyDescent="0.3">
      <c r="A110">
        <v>1</v>
      </c>
      <c r="B110">
        <v>1</v>
      </c>
      <c r="C110">
        <v>2</v>
      </c>
      <c r="D110">
        <v>0</v>
      </c>
      <c r="E110" t="s">
        <v>50</v>
      </c>
      <c r="F110">
        <v>11</v>
      </c>
      <c r="G110">
        <v>71</v>
      </c>
      <c r="H110">
        <v>7.5</v>
      </c>
      <c r="I110">
        <v>25.7</v>
      </c>
      <c r="J110">
        <v>5.6</v>
      </c>
    </row>
    <row r="111" spans="1:18" x14ac:dyDescent="0.3">
      <c r="A111">
        <v>2</v>
      </c>
      <c r="B111">
        <v>1</v>
      </c>
      <c r="C111">
        <v>2</v>
      </c>
      <c r="D111">
        <v>0</v>
      </c>
      <c r="E111" t="s">
        <v>51</v>
      </c>
      <c r="F111">
        <v>182</v>
      </c>
      <c r="G111">
        <v>1836</v>
      </c>
      <c r="H111">
        <v>204</v>
      </c>
      <c r="I111">
        <v>667.4</v>
      </c>
      <c r="J111">
        <v>146.5</v>
      </c>
    </row>
    <row r="112" spans="1:18" x14ac:dyDescent="0.3">
      <c r="A112">
        <v>2</v>
      </c>
      <c r="B112">
        <v>1</v>
      </c>
      <c r="C112">
        <v>2</v>
      </c>
      <c r="D112">
        <v>0</v>
      </c>
      <c r="E112" t="s">
        <v>53</v>
      </c>
      <c r="F112">
        <v>122</v>
      </c>
      <c r="G112">
        <v>506.5</v>
      </c>
      <c r="H112">
        <v>56</v>
      </c>
      <c r="I112">
        <v>185.9</v>
      </c>
      <c r="J112">
        <v>40.799999999999997</v>
      </c>
    </row>
    <row r="113" spans="1:10" x14ac:dyDescent="0.3">
      <c r="A113">
        <v>2</v>
      </c>
      <c r="B113">
        <v>1</v>
      </c>
      <c r="C113">
        <v>2</v>
      </c>
      <c r="D113">
        <v>0</v>
      </c>
      <c r="E113" t="s">
        <v>53</v>
      </c>
      <c r="F113">
        <v>92</v>
      </c>
      <c r="G113">
        <v>3161.5</v>
      </c>
      <c r="H113">
        <v>351</v>
      </c>
      <c r="I113">
        <v>1160.7</v>
      </c>
      <c r="J113">
        <v>254.8</v>
      </c>
    </row>
    <row r="114" spans="1:10" x14ac:dyDescent="0.3">
      <c r="A114">
        <v>2</v>
      </c>
      <c r="B114">
        <v>1</v>
      </c>
      <c r="C114">
        <v>2</v>
      </c>
      <c r="D114">
        <v>0</v>
      </c>
      <c r="E114" t="s">
        <v>50</v>
      </c>
      <c r="F114">
        <v>12</v>
      </c>
      <c r="G114">
        <v>77.5</v>
      </c>
      <c r="H114">
        <v>8.5</v>
      </c>
      <c r="I114">
        <v>28.1</v>
      </c>
      <c r="J114">
        <v>6.2</v>
      </c>
    </row>
    <row r="115" spans="1:10" x14ac:dyDescent="0.3">
      <c r="A115">
        <v>3</v>
      </c>
      <c r="B115">
        <v>1</v>
      </c>
      <c r="C115">
        <v>2</v>
      </c>
      <c r="D115">
        <v>0</v>
      </c>
      <c r="E115" t="s">
        <v>51</v>
      </c>
      <c r="F115">
        <v>183</v>
      </c>
      <c r="G115">
        <v>1801</v>
      </c>
      <c r="H115">
        <v>200</v>
      </c>
      <c r="I115">
        <v>654.70000000000005</v>
      </c>
      <c r="J115">
        <v>143.69999999999999</v>
      </c>
    </row>
    <row r="116" spans="1:10" x14ac:dyDescent="0.3">
      <c r="A116">
        <v>3</v>
      </c>
      <c r="B116">
        <v>1</v>
      </c>
      <c r="C116">
        <v>2</v>
      </c>
      <c r="D116">
        <v>0</v>
      </c>
      <c r="E116" t="s">
        <v>53</v>
      </c>
      <c r="F116">
        <v>123</v>
      </c>
      <c r="G116">
        <v>423.5</v>
      </c>
      <c r="H116">
        <v>47</v>
      </c>
      <c r="I116">
        <v>155.5</v>
      </c>
      <c r="J116">
        <v>34.1</v>
      </c>
    </row>
    <row r="117" spans="1:10" x14ac:dyDescent="0.3">
      <c r="A117">
        <v>3</v>
      </c>
      <c r="B117">
        <v>1</v>
      </c>
      <c r="C117">
        <v>2</v>
      </c>
      <c r="D117">
        <v>0</v>
      </c>
      <c r="E117" t="s">
        <v>53</v>
      </c>
      <c r="F117">
        <v>93</v>
      </c>
      <c r="G117">
        <v>3219.5</v>
      </c>
      <c r="H117">
        <v>357.5</v>
      </c>
      <c r="I117">
        <v>1182.0999999999999</v>
      </c>
      <c r="J117">
        <v>259.5</v>
      </c>
    </row>
    <row r="118" spans="1:10" x14ac:dyDescent="0.3">
      <c r="A118">
        <v>3</v>
      </c>
      <c r="B118">
        <v>1</v>
      </c>
      <c r="C118">
        <v>2</v>
      </c>
      <c r="D118">
        <v>0</v>
      </c>
      <c r="E118" t="s">
        <v>50</v>
      </c>
      <c r="F118">
        <v>13</v>
      </c>
      <c r="G118">
        <v>85</v>
      </c>
      <c r="H118">
        <v>9</v>
      </c>
      <c r="I118">
        <v>30.8</v>
      </c>
      <c r="J118">
        <v>6.8</v>
      </c>
    </row>
    <row r="119" spans="1:10" x14ac:dyDescent="0.3">
      <c r="A119">
        <v>4</v>
      </c>
      <c r="B119">
        <v>1</v>
      </c>
      <c r="C119">
        <v>2</v>
      </c>
      <c r="D119">
        <v>0</v>
      </c>
      <c r="E119" t="s">
        <v>51</v>
      </c>
      <c r="F119">
        <v>184</v>
      </c>
      <c r="G119">
        <v>1765.5</v>
      </c>
      <c r="H119">
        <v>196</v>
      </c>
      <c r="I119">
        <v>641.79999999999995</v>
      </c>
      <c r="J119">
        <v>140.9</v>
      </c>
    </row>
    <row r="120" spans="1:10" x14ac:dyDescent="0.3">
      <c r="A120">
        <v>4</v>
      </c>
      <c r="B120">
        <v>1</v>
      </c>
      <c r="C120">
        <v>2</v>
      </c>
      <c r="D120">
        <v>0</v>
      </c>
      <c r="E120" t="s">
        <v>53</v>
      </c>
      <c r="F120">
        <v>124</v>
      </c>
      <c r="G120">
        <v>349.5</v>
      </c>
      <c r="H120">
        <v>38.5</v>
      </c>
      <c r="I120">
        <v>128.19999999999999</v>
      </c>
      <c r="J120">
        <v>28.1</v>
      </c>
    </row>
    <row r="121" spans="1:10" x14ac:dyDescent="0.3">
      <c r="A121">
        <v>4</v>
      </c>
      <c r="B121">
        <v>1</v>
      </c>
      <c r="C121">
        <v>2</v>
      </c>
      <c r="D121">
        <v>0</v>
      </c>
      <c r="E121" t="s">
        <v>53</v>
      </c>
      <c r="F121">
        <v>94</v>
      </c>
      <c r="G121">
        <v>3270</v>
      </c>
      <c r="H121">
        <v>363</v>
      </c>
      <c r="I121">
        <v>1200.5999999999999</v>
      </c>
      <c r="J121">
        <v>263.5</v>
      </c>
    </row>
    <row r="122" spans="1:10" x14ac:dyDescent="0.3">
      <c r="A122">
        <v>4</v>
      </c>
      <c r="B122">
        <v>1</v>
      </c>
      <c r="C122">
        <v>2</v>
      </c>
      <c r="D122">
        <v>0</v>
      </c>
      <c r="E122" t="s">
        <v>50</v>
      </c>
      <c r="F122">
        <v>14</v>
      </c>
      <c r="G122">
        <v>93</v>
      </c>
      <c r="H122">
        <v>10</v>
      </c>
      <c r="I122">
        <v>33.700000000000003</v>
      </c>
      <c r="J122">
        <v>7.4</v>
      </c>
    </row>
  </sheetData>
  <autoFilter ref="A16:J84" xr:uid="{B4AC8C08-A20E-4438-883B-DA87B6A1CB31}">
    <filterColumn colId="0">
      <filters>
        <filter val="3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3028-634A-4D78-A372-F7035BB3BDDF}">
  <dimension ref="A2:AD63"/>
  <sheetViews>
    <sheetView topLeftCell="A51" workbookViewId="0">
      <selection activeCell="O39" sqref="O39"/>
    </sheetView>
  </sheetViews>
  <sheetFormatPr defaultRowHeight="14.4" x14ac:dyDescent="0.3"/>
  <cols>
    <col min="7" max="7" width="15" bestFit="1" customWidth="1"/>
    <col min="8" max="8" width="13.44140625" bestFit="1" customWidth="1"/>
    <col min="9" max="9" width="11.88671875" bestFit="1" customWidth="1"/>
    <col min="10" max="10" width="12.33203125" customWidth="1"/>
    <col min="11" max="11" width="20.109375" customWidth="1"/>
    <col min="12" max="12" width="17.5546875" bestFit="1" customWidth="1"/>
    <col min="14" max="14" width="14.6640625" customWidth="1"/>
    <col min="15" max="15" width="14.77734375" customWidth="1"/>
    <col min="16" max="16" width="14.44140625" customWidth="1"/>
    <col min="17" max="17" width="13.6640625" customWidth="1"/>
  </cols>
  <sheetData>
    <row r="2" spans="1:18" x14ac:dyDescent="0.3">
      <c r="A2" t="s">
        <v>87</v>
      </c>
    </row>
    <row r="4" spans="1:18" x14ac:dyDescent="0.3">
      <c r="A4" t="s">
        <v>95</v>
      </c>
    </row>
    <row r="5" spans="1:18" x14ac:dyDescent="0.3">
      <c r="A5" t="s">
        <v>22</v>
      </c>
      <c r="B5" t="s">
        <v>88</v>
      </c>
      <c r="C5" t="s">
        <v>89</v>
      </c>
      <c r="D5" t="s">
        <v>86</v>
      </c>
      <c r="E5" t="s">
        <v>57</v>
      </c>
      <c r="F5" t="s">
        <v>90</v>
      </c>
      <c r="G5" t="s">
        <v>91</v>
      </c>
      <c r="H5" t="s">
        <v>92</v>
      </c>
      <c r="I5" t="s">
        <v>93</v>
      </c>
    </row>
    <row r="6" spans="1:18" x14ac:dyDescent="0.3">
      <c r="A6">
        <v>1</v>
      </c>
      <c r="B6">
        <v>2</v>
      </c>
      <c r="C6">
        <v>8</v>
      </c>
      <c r="D6">
        <v>1</v>
      </c>
      <c r="E6">
        <v>1</v>
      </c>
      <c r="F6">
        <v>5</v>
      </c>
      <c r="G6">
        <v>0</v>
      </c>
      <c r="H6">
        <v>1</v>
      </c>
      <c r="I6">
        <v>1</v>
      </c>
      <c r="J6" t="s">
        <v>113</v>
      </c>
    </row>
    <row r="7" spans="1:18" x14ac:dyDescent="0.3">
      <c r="A7">
        <v>1</v>
      </c>
      <c r="B7">
        <v>5</v>
      </c>
      <c r="C7">
        <v>2</v>
      </c>
      <c r="D7">
        <v>3</v>
      </c>
      <c r="E7">
        <v>3</v>
      </c>
      <c r="F7">
        <v>3.6666666666666701</v>
      </c>
      <c r="G7">
        <v>2</v>
      </c>
      <c r="H7">
        <v>1</v>
      </c>
      <c r="I7">
        <v>3</v>
      </c>
      <c r="J7" t="s">
        <v>114</v>
      </c>
    </row>
    <row r="8" spans="1:18" x14ac:dyDescent="0.3">
      <c r="A8">
        <v>1</v>
      </c>
      <c r="B8">
        <v>8</v>
      </c>
      <c r="C8">
        <v>2</v>
      </c>
      <c r="D8">
        <v>1</v>
      </c>
      <c r="E8">
        <v>1</v>
      </c>
      <c r="F8">
        <v>2</v>
      </c>
      <c r="G8">
        <v>1</v>
      </c>
      <c r="H8">
        <v>0</v>
      </c>
      <c r="I8">
        <v>1</v>
      </c>
      <c r="J8" t="s">
        <v>115</v>
      </c>
    </row>
    <row r="9" spans="1:18" x14ac:dyDescent="0.3">
      <c r="A9">
        <v>1</v>
      </c>
      <c r="B9">
        <v>9</v>
      </c>
      <c r="C9">
        <v>1</v>
      </c>
      <c r="D9">
        <v>1</v>
      </c>
      <c r="E9">
        <v>1</v>
      </c>
      <c r="F9">
        <v>2</v>
      </c>
      <c r="G9">
        <v>1</v>
      </c>
      <c r="H9">
        <v>0</v>
      </c>
      <c r="I9">
        <v>1</v>
      </c>
      <c r="J9" t="s">
        <v>116</v>
      </c>
    </row>
    <row r="10" spans="1:18" x14ac:dyDescent="0.3">
      <c r="A10">
        <v>1</v>
      </c>
      <c r="B10">
        <v>9</v>
      </c>
      <c r="C10">
        <v>5</v>
      </c>
      <c r="D10">
        <v>2</v>
      </c>
      <c r="E10">
        <v>1</v>
      </c>
      <c r="F10">
        <v>2.5</v>
      </c>
      <c r="G10">
        <v>0</v>
      </c>
      <c r="H10">
        <v>2</v>
      </c>
      <c r="I10">
        <v>2</v>
      </c>
      <c r="J10" t="s">
        <v>117</v>
      </c>
    </row>
    <row r="12" spans="1:18" x14ac:dyDescent="0.3">
      <c r="A12" t="s">
        <v>96</v>
      </c>
    </row>
    <row r="13" spans="1:18" x14ac:dyDescent="0.3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38</v>
      </c>
      <c r="G13" t="s">
        <v>39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48</v>
      </c>
      <c r="Q13" t="s">
        <v>49</v>
      </c>
    </row>
    <row r="14" spans="1:18" x14ac:dyDescent="0.3">
      <c r="A14">
        <v>1</v>
      </c>
      <c r="B14">
        <v>2</v>
      </c>
      <c r="C14">
        <v>8</v>
      </c>
      <c r="D14">
        <v>1</v>
      </c>
      <c r="E14" t="s">
        <v>32</v>
      </c>
      <c r="F14">
        <v>1</v>
      </c>
      <c r="G14">
        <v>4017.373</v>
      </c>
      <c r="H14">
        <v>0</v>
      </c>
      <c r="I14">
        <v>0</v>
      </c>
      <c r="J14">
        <v>662.5</v>
      </c>
      <c r="K14">
        <v>1753.7650000000001</v>
      </c>
      <c r="L14">
        <v>194.863</v>
      </c>
      <c r="M14">
        <v>1741.97</v>
      </c>
      <c r="N14">
        <v>0</v>
      </c>
      <c r="O14">
        <v>193.55199999999999</v>
      </c>
      <c r="P14">
        <v>0</v>
      </c>
      <c r="Q14">
        <v>0</v>
      </c>
      <c r="R14" t="s">
        <v>113</v>
      </c>
    </row>
    <row r="15" spans="1:18" x14ac:dyDescent="0.3">
      <c r="A15">
        <v>1</v>
      </c>
      <c r="B15">
        <v>5</v>
      </c>
      <c r="C15">
        <v>2</v>
      </c>
      <c r="D15">
        <v>0</v>
      </c>
      <c r="E15" t="s">
        <v>33</v>
      </c>
      <c r="F15">
        <v>1</v>
      </c>
      <c r="G15">
        <v>949.78499999999997</v>
      </c>
      <c r="H15">
        <v>0</v>
      </c>
      <c r="I15">
        <v>88.875</v>
      </c>
      <c r="J15">
        <v>266.625</v>
      </c>
      <c r="K15">
        <v>1171.7370000000001</v>
      </c>
      <c r="L15">
        <v>130.19300000000001</v>
      </c>
      <c r="M15">
        <v>1163.779</v>
      </c>
      <c r="N15">
        <v>0</v>
      </c>
      <c r="O15">
        <v>255.464</v>
      </c>
      <c r="P15">
        <v>0</v>
      </c>
      <c r="Q15">
        <v>949.78499999999997</v>
      </c>
      <c r="R15" t="s">
        <v>114</v>
      </c>
    </row>
    <row r="16" spans="1:18" x14ac:dyDescent="0.3">
      <c r="A16">
        <v>1</v>
      </c>
      <c r="B16">
        <v>4</v>
      </c>
      <c r="C16">
        <v>1</v>
      </c>
      <c r="D16">
        <v>0</v>
      </c>
      <c r="E16" t="s">
        <v>33</v>
      </c>
      <c r="F16">
        <v>1</v>
      </c>
      <c r="G16">
        <v>949.78499999999997</v>
      </c>
      <c r="H16">
        <v>0</v>
      </c>
      <c r="I16">
        <v>88.875</v>
      </c>
      <c r="J16">
        <v>266.625</v>
      </c>
      <c r="K16">
        <v>1171.7370000000001</v>
      </c>
      <c r="L16">
        <v>130.19300000000001</v>
      </c>
      <c r="M16">
        <v>1163.779</v>
      </c>
      <c r="N16">
        <v>0</v>
      </c>
      <c r="O16">
        <v>255.464</v>
      </c>
      <c r="P16">
        <v>0</v>
      </c>
      <c r="Q16">
        <v>949.78499999999997</v>
      </c>
      <c r="R16" t="s">
        <v>114</v>
      </c>
    </row>
    <row r="17" spans="1:21" x14ac:dyDescent="0.3">
      <c r="A17">
        <v>1</v>
      </c>
      <c r="B17">
        <v>6</v>
      </c>
      <c r="C17">
        <v>3</v>
      </c>
      <c r="D17">
        <v>1</v>
      </c>
      <c r="E17" t="s">
        <v>32</v>
      </c>
      <c r="F17">
        <v>1</v>
      </c>
      <c r="G17">
        <v>4017.373</v>
      </c>
      <c r="H17">
        <v>0</v>
      </c>
      <c r="I17">
        <v>0</v>
      </c>
      <c r="J17">
        <v>662.5</v>
      </c>
      <c r="K17">
        <v>1753.7650000000001</v>
      </c>
      <c r="L17">
        <v>194.863</v>
      </c>
      <c r="M17">
        <v>1741.97</v>
      </c>
      <c r="N17">
        <v>0</v>
      </c>
      <c r="O17">
        <v>193.55199999999999</v>
      </c>
      <c r="P17">
        <v>0</v>
      </c>
      <c r="Q17">
        <v>0</v>
      </c>
      <c r="R17" t="s">
        <v>114</v>
      </c>
    </row>
    <row r="18" spans="1:21" x14ac:dyDescent="0.3">
      <c r="A18">
        <v>1</v>
      </c>
      <c r="B18">
        <v>8</v>
      </c>
      <c r="C18">
        <v>2</v>
      </c>
      <c r="D18">
        <v>0</v>
      </c>
      <c r="E18" t="s">
        <v>33</v>
      </c>
      <c r="F18">
        <v>1</v>
      </c>
      <c r="G18">
        <v>521.476</v>
      </c>
      <c r="H18">
        <v>0</v>
      </c>
      <c r="I18">
        <v>57.15</v>
      </c>
      <c r="J18">
        <v>133.35</v>
      </c>
      <c r="K18">
        <v>1077.3209999999999</v>
      </c>
      <c r="L18">
        <v>119.702</v>
      </c>
      <c r="M18">
        <v>624.58699999999999</v>
      </c>
      <c r="N18">
        <v>0</v>
      </c>
      <c r="O18">
        <v>137.10400000000001</v>
      </c>
      <c r="P18">
        <v>0</v>
      </c>
      <c r="Q18">
        <v>0</v>
      </c>
      <c r="R18" t="s">
        <v>115</v>
      </c>
    </row>
    <row r="19" spans="1:21" x14ac:dyDescent="0.3">
      <c r="A19">
        <v>1</v>
      </c>
      <c r="B19">
        <v>9</v>
      </c>
      <c r="C19">
        <v>1</v>
      </c>
      <c r="D19">
        <v>0</v>
      </c>
      <c r="E19" t="s">
        <v>32</v>
      </c>
      <c r="F19">
        <v>1</v>
      </c>
      <c r="G19">
        <v>1293.7529999999999</v>
      </c>
      <c r="H19">
        <v>0</v>
      </c>
      <c r="I19">
        <v>142.05000000000001</v>
      </c>
      <c r="J19">
        <v>331.45</v>
      </c>
      <c r="K19">
        <v>2672.7719999999999</v>
      </c>
      <c r="L19">
        <v>296.97500000000002</v>
      </c>
      <c r="M19">
        <v>1244.884</v>
      </c>
      <c r="N19">
        <v>0</v>
      </c>
      <c r="O19">
        <v>138.32</v>
      </c>
      <c r="P19">
        <v>0</v>
      </c>
      <c r="Q19">
        <v>0</v>
      </c>
      <c r="R19" t="s">
        <v>116</v>
      </c>
    </row>
    <row r="20" spans="1:21" x14ac:dyDescent="0.3">
      <c r="A20">
        <v>1</v>
      </c>
      <c r="B20">
        <v>9</v>
      </c>
      <c r="C20">
        <v>6</v>
      </c>
      <c r="D20">
        <v>1</v>
      </c>
      <c r="E20" t="s">
        <v>32</v>
      </c>
      <c r="F20">
        <v>1</v>
      </c>
      <c r="G20">
        <v>1293.905</v>
      </c>
      <c r="H20">
        <v>0</v>
      </c>
      <c r="I20">
        <v>142.05000000000001</v>
      </c>
      <c r="J20">
        <v>331.45</v>
      </c>
      <c r="K20">
        <v>2673.0859999999998</v>
      </c>
      <c r="L20">
        <v>297.01</v>
      </c>
      <c r="M20">
        <v>1245.0150000000001</v>
      </c>
      <c r="N20">
        <v>0</v>
      </c>
      <c r="O20">
        <v>138.33500000000001</v>
      </c>
      <c r="P20">
        <v>0</v>
      </c>
      <c r="Q20">
        <v>0</v>
      </c>
      <c r="R20" t="s">
        <v>117</v>
      </c>
    </row>
    <row r="22" spans="1:21" x14ac:dyDescent="0.3">
      <c r="A22" t="s">
        <v>111</v>
      </c>
    </row>
    <row r="23" spans="1:21" x14ac:dyDescent="0.3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t="s">
        <v>38</v>
      </c>
      <c r="G23" t="s">
        <v>97</v>
      </c>
      <c r="H23" t="s">
        <v>98</v>
      </c>
      <c r="I23" t="s">
        <v>99</v>
      </c>
      <c r="J23" t="s">
        <v>100</v>
      </c>
      <c r="K23" t="s">
        <v>101</v>
      </c>
      <c r="L23" t="s">
        <v>102</v>
      </c>
      <c r="M23" t="s">
        <v>103</v>
      </c>
      <c r="N23" t="s">
        <v>104</v>
      </c>
      <c r="O23" t="s">
        <v>105</v>
      </c>
      <c r="P23" t="s">
        <v>106</v>
      </c>
      <c r="Q23" t="s">
        <v>107</v>
      </c>
      <c r="R23" t="s">
        <v>108</v>
      </c>
      <c r="S23" t="s">
        <v>109</v>
      </c>
      <c r="T23" t="s">
        <v>110</v>
      </c>
    </row>
    <row r="24" spans="1:21" x14ac:dyDescent="0.3">
      <c r="A24">
        <v>1</v>
      </c>
      <c r="B24">
        <v>2</v>
      </c>
      <c r="C24">
        <v>8</v>
      </c>
      <c r="D24">
        <v>1</v>
      </c>
      <c r="E24" t="s">
        <v>32</v>
      </c>
      <c r="F24">
        <v>1</v>
      </c>
      <c r="G24">
        <v>432.13099999999997</v>
      </c>
      <c r="H24">
        <v>57.293999999999997</v>
      </c>
      <c r="I24">
        <v>264.666</v>
      </c>
      <c r="J24">
        <v>0</v>
      </c>
      <c r="K24">
        <v>283.995</v>
      </c>
      <c r="L24">
        <v>0</v>
      </c>
      <c r="M24">
        <v>0</v>
      </c>
      <c r="N24">
        <v>0</v>
      </c>
      <c r="O24">
        <v>1646.58</v>
      </c>
      <c r="P24">
        <v>183.29</v>
      </c>
      <c r="Q24">
        <v>183.29</v>
      </c>
      <c r="R24">
        <v>0</v>
      </c>
      <c r="S24">
        <v>0</v>
      </c>
      <c r="T24">
        <v>0</v>
      </c>
      <c r="U24" t="s">
        <v>113</v>
      </c>
    </row>
    <row r="25" spans="1:21" x14ac:dyDescent="0.3">
      <c r="A25">
        <v>1</v>
      </c>
      <c r="B25">
        <v>5</v>
      </c>
      <c r="C25">
        <v>2</v>
      </c>
      <c r="D25">
        <v>0</v>
      </c>
      <c r="E25" t="s">
        <v>33</v>
      </c>
      <c r="F25">
        <v>1</v>
      </c>
      <c r="G25">
        <v>232.48699999999999</v>
      </c>
      <c r="H25">
        <v>40.847000000000001</v>
      </c>
      <c r="I25">
        <v>146.661</v>
      </c>
      <c r="J25">
        <v>0</v>
      </c>
      <c r="K25">
        <v>0</v>
      </c>
      <c r="L25">
        <v>0</v>
      </c>
      <c r="M25">
        <v>0</v>
      </c>
      <c r="N25">
        <v>0</v>
      </c>
      <c r="O25">
        <v>399.887</v>
      </c>
      <c r="P25">
        <v>44.715000000000003</v>
      </c>
      <c r="Q25">
        <v>89.43</v>
      </c>
      <c r="R25">
        <v>0</v>
      </c>
      <c r="S25">
        <v>0</v>
      </c>
      <c r="T25">
        <v>0</v>
      </c>
      <c r="U25" t="s">
        <v>114</v>
      </c>
    </row>
    <row r="26" spans="1:21" x14ac:dyDescent="0.3">
      <c r="A26">
        <v>1</v>
      </c>
      <c r="B26">
        <v>4</v>
      </c>
      <c r="C26">
        <v>1</v>
      </c>
      <c r="D26">
        <v>0</v>
      </c>
      <c r="E26" t="s">
        <v>33</v>
      </c>
      <c r="F26">
        <v>1</v>
      </c>
      <c r="G26">
        <v>232.48699999999999</v>
      </c>
      <c r="H26">
        <v>40.847000000000001</v>
      </c>
      <c r="I26">
        <v>146.661</v>
      </c>
      <c r="J26">
        <v>0</v>
      </c>
      <c r="K26">
        <v>0</v>
      </c>
      <c r="L26">
        <v>0</v>
      </c>
      <c r="M26">
        <v>0</v>
      </c>
      <c r="N26">
        <v>0</v>
      </c>
      <c r="O26">
        <v>399.887</v>
      </c>
      <c r="P26">
        <v>44.715000000000003</v>
      </c>
      <c r="Q26">
        <v>89.43</v>
      </c>
      <c r="R26">
        <v>0</v>
      </c>
      <c r="S26">
        <v>0</v>
      </c>
      <c r="T26">
        <v>0</v>
      </c>
      <c r="U26" t="s">
        <v>114</v>
      </c>
    </row>
    <row r="27" spans="1:21" x14ac:dyDescent="0.3">
      <c r="A27">
        <v>1</v>
      </c>
      <c r="B27">
        <v>6</v>
      </c>
      <c r="C27">
        <v>3</v>
      </c>
      <c r="D27">
        <v>1</v>
      </c>
      <c r="E27" t="s">
        <v>32</v>
      </c>
      <c r="F27">
        <v>1</v>
      </c>
      <c r="G27">
        <v>432.13099999999997</v>
      </c>
      <c r="H27">
        <v>57.293999999999997</v>
      </c>
      <c r="I27">
        <v>264.666</v>
      </c>
      <c r="J27">
        <v>0</v>
      </c>
      <c r="K27">
        <v>283.995</v>
      </c>
      <c r="L27">
        <v>0</v>
      </c>
      <c r="M27">
        <v>0</v>
      </c>
      <c r="N27">
        <v>0</v>
      </c>
      <c r="O27">
        <v>1646.58</v>
      </c>
      <c r="P27">
        <v>183.29</v>
      </c>
      <c r="Q27">
        <v>183.29</v>
      </c>
      <c r="R27">
        <v>0</v>
      </c>
      <c r="S27">
        <v>0</v>
      </c>
      <c r="T27">
        <v>0</v>
      </c>
      <c r="U27" t="s">
        <v>114</v>
      </c>
    </row>
    <row r="28" spans="1:21" x14ac:dyDescent="0.3">
      <c r="A28">
        <v>1</v>
      </c>
      <c r="B28">
        <v>8</v>
      </c>
      <c r="C28">
        <v>2</v>
      </c>
      <c r="D28">
        <v>0</v>
      </c>
      <c r="E28" t="s">
        <v>33</v>
      </c>
      <c r="F28">
        <v>1</v>
      </c>
      <c r="G28">
        <v>103.10899999999999</v>
      </c>
      <c r="H28">
        <v>14.124000000000001</v>
      </c>
      <c r="I28">
        <v>10.773999999999999</v>
      </c>
      <c r="J28">
        <v>0</v>
      </c>
      <c r="K28">
        <v>0</v>
      </c>
      <c r="L28">
        <v>0</v>
      </c>
      <c r="M28">
        <v>0</v>
      </c>
      <c r="N28">
        <v>0</v>
      </c>
      <c r="O28">
        <v>0.874</v>
      </c>
      <c r="P28">
        <v>0</v>
      </c>
      <c r="Q28">
        <v>6.0000000000000001E-3</v>
      </c>
      <c r="R28">
        <v>0</v>
      </c>
      <c r="S28">
        <v>0</v>
      </c>
      <c r="T28">
        <v>0</v>
      </c>
      <c r="U28" t="s">
        <v>115</v>
      </c>
    </row>
    <row r="29" spans="1:21" x14ac:dyDescent="0.3">
      <c r="A29">
        <v>1</v>
      </c>
      <c r="B29">
        <v>9</v>
      </c>
      <c r="C29">
        <v>1</v>
      </c>
      <c r="D29">
        <v>0</v>
      </c>
      <c r="E29" t="s">
        <v>32</v>
      </c>
      <c r="F29">
        <v>1</v>
      </c>
      <c r="G29">
        <v>205.58699999999999</v>
      </c>
      <c r="H29">
        <v>14.868</v>
      </c>
      <c r="I29">
        <v>41.298000000000002</v>
      </c>
      <c r="J29">
        <v>0</v>
      </c>
      <c r="K29">
        <v>0</v>
      </c>
      <c r="L29">
        <v>0</v>
      </c>
      <c r="M29">
        <v>0</v>
      </c>
      <c r="N29">
        <v>0</v>
      </c>
      <c r="O29">
        <v>29.725999999999999</v>
      </c>
      <c r="P29">
        <v>0</v>
      </c>
      <c r="Q29">
        <v>123.953</v>
      </c>
      <c r="R29">
        <v>0</v>
      </c>
      <c r="S29">
        <v>0</v>
      </c>
      <c r="T29">
        <v>0</v>
      </c>
      <c r="U29" t="s">
        <v>116</v>
      </c>
    </row>
    <row r="30" spans="1:21" x14ac:dyDescent="0.3">
      <c r="A30">
        <v>1</v>
      </c>
      <c r="B30">
        <v>9</v>
      </c>
      <c r="C30">
        <v>5</v>
      </c>
      <c r="D30">
        <v>1</v>
      </c>
      <c r="E30" t="s">
        <v>32</v>
      </c>
      <c r="F30">
        <v>1</v>
      </c>
      <c r="G30">
        <v>286.79599999999999</v>
      </c>
      <c r="H30">
        <v>29.748999999999999</v>
      </c>
      <c r="I30">
        <v>293.68</v>
      </c>
      <c r="J30">
        <v>0</v>
      </c>
      <c r="K30">
        <v>0</v>
      </c>
      <c r="L30">
        <v>0</v>
      </c>
      <c r="M30">
        <v>0</v>
      </c>
      <c r="N30">
        <v>0</v>
      </c>
      <c r="O30">
        <v>871.17200000000003</v>
      </c>
      <c r="P30">
        <v>96.259</v>
      </c>
      <c r="Q30">
        <v>192.51900000000001</v>
      </c>
      <c r="R30">
        <v>0</v>
      </c>
      <c r="S30">
        <v>0</v>
      </c>
      <c r="T30">
        <v>0</v>
      </c>
      <c r="U30" t="s">
        <v>117</v>
      </c>
    </row>
    <row r="31" spans="1:21" x14ac:dyDescent="0.3">
      <c r="A31">
        <v>1</v>
      </c>
      <c r="B31">
        <v>9</v>
      </c>
      <c r="C31">
        <v>6</v>
      </c>
      <c r="D31">
        <v>1</v>
      </c>
      <c r="E31" t="s">
        <v>32</v>
      </c>
      <c r="F31">
        <v>1</v>
      </c>
      <c r="G31">
        <v>205.619</v>
      </c>
      <c r="H31">
        <v>14.87</v>
      </c>
      <c r="I31">
        <v>41.344000000000001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29.782</v>
      </c>
      <c r="P31">
        <v>0</v>
      </c>
      <c r="Q31">
        <v>124.182</v>
      </c>
      <c r="R31">
        <v>0</v>
      </c>
      <c r="S31">
        <v>0</v>
      </c>
      <c r="T31">
        <v>0</v>
      </c>
      <c r="U31" t="s">
        <v>117</v>
      </c>
    </row>
    <row r="33" spans="1:30" x14ac:dyDescent="0.3">
      <c r="A33" t="s">
        <v>112</v>
      </c>
    </row>
    <row r="34" spans="1:30" x14ac:dyDescent="0.3">
      <c r="A34" t="s">
        <v>22</v>
      </c>
      <c r="B34" t="s">
        <v>23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 t="s">
        <v>31</v>
      </c>
      <c r="M34" t="s">
        <v>131</v>
      </c>
      <c r="N34" t="s">
        <v>134</v>
      </c>
      <c r="O34" t="s">
        <v>132</v>
      </c>
      <c r="P34" t="s">
        <v>133</v>
      </c>
    </row>
    <row r="35" spans="1:30" x14ac:dyDescent="0.3">
      <c r="A35">
        <v>0</v>
      </c>
      <c r="B35">
        <v>2</v>
      </c>
      <c r="C35">
        <v>8</v>
      </c>
      <c r="D35">
        <v>1</v>
      </c>
      <c r="E35" t="s">
        <v>32</v>
      </c>
      <c r="F35">
        <v>130</v>
      </c>
      <c r="G35">
        <v>5966</v>
      </c>
      <c r="H35">
        <v>662.5</v>
      </c>
      <c r="I35">
        <v>1742</v>
      </c>
      <c r="J35">
        <v>193.6</v>
      </c>
      <c r="K35" t="s">
        <v>113</v>
      </c>
      <c r="M35" s="30">
        <f>(G14+K14+L14)/G35</f>
        <v>1.0000001676164936</v>
      </c>
      <c r="N35">
        <f>Q14</f>
        <v>0</v>
      </c>
      <c r="O35" s="30">
        <f>(I14+J14)/H35</f>
        <v>1</v>
      </c>
      <c r="P35" s="30">
        <f>(M14+N14+O14+P14)/(I35+J35)</f>
        <v>0.99995970241785492</v>
      </c>
      <c r="Q35" s="5" t="s">
        <v>135</v>
      </c>
      <c r="T35" s="5" t="s">
        <v>137</v>
      </c>
    </row>
    <row r="36" spans="1:30" x14ac:dyDescent="0.3">
      <c r="A36">
        <v>1</v>
      </c>
      <c r="B36">
        <v>2</v>
      </c>
      <c r="C36">
        <v>8</v>
      </c>
      <c r="D36">
        <v>1</v>
      </c>
      <c r="G36">
        <v>0</v>
      </c>
      <c r="H36">
        <v>0</v>
      </c>
      <c r="I36">
        <v>0</v>
      </c>
      <c r="J36">
        <v>0</v>
      </c>
      <c r="K36" t="s">
        <v>118</v>
      </c>
    </row>
    <row r="37" spans="1:30" x14ac:dyDescent="0.3">
      <c r="A37">
        <v>0</v>
      </c>
      <c r="B37">
        <v>5</v>
      </c>
      <c r="C37">
        <v>2</v>
      </c>
      <c r="D37">
        <v>0</v>
      </c>
      <c r="E37" t="s">
        <v>33</v>
      </c>
      <c r="F37">
        <v>90</v>
      </c>
      <c r="G37">
        <v>3201.5</v>
      </c>
      <c r="H37">
        <v>355.5</v>
      </c>
      <c r="I37">
        <v>1163.8</v>
      </c>
      <c r="J37">
        <v>255.5</v>
      </c>
      <c r="K37" t="s">
        <v>114</v>
      </c>
      <c r="M37" s="30">
        <f>(G15+K15+L15+Q15)/G37</f>
        <v>1</v>
      </c>
      <c r="N37">
        <f>Q16/G37</f>
        <v>0.29666874902389506</v>
      </c>
      <c r="O37" s="30">
        <f>(I16+J16)/H37</f>
        <v>1</v>
      </c>
      <c r="P37" s="30">
        <f>(M16+N16+O16+P16)/(I37+J37)</f>
        <v>0.99995983935742971</v>
      </c>
      <c r="Q37" s="5" t="s">
        <v>135</v>
      </c>
      <c r="T37" s="5" t="s">
        <v>138</v>
      </c>
    </row>
    <row r="38" spans="1:30" x14ac:dyDescent="0.3">
      <c r="A38">
        <v>0</v>
      </c>
      <c r="B38">
        <v>4</v>
      </c>
      <c r="C38">
        <v>1</v>
      </c>
      <c r="D38">
        <v>0</v>
      </c>
      <c r="E38" t="s">
        <v>33</v>
      </c>
      <c r="F38">
        <v>90</v>
      </c>
      <c r="G38">
        <v>3201.5</v>
      </c>
      <c r="H38">
        <v>355.5</v>
      </c>
      <c r="I38">
        <v>1163.8</v>
      </c>
      <c r="J38">
        <v>255.5</v>
      </c>
      <c r="K38" t="s">
        <v>114</v>
      </c>
    </row>
    <row r="39" spans="1:30" x14ac:dyDescent="0.3">
      <c r="A39">
        <v>0</v>
      </c>
      <c r="B39">
        <v>6</v>
      </c>
      <c r="C39">
        <v>3</v>
      </c>
      <c r="D39">
        <v>1</v>
      </c>
      <c r="E39" t="s">
        <v>32</v>
      </c>
      <c r="F39">
        <v>130</v>
      </c>
      <c r="G39">
        <v>5966</v>
      </c>
      <c r="H39">
        <v>662.5</v>
      </c>
      <c r="I39">
        <v>1742</v>
      </c>
      <c r="J39">
        <v>193.6</v>
      </c>
      <c r="K39" t="s">
        <v>114</v>
      </c>
    </row>
    <row r="40" spans="1:30" x14ac:dyDescent="0.3">
      <c r="K40" t="s">
        <v>118</v>
      </c>
    </row>
    <row r="41" spans="1:30" x14ac:dyDescent="0.3">
      <c r="A41">
        <v>0</v>
      </c>
      <c r="B41">
        <v>9</v>
      </c>
      <c r="C41">
        <v>6</v>
      </c>
      <c r="D41">
        <v>1</v>
      </c>
      <c r="E41" t="s">
        <v>32</v>
      </c>
      <c r="F41">
        <v>30</v>
      </c>
      <c r="G41">
        <v>4264</v>
      </c>
      <c r="H41">
        <v>473.5</v>
      </c>
      <c r="I41">
        <v>1245</v>
      </c>
      <c r="J41">
        <v>138.30000000000001</v>
      </c>
      <c r="K41" t="s">
        <v>117</v>
      </c>
    </row>
    <row r="42" spans="1:30" x14ac:dyDescent="0.3">
      <c r="A42">
        <v>0</v>
      </c>
      <c r="B42">
        <v>9</v>
      </c>
      <c r="C42">
        <v>5</v>
      </c>
      <c r="D42">
        <v>1</v>
      </c>
      <c r="E42" t="s">
        <v>32</v>
      </c>
      <c r="F42">
        <v>90</v>
      </c>
      <c r="G42">
        <v>5760</v>
      </c>
      <c r="H42">
        <v>640</v>
      </c>
      <c r="I42">
        <v>1681.9</v>
      </c>
      <c r="J42">
        <v>186.9</v>
      </c>
      <c r="K42" t="s">
        <v>119</v>
      </c>
      <c r="L42" s="5" t="s">
        <v>73</v>
      </c>
      <c r="M42" s="5" t="s">
        <v>74</v>
      </c>
    </row>
    <row r="43" spans="1:30" x14ac:dyDescent="0.3">
      <c r="A43">
        <v>1</v>
      </c>
      <c r="B43">
        <v>9</v>
      </c>
      <c r="C43">
        <v>5</v>
      </c>
      <c r="D43">
        <v>1</v>
      </c>
      <c r="E43" t="s">
        <v>32</v>
      </c>
      <c r="F43">
        <v>91</v>
      </c>
      <c r="G43">
        <v>5767.5</v>
      </c>
      <c r="H43">
        <v>640.5</v>
      </c>
      <c r="I43">
        <v>1684</v>
      </c>
      <c r="J43">
        <v>187.1</v>
      </c>
    </row>
    <row r="44" spans="1:30" x14ac:dyDescent="0.3">
      <c r="A44">
        <v>2</v>
      </c>
      <c r="B44">
        <v>9</v>
      </c>
      <c r="C44">
        <v>5</v>
      </c>
      <c r="D44">
        <v>1</v>
      </c>
      <c r="E44" t="s">
        <v>32</v>
      </c>
      <c r="F44">
        <v>92</v>
      </c>
      <c r="G44">
        <v>5774.5</v>
      </c>
      <c r="H44">
        <v>641.5</v>
      </c>
      <c r="I44">
        <v>1686.1</v>
      </c>
      <c r="J44">
        <v>187.3</v>
      </c>
    </row>
    <row r="46" spans="1:30" x14ac:dyDescent="0.3">
      <c r="A46" t="s">
        <v>120</v>
      </c>
      <c r="P46" t="s">
        <v>136</v>
      </c>
    </row>
    <row r="47" spans="1:30" x14ac:dyDescent="0.3">
      <c r="A47" t="s">
        <v>22</v>
      </c>
      <c r="B47" t="s">
        <v>23</v>
      </c>
      <c r="C47" t="s">
        <v>24</v>
      </c>
      <c r="D47" t="s">
        <v>25</v>
      </c>
      <c r="E47" t="s">
        <v>26</v>
      </c>
      <c r="F47" t="s">
        <v>121</v>
      </c>
      <c r="G47" t="s">
        <v>122</v>
      </c>
      <c r="H47" t="s">
        <v>123</v>
      </c>
      <c r="I47" t="s">
        <v>124</v>
      </c>
      <c r="J47" t="s">
        <v>125</v>
      </c>
      <c r="K47" t="s">
        <v>126</v>
      </c>
      <c r="L47" t="s">
        <v>127</v>
      </c>
      <c r="M47" t="s">
        <v>128</v>
      </c>
      <c r="N47" t="s">
        <v>129</v>
      </c>
      <c r="P47" t="s">
        <v>97</v>
      </c>
      <c r="Q47" t="s">
        <v>98</v>
      </c>
      <c r="R47" t="s">
        <v>99</v>
      </c>
      <c r="S47" t="s">
        <v>100</v>
      </c>
      <c r="T47" t="s">
        <v>101</v>
      </c>
      <c r="U47" t="s">
        <v>102</v>
      </c>
      <c r="V47" t="s">
        <v>103</v>
      </c>
      <c r="W47" t="s">
        <v>104</v>
      </c>
      <c r="X47" t="s">
        <v>105</v>
      </c>
      <c r="Y47" t="s">
        <v>106</v>
      </c>
      <c r="Z47" t="s">
        <v>107</v>
      </c>
    </row>
    <row r="48" spans="1:30" x14ac:dyDescent="0.3">
      <c r="A48">
        <v>0</v>
      </c>
      <c r="B48">
        <v>2</v>
      </c>
      <c r="C48">
        <v>8</v>
      </c>
      <c r="D48">
        <v>1</v>
      </c>
      <c r="E48" t="s">
        <v>32</v>
      </c>
      <c r="F48">
        <v>432.13099999999997</v>
      </c>
      <c r="G48">
        <v>88.144000000000005</v>
      </c>
      <c r="H48">
        <v>588.14700000000005</v>
      </c>
      <c r="I48">
        <v>533.76700000000005</v>
      </c>
      <c r="J48">
        <v>2839.95</v>
      </c>
      <c r="K48">
        <v>5920.5789999999997</v>
      </c>
      <c r="L48">
        <v>2723.547</v>
      </c>
      <c r="M48">
        <v>1646.58</v>
      </c>
      <c r="N48">
        <v>366.58</v>
      </c>
      <c r="O48" t="s">
        <v>113</v>
      </c>
      <c r="P48" s="6">
        <f>G24/F48</f>
        <v>1</v>
      </c>
      <c r="Q48" s="6">
        <f t="shared" ref="Q48:W48" si="0">H24/G48</f>
        <v>0.6500045380286803</v>
      </c>
      <c r="R48" s="6">
        <f t="shared" si="0"/>
        <v>0.44999974496171868</v>
      </c>
      <c r="S48" s="6">
        <f t="shared" si="0"/>
        <v>0</v>
      </c>
      <c r="T48" s="6">
        <f t="shared" si="0"/>
        <v>0.1</v>
      </c>
      <c r="U48" s="6">
        <f t="shared" si="0"/>
        <v>0</v>
      </c>
      <c r="V48" s="6">
        <f t="shared" si="0"/>
        <v>0</v>
      </c>
      <c r="W48" s="6">
        <f t="shared" si="0"/>
        <v>0</v>
      </c>
      <c r="X48" s="6">
        <f>O24/M48</f>
        <v>1</v>
      </c>
      <c r="Y48" s="6">
        <f>P24/N48</f>
        <v>0.5</v>
      </c>
      <c r="Z48" s="6">
        <f>Q24/N48</f>
        <v>0.5</v>
      </c>
      <c r="AA48" s="5" t="s">
        <v>73</v>
      </c>
      <c r="AB48" s="5" t="s">
        <v>74</v>
      </c>
      <c r="AC48" s="5" t="s">
        <v>135</v>
      </c>
      <c r="AD48" s="5" t="s">
        <v>137</v>
      </c>
    </row>
    <row r="49" spans="1:30" x14ac:dyDescent="0.3">
      <c r="A49">
        <v>1</v>
      </c>
      <c r="B49">
        <v>2</v>
      </c>
      <c r="C49">
        <v>8</v>
      </c>
      <c r="D49">
        <v>1</v>
      </c>
      <c r="E49" t="s">
        <v>32</v>
      </c>
      <c r="F49">
        <v>71.938000000000002</v>
      </c>
      <c r="G49">
        <v>76.962000000000003</v>
      </c>
      <c r="H49">
        <v>1609.2729999999999</v>
      </c>
      <c r="I49">
        <v>1363.039</v>
      </c>
      <c r="J49">
        <v>4152.4859999999999</v>
      </c>
      <c r="K49">
        <v>5969.7939999999999</v>
      </c>
      <c r="L49">
        <v>2734.6170000000002</v>
      </c>
      <c r="M49">
        <v>3788.518</v>
      </c>
      <c r="N49">
        <v>1242.222</v>
      </c>
    </row>
    <row r="50" spans="1:30" x14ac:dyDescent="0.3">
      <c r="A50">
        <v>2</v>
      </c>
      <c r="B50">
        <v>2</v>
      </c>
      <c r="C50">
        <v>8</v>
      </c>
      <c r="D50">
        <v>1</v>
      </c>
      <c r="E50" t="s">
        <v>32</v>
      </c>
      <c r="F50">
        <v>53.475000000000001</v>
      </c>
      <c r="G50">
        <v>46.41</v>
      </c>
      <c r="H50">
        <v>1535.9939999999999</v>
      </c>
      <c r="I50">
        <v>1322.5650000000001</v>
      </c>
      <c r="J50">
        <v>4222.8220000000001</v>
      </c>
      <c r="K50">
        <v>6010.7719999999999</v>
      </c>
      <c r="L50">
        <v>2742.194</v>
      </c>
      <c r="M50">
        <v>3458.3739999999998</v>
      </c>
      <c r="N50">
        <v>1055.865</v>
      </c>
    </row>
    <row r="51" spans="1:30" x14ac:dyDescent="0.3">
      <c r="A51">
        <v>0</v>
      </c>
      <c r="B51">
        <v>5</v>
      </c>
      <c r="C51">
        <v>2</v>
      </c>
      <c r="D51">
        <v>0</v>
      </c>
      <c r="E51" t="s">
        <v>33</v>
      </c>
      <c r="F51">
        <v>357.67200000000003</v>
      </c>
      <c r="G51">
        <v>116.705</v>
      </c>
      <c r="H51">
        <v>366.654</v>
      </c>
      <c r="I51">
        <v>330.62</v>
      </c>
      <c r="J51">
        <v>982.38800000000003</v>
      </c>
      <c r="K51">
        <v>3223.6129999999998</v>
      </c>
      <c r="L51">
        <v>1902.1279999999999</v>
      </c>
      <c r="M51">
        <v>666.47799999999995</v>
      </c>
      <c r="N51">
        <v>223.57499999999999</v>
      </c>
      <c r="O51" t="s">
        <v>114</v>
      </c>
      <c r="P51" s="6">
        <f>G25/F51</f>
        <v>0.65000055917153143</v>
      </c>
      <c r="Q51" s="6">
        <f t="shared" ref="Q51:W51" si="1">H25/G51</f>
        <v>0.35000214215329251</v>
      </c>
      <c r="R51" s="6">
        <f t="shared" si="1"/>
        <v>0.39999836357983276</v>
      </c>
      <c r="S51" s="6">
        <f t="shared" si="1"/>
        <v>0</v>
      </c>
      <c r="T51" s="6">
        <f t="shared" si="1"/>
        <v>0</v>
      </c>
      <c r="U51" s="6">
        <f t="shared" si="1"/>
        <v>0</v>
      </c>
      <c r="V51" s="6">
        <f t="shared" si="1"/>
        <v>0</v>
      </c>
      <c r="W51" s="6">
        <f t="shared" si="1"/>
        <v>0</v>
      </c>
      <c r="X51" s="6">
        <f>O25/M51</f>
        <v>0.60000030008492411</v>
      </c>
      <c r="Y51" s="6">
        <f t="shared" ref="Y51" si="2">P25/N51</f>
        <v>0.20000000000000004</v>
      </c>
      <c r="Z51" s="6">
        <f>Q25/N51</f>
        <v>0.40000000000000008</v>
      </c>
      <c r="AA51" s="5" t="s">
        <v>73</v>
      </c>
      <c r="AB51" s="5" t="s">
        <v>74</v>
      </c>
      <c r="AC51" s="5" t="s">
        <v>135</v>
      </c>
      <c r="AD51" s="5" t="s">
        <v>139</v>
      </c>
    </row>
    <row r="52" spans="1:30" x14ac:dyDescent="0.3">
      <c r="A52">
        <v>1</v>
      </c>
      <c r="B52">
        <v>5</v>
      </c>
      <c r="C52">
        <v>2</v>
      </c>
      <c r="D52">
        <v>0</v>
      </c>
      <c r="E52" t="s">
        <v>33</v>
      </c>
      <c r="F52">
        <v>254.071</v>
      </c>
      <c r="G52">
        <v>122.76900000000001</v>
      </c>
      <c r="H52">
        <v>1057.2460000000001</v>
      </c>
      <c r="I52">
        <v>885.41399999999999</v>
      </c>
      <c r="J52">
        <v>1374.242</v>
      </c>
      <c r="K52">
        <v>3259.0149999999999</v>
      </c>
      <c r="L52">
        <v>1911.633</v>
      </c>
      <c r="M52">
        <v>1139.039</v>
      </c>
      <c r="N52">
        <v>905.97500000000002</v>
      </c>
    </row>
    <row r="53" spans="1:30" x14ac:dyDescent="0.3">
      <c r="A53">
        <v>2</v>
      </c>
      <c r="B53">
        <v>5</v>
      </c>
      <c r="C53">
        <v>2</v>
      </c>
      <c r="D53">
        <v>0</v>
      </c>
      <c r="E53" t="s">
        <v>33</v>
      </c>
      <c r="F53">
        <v>188.864</v>
      </c>
      <c r="G53">
        <v>74.033000000000001</v>
      </c>
      <c r="H53">
        <v>1017.067</v>
      </c>
      <c r="I53">
        <v>859.12199999999996</v>
      </c>
      <c r="J53">
        <v>1393.8910000000001</v>
      </c>
      <c r="K53">
        <v>3286.8009999999999</v>
      </c>
      <c r="L53">
        <v>1915.6569999999999</v>
      </c>
      <c r="M53">
        <v>1039.779</v>
      </c>
      <c r="N53">
        <v>770.06200000000001</v>
      </c>
    </row>
    <row r="54" spans="1:30" x14ac:dyDescent="0.3">
      <c r="A54">
        <v>0</v>
      </c>
      <c r="B54">
        <v>9</v>
      </c>
      <c r="C54">
        <v>5</v>
      </c>
      <c r="D54">
        <v>1</v>
      </c>
      <c r="E54" t="s">
        <v>32</v>
      </c>
      <c r="F54">
        <v>441.22399999999999</v>
      </c>
      <c r="G54">
        <v>84.998000000000005</v>
      </c>
      <c r="H54">
        <v>734.2</v>
      </c>
      <c r="I54">
        <v>465.15899999999999</v>
      </c>
      <c r="J54">
        <v>2026.758</v>
      </c>
      <c r="K54">
        <v>5098.8829999999998</v>
      </c>
      <c r="L54">
        <v>2421.0300000000002</v>
      </c>
      <c r="M54">
        <v>1451.953</v>
      </c>
      <c r="N54">
        <v>481.29700000000003</v>
      </c>
      <c r="O54" t="s">
        <v>119</v>
      </c>
      <c r="P54" s="6">
        <f>G30/F54</f>
        <v>0.650000906568999</v>
      </c>
      <c r="Q54" s="6">
        <f t="shared" ref="Q54:W54" si="3">H30/G54</f>
        <v>0.34999647050518834</v>
      </c>
      <c r="R54" s="6">
        <f t="shared" si="3"/>
        <v>0.39999999999999997</v>
      </c>
      <c r="S54" s="6">
        <f t="shared" si="3"/>
        <v>0</v>
      </c>
      <c r="T54" s="6">
        <f t="shared" si="3"/>
        <v>0</v>
      </c>
      <c r="U54" s="6">
        <f t="shared" si="3"/>
        <v>0</v>
      </c>
      <c r="V54" s="6">
        <f t="shared" si="3"/>
        <v>0</v>
      </c>
      <c r="W54" s="6">
        <f t="shared" si="3"/>
        <v>0</v>
      </c>
      <c r="X54" s="6">
        <f>O30/M54</f>
        <v>0.60000013774550554</v>
      </c>
      <c r="Y54" s="6">
        <f t="shared" ref="Y54" si="4">P30/N54</f>
        <v>0.1999991689123348</v>
      </c>
      <c r="Z54" s="6">
        <f>Q30/N54</f>
        <v>0.40000041554383259</v>
      </c>
      <c r="AA54" s="5" t="s">
        <v>73</v>
      </c>
      <c r="AB54" s="5" t="s">
        <v>74</v>
      </c>
      <c r="AC54" s="5" t="s">
        <v>135</v>
      </c>
      <c r="AD54" s="5" t="s">
        <v>140</v>
      </c>
    </row>
    <row r="55" spans="1:30" x14ac:dyDescent="0.3">
      <c r="A55">
        <v>1</v>
      </c>
      <c r="B55">
        <v>9</v>
      </c>
      <c r="C55">
        <v>5</v>
      </c>
      <c r="D55">
        <v>1</v>
      </c>
      <c r="E55" t="s">
        <v>32</v>
      </c>
      <c r="F55">
        <v>227.81899999999999</v>
      </c>
      <c r="G55">
        <v>67.165999999999997</v>
      </c>
      <c r="H55">
        <v>614.22299999999996</v>
      </c>
      <c r="I55">
        <v>467.68700000000001</v>
      </c>
      <c r="J55">
        <v>2881.7809999999999</v>
      </c>
      <c r="K55">
        <v>5098.8599999999997</v>
      </c>
      <c r="L55">
        <v>2425.665</v>
      </c>
      <c r="M55">
        <v>664.15899999999999</v>
      </c>
      <c r="N55">
        <v>231.834</v>
      </c>
    </row>
    <row r="56" spans="1:30" x14ac:dyDescent="0.3">
      <c r="A56">
        <v>2</v>
      </c>
      <c r="B56">
        <v>9</v>
      </c>
      <c r="C56">
        <v>5</v>
      </c>
      <c r="D56">
        <v>1</v>
      </c>
      <c r="E56" t="s">
        <v>32</v>
      </c>
      <c r="F56">
        <v>282.32299999999998</v>
      </c>
      <c r="G56">
        <v>74.394999999999996</v>
      </c>
      <c r="H56">
        <v>600.88599999999997</v>
      </c>
      <c r="I56">
        <v>470.16</v>
      </c>
      <c r="J56">
        <v>2868.4609999999998</v>
      </c>
      <c r="K56">
        <v>5103.0789999999997</v>
      </c>
      <c r="L56">
        <v>2431.0659999999998</v>
      </c>
      <c r="M56">
        <v>740.72400000000005</v>
      </c>
      <c r="N56">
        <v>264.71899999999999</v>
      </c>
    </row>
    <row r="59" spans="1:30" x14ac:dyDescent="0.3">
      <c r="A59" t="s">
        <v>22</v>
      </c>
      <c r="B59" t="s">
        <v>23</v>
      </c>
      <c r="C59" t="s">
        <v>24</v>
      </c>
      <c r="D59" t="s">
        <v>25</v>
      </c>
      <c r="E59" t="s">
        <v>26</v>
      </c>
      <c r="F59" t="s">
        <v>208</v>
      </c>
      <c r="G59" t="s">
        <v>210</v>
      </c>
      <c r="H59" t="s">
        <v>211</v>
      </c>
    </row>
    <row r="60" spans="1:30" x14ac:dyDescent="0.3">
      <c r="A60">
        <v>0</v>
      </c>
      <c r="B60">
        <v>2</v>
      </c>
      <c r="C60">
        <v>8</v>
      </c>
      <c r="D60">
        <v>1</v>
      </c>
      <c r="E60" t="s">
        <v>32</v>
      </c>
      <c r="F60">
        <f>SUM(G35:J35,F48:N48)</f>
        <v>23703.525000000001</v>
      </c>
      <c r="K60" t="s">
        <v>213</v>
      </c>
      <c r="L60" t="s">
        <v>212</v>
      </c>
      <c r="M60" t="s">
        <v>210</v>
      </c>
      <c r="N60" t="s">
        <v>209</v>
      </c>
      <c r="O60" t="s">
        <v>214</v>
      </c>
    </row>
    <row r="61" spans="1:30" x14ac:dyDescent="0.3">
      <c r="A61">
        <v>1</v>
      </c>
      <c r="B61">
        <v>2</v>
      </c>
      <c r="C61">
        <v>8</v>
      </c>
      <c r="D61">
        <v>1</v>
      </c>
      <c r="F61">
        <f>SUM(G36:J36,F49:N49)</f>
        <v>21008.849000000002</v>
      </c>
      <c r="G61">
        <f>SUM(G24:N24,P24,H14,J14,L14,N14,P14)</f>
        <v>2078.7389999999996</v>
      </c>
      <c r="H61">
        <f>Q14</f>
        <v>0</v>
      </c>
      <c r="J61" t="s">
        <v>207</v>
      </c>
      <c r="K61">
        <f>M49-M48</f>
        <v>2141.9380000000001</v>
      </c>
      <c r="L61">
        <f>G14-O24</f>
        <v>2370.7930000000001</v>
      </c>
      <c r="M61">
        <f>SUM(N24)</f>
        <v>0</v>
      </c>
      <c r="N61">
        <f>L61-K61</f>
        <v>228.85500000000002</v>
      </c>
      <c r="O61">
        <f>N61/K61</f>
        <v>0.10684482930878485</v>
      </c>
      <c r="P61" s="31" t="s">
        <v>215</v>
      </c>
      <c r="Q61" s="31"/>
    </row>
    <row r="63" spans="1:30" x14ac:dyDescent="0.3">
      <c r="E63" t="s">
        <v>209</v>
      </c>
      <c r="F63">
        <f>F61-F60</f>
        <v>-2694.6759999999995</v>
      </c>
      <c r="G63">
        <f>G61/F63</f>
        <v>-0.77142446809931875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list</vt:lpstr>
      <vt:lpstr>D Fire</vt:lpstr>
      <vt:lpstr>Harvest</vt:lpstr>
      <vt:lpstr>growth</vt:lpstr>
      <vt:lpstr>Wind</vt:lpstr>
      <vt:lpstr>snags</vt:lpstr>
      <vt:lpstr>BDA</vt:lpstr>
      <vt:lpstr>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2018-05-08T22:40:59Z</dcterms:modified>
</cp:coreProperties>
</file>