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threadedComments/threadedComment3.xml" ContentType="application/vnd.ms-excel.threadedcomments+xml"/>
  <Override PartName="/xl/charts/chart4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aruzicka555\Extension-PnET-Succession\deploy\docs\"/>
    </mc:Choice>
  </mc:AlternateContent>
  <xr:revisionPtr revIDLastSave="0" documentId="13_ncr:1_{95E873DA-74CD-44F1-A2F3-D9BAE90DBF07}" xr6:coauthVersionLast="46" xr6:coauthVersionMax="46" xr10:uidLastSave="{00000000-0000-0000-0000-000000000000}"/>
  <bookViews>
    <workbookView xWindow="-108" yWindow="-108" windowWidth="23256" windowHeight="12576" firstSheet="12" activeTab="13" xr2:uid="{00000000-000D-0000-FFFF-FFFF00000000}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Wythers" sheetId="11" r:id="rId5"/>
    <sheet name="fRad" sheetId="19" r:id="rId6"/>
    <sheet name="fWater" sheetId="18" r:id="rId7"/>
    <sheet name="fAge" sheetId="13" r:id="rId8"/>
    <sheet name="FrActWd" sheetId="16" r:id="rId9"/>
    <sheet name="EstMod" sheetId="21" r:id="rId10"/>
    <sheet name="AdjFolN" sheetId="15" r:id="rId11"/>
    <sheet name="AdjFracFol" sheetId="17" r:id="rId12"/>
    <sheet name="CO2HalfSatEff" sheetId="14" r:id="rId13"/>
    <sheet name="MaxLAI" sheetId="22" r:id="rId14"/>
    <sheet name="Charts" sheetId="26" r:id="rId15"/>
    <sheet name="MaxLAI (3)" sheetId="27" r:id="rId16"/>
    <sheet name="MaxLAI (2)" sheetId="24" r:id="rId17"/>
  </sheets>
  <definedNames>
    <definedName name="Amax" localSheetId="11">#REF!</definedName>
    <definedName name="Amax" localSheetId="9">#REF!</definedName>
    <definedName name="Amax" localSheetId="7">#REF!</definedName>
    <definedName name="Amax" localSheetId="0">'PnET-Succ v. PnET-II'!$AD$11</definedName>
    <definedName name="Amax">#REF!</definedName>
    <definedName name="Amax_pnet_ii" localSheetId="11">#REF!</definedName>
    <definedName name="Amax_pnet_ii" localSheetId="9">#REF!</definedName>
    <definedName name="Amax_pnet_ii" localSheetId="7">#REF!</definedName>
    <definedName name="Amax_pnet_ii" localSheetId="0">'PnET-Succ v. PnET-II'!$AA$21</definedName>
    <definedName name="Amax_pnet_ii">#REF!</definedName>
    <definedName name="Amax_temp1" localSheetId="11">#REF!</definedName>
    <definedName name="Amax_temp1" localSheetId="9">#REF!</definedName>
    <definedName name="Amax_temp1" localSheetId="7">#REF!</definedName>
    <definedName name="Amax_temp1" localSheetId="0">'PnET-Succ v. PnET-II'!$AQ$21</definedName>
    <definedName name="Amax_temp1">#REF!</definedName>
    <definedName name="AMaxFrac" localSheetId="11">#REF!</definedName>
    <definedName name="AMaxFrac" localSheetId="9">#REF!</definedName>
    <definedName name="AMaxFrac" localSheetId="7">#REF!</definedName>
    <definedName name="AMaxFrac" localSheetId="0">'PnET-Succ v. PnET-II'!$AD$30</definedName>
    <definedName name="AMaxFrac">#REF!</definedName>
    <definedName name="BaseFolResp" localSheetId="11">#REF!</definedName>
    <definedName name="BaseFolResp" localSheetId="9">#REF!</definedName>
    <definedName name="BaseFolResp" localSheetId="7">#REF!</definedName>
    <definedName name="BaseFolResp" localSheetId="0">'PnET-Succ v. PnET-II'!#REF!</definedName>
    <definedName name="BaseFolResp">#REF!</definedName>
    <definedName name="BaseFolResp_pnet_ii" localSheetId="11">#REF!</definedName>
    <definedName name="BaseFolResp_pnet_ii" localSheetId="9">#REF!</definedName>
    <definedName name="BaseFolResp_pnet_ii" localSheetId="7">#REF!</definedName>
    <definedName name="BaseFolResp_pnet_ii" localSheetId="0">'PnET-Succ v. PnET-II'!$U$21</definedName>
    <definedName name="BaseFolResp_pnet_ii">#REF!</definedName>
    <definedName name="BaseFolRespFrac" localSheetId="11">#REF!</definedName>
    <definedName name="BaseFolRespFrac" localSheetId="9">#REF!</definedName>
    <definedName name="BaseFolRespFrac" localSheetId="7">#REF!</definedName>
    <definedName name="BaseFolRespFrac" localSheetId="0">'PnET-Succ v. PnET-II'!$AD$23</definedName>
    <definedName name="BaseFolRespFrac">#REF!</definedName>
    <definedName name="BaseFolRespFrac_PnET_II" localSheetId="11">#REF!</definedName>
    <definedName name="BaseFolRespFrac_PnET_II" localSheetId="9">#REF!</definedName>
    <definedName name="BaseFolRespFrac_PnET_II" localSheetId="7">#REF!</definedName>
    <definedName name="BaseFolRespFrac_PnET_II" localSheetId="0">'PnET-Succ v. PnET-II'!$AE$19</definedName>
    <definedName name="BaseFolRespFrac_PnET_II">#REF!</definedName>
    <definedName name="Billion" localSheetId="11">#REF!</definedName>
    <definedName name="Billion" localSheetId="9">#REF!</definedName>
    <definedName name="Billion" localSheetId="7">#REF!</definedName>
    <definedName name="Billion" localSheetId="0">'PnET-Succ v. PnET-II'!$AD$4</definedName>
    <definedName name="Billion">#REF!</definedName>
    <definedName name="biomass" localSheetId="11">#REF!</definedName>
    <definedName name="biomass" localSheetId="9">#REF!</definedName>
    <definedName name="biomass" localSheetId="7">#REF!</definedName>
    <definedName name="biomass" localSheetId="0">'PnET-Succ v. PnET-II'!#REF!</definedName>
    <definedName name="biomass">#REF!</definedName>
    <definedName name="CanopyGrossPsn" localSheetId="11">#REF!</definedName>
    <definedName name="CanopyGrossPsn" localSheetId="9">#REF!</definedName>
    <definedName name="CanopyGrossPsn" localSheetId="7">#REF!</definedName>
    <definedName name="CanopyGrossPsn" localSheetId="0">'PnET-Succ v. PnET-II'!$AD$34</definedName>
    <definedName name="CanopyGrossPsn">#REF!</definedName>
    <definedName name="CanopyGrossPsnAct_pnet_ii" localSheetId="11">#REF!</definedName>
    <definedName name="CanopyGrossPsnAct_pnet_ii" localSheetId="9">#REF!</definedName>
    <definedName name="CanopyGrossPsnAct_pnet_ii" localSheetId="7">#REF!</definedName>
    <definedName name="CanopyGrossPsnAct_pnet_ii" localSheetId="0">'PnET-Succ v. PnET-II'!$X$21</definedName>
    <definedName name="CanopyGrossPsnAct_pnet_ii">#REF!</definedName>
    <definedName name="CanopyGrossPsnMG" localSheetId="11">#REF!</definedName>
    <definedName name="CanopyGrossPsnMG" localSheetId="9">#REF!</definedName>
    <definedName name="CanopyGrossPsnMG" localSheetId="7">#REF!</definedName>
    <definedName name="CanopyGrossPsnMG" localSheetId="0">'PnET-Succ v. PnET-II'!$AD$35</definedName>
    <definedName name="CanopyGrossPsnMG">#REF!</definedName>
    <definedName name="DayLength" localSheetId="11">#REF!</definedName>
    <definedName name="DayLength" localSheetId="9">#REF!</definedName>
    <definedName name="DayLength" localSheetId="7">#REF!</definedName>
    <definedName name="DayLength" localSheetId="0">'PnET-Succ v. PnET-II'!$AD$6</definedName>
    <definedName name="DayLength">#REF!</definedName>
    <definedName name="DayResp_pnet_ii" localSheetId="11">#REF!</definedName>
    <definedName name="DayResp_pnet_ii" localSheetId="9">#REF!</definedName>
    <definedName name="DayResp_pnet_ii" localSheetId="7">#REF!</definedName>
    <definedName name="DayResp_pnet_ii" localSheetId="0">'PnET-Succ v. PnET-II'!$S$21</definedName>
    <definedName name="DayResp_pnet_ii">#REF!</definedName>
    <definedName name="dayspan" localSheetId="11">#REF!</definedName>
    <definedName name="dayspan" localSheetId="9">#REF!</definedName>
    <definedName name="dayspan" localSheetId="7">#REF!</definedName>
    <definedName name="dayspan" localSheetId="0">'PnET-Succ v. PnET-II'!$AD$8</definedName>
    <definedName name="dayspan">#REF!</definedName>
    <definedName name="DelAmax" localSheetId="11">#REF!</definedName>
    <definedName name="DelAmax" localSheetId="9">#REF!</definedName>
    <definedName name="DelAmax" localSheetId="7">#REF!</definedName>
    <definedName name="DelAmax" localSheetId="0">'PnET-Succ v. PnET-II'!$AD$16</definedName>
    <definedName name="DelAmax">#REF!</definedName>
    <definedName name="Delgs" localSheetId="11">#REF!</definedName>
    <definedName name="Delgs" localSheetId="9">#REF!</definedName>
    <definedName name="Delgs" localSheetId="7">#REF!</definedName>
    <definedName name="Delgs" localSheetId="0">'PnET-Succ v. PnET-II'!$AD$24</definedName>
    <definedName name="Delgs">#REF!</definedName>
    <definedName name="Dtemp_pnet_ii" localSheetId="11">#REF!</definedName>
    <definedName name="Dtemp_pnet_ii" localSheetId="9">#REF!</definedName>
    <definedName name="Dtemp_pnet_ii" localSheetId="7">#REF!</definedName>
    <definedName name="Dtemp_pnet_ii" localSheetId="0">'PnET-Succ v. PnET-II'!$J$21</definedName>
    <definedName name="Dtemp_pnet_ii">#REF!</definedName>
    <definedName name="Dtemp_pnet_suc" localSheetId="11">#REF!</definedName>
    <definedName name="Dtemp_pnet_suc" localSheetId="9">#REF!</definedName>
    <definedName name="Dtemp_pnet_suc" localSheetId="7">#REF!</definedName>
    <definedName name="Dtemp_pnet_suc" localSheetId="0">'PnET-Succ v. PnET-II'!$J$2</definedName>
    <definedName name="Dtemp_pnet_suc">#REF!</definedName>
    <definedName name="DVPD_pnet_ii" localSheetId="11">#REF!</definedName>
    <definedName name="DVPD_pnet_ii" localSheetId="9">#REF!</definedName>
    <definedName name="DVPD_pnet_ii" localSheetId="7">#REF!</definedName>
    <definedName name="DVPD_pnet_ii" localSheetId="0">'PnET-Succ v. PnET-II'!$L$21</definedName>
    <definedName name="DVPD_pnet_ii">#REF!</definedName>
    <definedName name="DVPD_pnet_suc" localSheetId="11">#REF!</definedName>
    <definedName name="DVPD_pnet_suc" localSheetId="9">#REF!</definedName>
    <definedName name="DVPD_pnet_suc" localSheetId="7">#REF!</definedName>
    <definedName name="DVPD_pnet_suc" localSheetId="0">'PnET-Succ v. PnET-II'!$L$2</definedName>
    <definedName name="DVPD_pnet_suc">#REF!</definedName>
    <definedName name="DVPD1" localSheetId="11">#REF!</definedName>
    <definedName name="DVPD1" localSheetId="9">#REF!</definedName>
    <definedName name="DVPD1" localSheetId="7">#REF!</definedName>
    <definedName name="DVPD1" localSheetId="0">'PnET-Succ v. PnET-II'!$AD$20</definedName>
    <definedName name="DVPD1">#REF!</definedName>
    <definedName name="DVPD2" localSheetId="11">#REF!</definedName>
    <definedName name="DVPD2" localSheetId="9">#REF!</definedName>
    <definedName name="DVPD2" localSheetId="7">#REF!</definedName>
    <definedName name="DVPD2" localSheetId="0">'PnET-Succ v. PnET-II'!$AD$21</definedName>
    <definedName name="DVPD2">#REF!</definedName>
    <definedName name="emean_PnET_II" localSheetId="11">#REF!</definedName>
    <definedName name="emean_PnET_II" localSheetId="9">#REF!</definedName>
    <definedName name="emean_PnET_II" localSheetId="7">#REF!</definedName>
    <definedName name="emean_PnET_II" localSheetId="0">'PnET-Succ v. PnET-II'!$H$21</definedName>
    <definedName name="emean_PnET_II">#REF!</definedName>
    <definedName name="emean_PnET_Succession" localSheetId="11">#REF!</definedName>
    <definedName name="emean_PnET_Succession" localSheetId="9">#REF!</definedName>
    <definedName name="emean_PnET_Succession" localSheetId="7">#REF!</definedName>
    <definedName name="emean_PnET_Succession" localSheetId="0">'PnET-Succ v. PnET-II'!$H$2</definedName>
    <definedName name="emean_PnET_Succession">#REF!</definedName>
    <definedName name="es_PnET_II" localSheetId="11">#REF!</definedName>
    <definedName name="es_PnET_II" localSheetId="9">#REF!</definedName>
    <definedName name="es_PnET_II" localSheetId="7">#REF!</definedName>
    <definedName name="es_PnET_II" localSheetId="0">'PnET-Succ v. PnET-II'!$G$21</definedName>
    <definedName name="es_PnET_II">#REF!</definedName>
    <definedName name="es_PnET_Succession" localSheetId="11">#REF!</definedName>
    <definedName name="es_PnET_Succession" localSheetId="9">#REF!</definedName>
    <definedName name="es_PnET_Succession" localSheetId="7">#REF!</definedName>
    <definedName name="es_PnET_Succession" localSheetId="0">'PnET-Succ v. PnET-II'!$G$2</definedName>
    <definedName name="es_PnET_Succession">#REF!</definedName>
    <definedName name="fAge" localSheetId="11">#REF!</definedName>
    <definedName name="fAge" localSheetId="9">#REF!</definedName>
    <definedName name="fAge" localSheetId="7">#REF!</definedName>
    <definedName name="fAge" localSheetId="0">'PnET-Succ v. PnET-II'!$AD$14</definedName>
    <definedName name="fAge">#REF!</definedName>
    <definedName name="Fol" localSheetId="11">#REF!</definedName>
    <definedName name="Fol" localSheetId="9">#REF!</definedName>
    <definedName name="Fol" localSheetId="7">#REF!</definedName>
    <definedName name="Fol" localSheetId="0">'PnET-Succ v. PnET-II'!$AD$10</definedName>
    <definedName name="Fol">#REF!</definedName>
    <definedName name="FolResp_pnet_suc" localSheetId="11">#REF!</definedName>
    <definedName name="FolResp_pnet_suc" localSheetId="9">#REF!</definedName>
    <definedName name="FolResp_pnet_suc" localSheetId="7">#REF!</definedName>
    <definedName name="FolResp_pnet_suc" localSheetId="0">'PnET-Succ v. PnET-II'!$V$2</definedName>
    <definedName name="FolResp_pnet_suc">#REF!</definedName>
    <definedName name="fRad" localSheetId="11">#REF!</definedName>
    <definedName name="fRad" localSheetId="9">#REF!</definedName>
    <definedName name="fRad" localSheetId="7">#REF!</definedName>
    <definedName name="fRad" localSheetId="0">'PnET-Succ v. PnET-II'!$AD$12</definedName>
    <definedName name="fRad">#REF!</definedName>
    <definedName name="FTempPsn_pnet_suc" localSheetId="11">#REF!</definedName>
    <definedName name="FTempPsn_pnet_suc" localSheetId="9">#REF!</definedName>
    <definedName name="FTempPsn_pnet_suc" localSheetId="7">#REF!</definedName>
    <definedName name="FTempPsn_pnet_suc" localSheetId="0">'PnET-Succ v. PnET-II'!$K$2</definedName>
    <definedName name="FTempPsn_pnet_suc">#REF!</definedName>
    <definedName name="FTempPSNRefNetPsn_pnet_suc" localSheetId="11">#REF!</definedName>
    <definedName name="FTempPSNRefNetPsn_pnet_suc" localSheetId="9">#REF!</definedName>
    <definedName name="FTempPSNRefNetPsn_pnet_suc" localSheetId="7">#REF!</definedName>
    <definedName name="FTempPSNRefNetPsn_pnet_suc" localSheetId="0">'PnET-Succ v. PnET-II'!$O$2</definedName>
    <definedName name="FTempPSNRefNetPsn_pnet_suc">#REF!</definedName>
    <definedName name="FTempRespDay_pnet_suc" localSheetId="11">#REF!</definedName>
    <definedName name="FTempRespDay_pnet_suc" localSheetId="9">#REF!</definedName>
    <definedName name="FTempRespDay_pnet_suc" localSheetId="7">#REF!</definedName>
    <definedName name="FTempRespDay_pnet_suc" localSheetId="0">'PnET-Succ v. PnET-II'!$S$2</definedName>
    <definedName name="FTempRespDay_pnet_suc">#REF!</definedName>
    <definedName name="FTempRespDayRefResp_pnet_suc" localSheetId="11">#REF!</definedName>
    <definedName name="FTempRespDayRefResp_pnet_suc" localSheetId="9">#REF!</definedName>
    <definedName name="FTempRespDayRefResp_pnet_suc" localSheetId="7">#REF!</definedName>
    <definedName name="FTempRespDayRefResp_pnet_suc" localSheetId="0">'PnET-Succ v. PnET-II'!$U$2</definedName>
    <definedName name="FTempRespDayRefResp_pnet_suc">#REF!</definedName>
    <definedName name="fWater" localSheetId="11">#REF!</definedName>
    <definedName name="fWater" localSheetId="9">#REF!</definedName>
    <definedName name="fWater" localSheetId="7">#REF!</definedName>
    <definedName name="fWater" localSheetId="0">'PnET-Succ v. PnET-II'!$AD$13</definedName>
    <definedName name="fWater">#REF!</definedName>
    <definedName name="GrossAmax_pnet_ii" localSheetId="11">#REF!</definedName>
    <definedName name="GrossAmax_pnet_ii" localSheetId="9">#REF!</definedName>
    <definedName name="GrossAmax_pnet_ii" localSheetId="7">#REF!</definedName>
    <definedName name="GrossAmax_pnet_ii" localSheetId="0">'PnET-Succ v. PnET-II'!$O$21</definedName>
    <definedName name="GrossAmax_pnet_ii">#REF!</definedName>
    <definedName name="GrossAmax_temp1_pnet_ii" localSheetId="11">#REF!</definedName>
    <definedName name="GrossAmax_temp1_pnet_ii" localSheetId="9">#REF!</definedName>
    <definedName name="GrossAmax_temp1_pnet_ii" localSheetId="7">#REF!</definedName>
    <definedName name="GrossAmax_temp1_pnet_ii" localSheetId="0">'PnET-Succ v. PnET-II'!$M$21</definedName>
    <definedName name="GrossAmax_temp1_pnet_ii">#REF!</definedName>
    <definedName name="GrossAmax_temp2_pnet_ii" localSheetId="11">#REF!</definedName>
    <definedName name="GrossAmax_temp2_pnet_ii" localSheetId="9">#REF!</definedName>
    <definedName name="GrossAmax_temp2_pnet_ii" localSheetId="7">#REF!</definedName>
    <definedName name="GrossAmax_temp2_pnet_ii" localSheetId="0">'PnET-Succ v. PnET-II'!$N$21</definedName>
    <definedName name="GrossAmax_temp2_pnet_ii">#REF!</definedName>
    <definedName name="GrossPsn_pnet_suc" localSheetId="11">#REF!</definedName>
    <definedName name="GrossPsn_pnet_suc" localSheetId="9">#REF!</definedName>
    <definedName name="GrossPsn_pnet_suc" localSheetId="7">#REF!</definedName>
    <definedName name="GrossPsn_pnet_suc" localSheetId="0">'PnET-Succ v. PnET-II'!$W$2</definedName>
    <definedName name="GrossPsn_pnet_suc">#REF!</definedName>
    <definedName name="IMAX" localSheetId="11">#REF!</definedName>
    <definedName name="IMAX" localSheetId="9">#REF!</definedName>
    <definedName name="IMAX" localSheetId="7">#REF!</definedName>
    <definedName name="IMAX" localSheetId="0">'PnET-Succ v. PnET-II'!$AD$9</definedName>
    <definedName name="IMAX">#REF!</definedName>
    <definedName name="index" localSheetId="11">#REF!</definedName>
    <definedName name="index" localSheetId="9">#REF!</definedName>
    <definedName name="index" localSheetId="7">#REF!</definedName>
    <definedName name="index" localSheetId="0">'PnET-Succ v. PnET-II'!#REF!</definedName>
    <definedName name="index">#REF!</definedName>
    <definedName name="LAI" localSheetId="11">#REF!</definedName>
    <definedName name="LAI" localSheetId="9">#REF!</definedName>
    <definedName name="LAI" localSheetId="7">#REF!</definedName>
    <definedName name="LAI" localSheetId="0">'PnET-Succ v. PnET-II'!$AD$31</definedName>
    <definedName name="LAI">#REF!</definedName>
    <definedName name="LAI_pnet_ii" localSheetId="11">#REF!</definedName>
    <definedName name="LAI_pnet_ii" localSheetId="9">#REF!</definedName>
    <definedName name="LAI_pnet_ii" localSheetId="7">#REF!</definedName>
    <definedName name="LAI_pnet_ii" localSheetId="0">'PnET-Succ v. PnET-II'!$P$21</definedName>
    <definedName name="LAI_pnet_ii">#REF!</definedName>
    <definedName name="LAI_pnet_suc" localSheetId="11">#REF!</definedName>
    <definedName name="LAI_pnet_suc" localSheetId="9">#REF!</definedName>
    <definedName name="LAI_pnet_suc" localSheetId="7">#REF!</definedName>
    <definedName name="LAI_pnet_suc" localSheetId="0">'PnET-Succ v. PnET-II'!$P$2</definedName>
    <definedName name="LAI_pnet_suc">#REF!</definedName>
    <definedName name="LayerGrossPsn_pnet_ii" localSheetId="11">#REF!</definedName>
    <definedName name="LayerGrossPsn_pnet_ii" localSheetId="9">#REF!</definedName>
    <definedName name="LayerGrossPsn_pnet_ii" localSheetId="7">#REF!</definedName>
    <definedName name="LayerGrossPsn_pnet_ii" localSheetId="0">'PnET-Succ v. PnET-II'!$R$21</definedName>
    <definedName name="LayerGrossPsn_pnet_ii">#REF!</definedName>
    <definedName name="LayerGrossPsnRate_pnet_ii" localSheetId="11">#REF!</definedName>
    <definedName name="LayerGrossPsnRate_pnet_ii" localSheetId="9">#REF!</definedName>
    <definedName name="LayerGrossPsnRate_pnet_ii" localSheetId="7">#REF!</definedName>
    <definedName name="LayerGrossPsnRate_pnet_ii" localSheetId="0">'PnET-Succ v. PnET-II'!$W$21</definedName>
    <definedName name="LayerGrossPsnRate_pnet_ii">#REF!</definedName>
    <definedName name="LayerLAI" localSheetId="11">#REF!</definedName>
    <definedName name="LayerLAI" localSheetId="9">#REF!</definedName>
    <definedName name="LayerLAI" localSheetId="7">#REF!</definedName>
    <definedName name="LayerLAI" localSheetId="0">'PnET-Succ v. PnET-II'!$AD$31</definedName>
    <definedName name="LayerLAI">#REF!</definedName>
    <definedName name="LayerNetPsn_pnet_ii" localSheetId="11">#REF!</definedName>
    <definedName name="LayerNetPsn_pnet_ii" localSheetId="9">#REF!</definedName>
    <definedName name="LayerNetPsn_pnet_ii" localSheetId="7">#REF!</definedName>
    <definedName name="LayerNetPsn_pnet_ii" localSheetId="0">'PnET-Succ v. PnET-II'!$Y$21</definedName>
    <definedName name="LayerNetPsn_pnet_ii">#REF!</definedName>
    <definedName name="LayerResp_pnet_ii" localSheetId="11">#REF!</definedName>
    <definedName name="LayerResp_pnet_ii" localSheetId="9">#REF!</definedName>
    <definedName name="LayerResp_pnet_ii" localSheetId="7">#REF!</definedName>
    <definedName name="LayerResp_pnet_ii" localSheetId="0">'PnET-Succ v. PnET-II'!$V$21</definedName>
    <definedName name="LayerResp_pnet_ii">#REF!</definedName>
    <definedName name="LayerSLW" localSheetId="11">#REF!</definedName>
    <definedName name="LayerSLW" localSheetId="9">#REF!</definedName>
    <definedName name="LayerSLW" localSheetId="7">#REF!</definedName>
    <definedName name="LayerSLW" localSheetId="0">'PnET-Succ v. PnET-II'!$AD$25</definedName>
    <definedName name="LayerSLW">#REF!</definedName>
    <definedName name="LightEff_pnet_ii" localSheetId="11">#REF!</definedName>
    <definedName name="LightEff_pnet_ii" localSheetId="9">#REF!</definedName>
    <definedName name="LightEff_pnet_ii" localSheetId="7">#REF!</definedName>
    <definedName name="LightEff_pnet_ii" localSheetId="0">'PnET-Succ v. PnET-II'!#REF!</definedName>
    <definedName name="LightEff_pnet_ii">#REF!</definedName>
    <definedName name="MaintResp_pnet_suc" localSheetId="11">#REF!</definedName>
    <definedName name="MaintResp_pnet_suc" localSheetId="9">#REF!</definedName>
    <definedName name="MaintResp_pnet_suc" localSheetId="7">#REF!</definedName>
    <definedName name="MaintResp_pnet_suc" localSheetId="0">'PnET-Succ v. PnET-II'!$Q$2</definedName>
    <definedName name="MaintResp_pnet_suc">#REF!</definedName>
    <definedName name="MC" localSheetId="11">#REF!</definedName>
    <definedName name="MC" localSheetId="9">#REF!</definedName>
    <definedName name="MC" localSheetId="7">#REF!</definedName>
    <definedName name="MC" localSheetId="0">'PnET-Succ v. PnET-II'!$AD$3</definedName>
    <definedName name="MC">#REF!</definedName>
    <definedName name="MCO2_MC" localSheetId="11">#REF!</definedName>
    <definedName name="MCO2_MC" localSheetId="9">#REF!</definedName>
    <definedName name="MCO2_MC" localSheetId="7">#REF!</definedName>
    <definedName name="MCO2_MC" localSheetId="0">'PnET-Succ v. PnET-II'!$AD$2</definedName>
    <definedName name="MCO2_MC">#REF!</definedName>
    <definedName name="NetPsn_pnet_suc" localSheetId="11">#REF!</definedName>
    <definedName name="NetPsn_pnet_suc" localSheetId="9">#REF!</definedName>
    <definedName name="NetPsn_pnet_suc" localSheetId="7">#REF!</definedName>
    <definedName name="NetPsn_pnet_suc" localSheetId="0">'PnET-Succ v. PnET-II'!$R$2</definedName>
    <definedName name="NetPsn_pnet_suc">#REF!</definedName>
    <definedName name="NightLength" localSheetId="11">#REF!</definedName>
    <definedName name="NightLength" localSheetId="9">#REF!</definedName>
    <definedName name="NightLength" localSheetId="7">#REF!</definedName>
    <definedName name="NightLength" localSheetId="0">'PnET-Succ v. PnET-II'!$AD$7</definedName>
    <definedName name="NightLength">#REF!</definedName>
    <definedName name="NightResp" localSheetId="11">#REF!</definedName>
    <definedName name="NightResp" localSheetId="9">#REF!</definedName>
    <definedName name="NightResp" localSheetId="7">#REF!</definedName>
    <definedName name="NightResp" localSheetId="0">'PnET-Succ v. PnET-II'!$T$21</definedName>
    <definedName name="NightResp">#REF!</definedName>
    <definedName name="NSC" localSheetId="11">#REF!</definedName>
    <definedName name="NSC" localSheetId="9">#REF!</definedName>
    <definedName name="NSC" localSheetId="7">#REF!</definedName>
    <definedName name="NSC" localSheetId="0">'PnET-Succ v. PnET-II'!#REF!</definedName>
    <definedName name="NSC">#REF!</definedName>
    <definedName name="PotTransd_pnet_ii" localSheetId="11">#REF!</definedName>
    <definedName name="PotTransd_pnet_ii" localSheetId="9">#REF!</definedName>
    <definedName name="PotTransd_pnet_ii" localSheetId="7">#REF!</definedName>
    <definedName name="PotTransd_pnet_ii" localSheetId="0">'PnET-Succ v. PnET-II'!$Z$21</definedName>
    <definedName name="PotTransd_pnet_ii">#REF!</definedName>
    <definedName name="PsnTMax" localSheetId="11">#REF!</definedName>
    <definedName name="PsnTMax" localSheetId="9">#REF!</definedName>
    <definedName name="PsnTMax" localSheetId="7">#REF!</definedName>
    <definedName name="PsnTMax" localSheetId="0">'PnET-Succ v. PnET-II'!$AD$19</definedName>
    <definedName name="PsnTMax">#REF!</definedName>
    <definedName name="PsnTMin" localSheetId="11">#REF!</definedName>
    <definedName name="PsnTMin" localSheetId="9">#REF!</definedName>
    <definedName name="PsnTMin" localSheetId="7">#REF!</definedName>
    <definedName name="PsnTMin" localSheetId="0">'PnET-Succ v. PnET-II'!$AD$17</definedName>
    <definedName name="PsnTMin">#REF!</definedName>
    <definedName name="PsnTOpt" localSheetId="11">#REF!</definedName>
    <definedName name="PsnTOpt" localSheetId="9">#REF!</definedName>
    <definedName name="PsnTOpt" localSheetId="7">#REF!</definedName>
    <definedName name="PsnTOpt" localSheetId="0">'PnET-Succ v. PnET-II'!$AD$18</definedName>
    <definedName name="PsnTOpt">#REF!</definedName>
    <definedName name="Q10const" localSheetId="11">#REF!</definedName>
    <definedName name="Q10const" localSheetId="9">#REF!</definedName>
    <definedName name="Q10const" localSheetId="7">#REF!</definedName>
    <definedName name="Q10const" localSheetId="0">'PnET-Succ v. PnET-II'!#REF!</definedName>
    <definedName name="Q10const">#REF!</definedName>
    <definedName name="RefNetPsn_pnet_suc" localSheetId="11">#REF!</definedName>
    <definedName name="RefNetPsn_pnet_suc" localSheetId="9">#REF!</definedName>
    <definedName name="RefNetPsn_pnet_suc" localSheetId="7">#REF!</definedName>
    <definedName name="RefNetPsn_pnet_suc" localSheetId="0">'PnET-Succ v. PnET-II'!$N$2</definedName>
    <definedName name="RefNetPsn_pnet_suc">#REF!</definedName>
    <definedName name="RespQ10" localSheetId="11">#REF!</definedName>
    <definedName name="RespQ10" localSheetId="9">#REF!</definedName>
    <definedName name="RespQ10" localSheetId="7">#REF!</definedName>
    <definedName name="RespQ10" localSheetId="0">'PnET-Succ v. PnET-II'!$AD$22</definedName>
    <definedName name="RespQ10">#REF!</definedName>
    <definedName name="SLWDel" localSheetId="11">#REF!</definedName>
    <definedName name="SLWDel" localSheetId="9">#REF!</definedName>
    <definedName name="SLWDel" localSheetId="7">#REF!</definedName>
    <definedName name="SLWDel" localSheetId="0">'PnET-Succ v. PnET-II'!#REF!</definedName>
    <definedName name="SLWDel">#REF!</definedName>
    <definedName name="SLWLayer" localSheetId="11">#REF!</definedName>
    <definedName name="SLWLayer" localSheetId="9">#REF!</definedName>
    <definedName name="SLWLayer" localSheetId="7">#REF!</definedName>
    <definedName name="SLWLayer" localSheetId="0">'PnET-Succ v. PnET-II'!$AD$25</definedName>
    <definedName name="SLWLayer">#REF!</definedName>
    <definedName name="SLWmax" localSheetId="11">#REF!</definedName>
    <definedName name="SLWmax" localSheetId="9">#REF!</definedName>
    <definedName name="SLWmax" localSheetId="7">#REF!</definedName>
    <definedName name="SLWmax" localSheetId="0">'PnET-Succ v. PnET-II'!#REF!</definedName>
    <definedName name="SLWmax">#REF!</definedName>
    <definedName name="Tave" localSheetId="11">#REF!</definedName>
    <definedName name="Tave" localSheetId="9">#REF!</definedName>
    <definedName name="Tave" localSheetId="7">#REF!</definedName>
    <definedName name="Tave" localSheetId="0">'PnET-Succ v. PnET-II'!$D$2</definedName>
    <definedName name="Tave">#REF!</definedName>
    <definedName name="Tday" localSheetId="11">#REF!</definedName>
    <definedName name="Tday" localSheetId="9">#REF!</definedName>
    <definedName name="Tday" localSheetId="7">#REF!</definedName>
    <definedName name="Tday" localSheetId="0">'PnET-Succ v. PnET-II'!$E$2</definedName>
    <definedName name="Tday">#REF!</definedName>
    <definedName name="Tmax" localSheetId="11">#REF!</definedName>
    <definedName name="Tmax" localSheetId="9">#REF!</definedName>
    <definedName name="Tmax" localSheetId="7">#REF!</definedName>
    <definedName name="Tmax" localSheetId="0">'PnET-Succ v. PnET-II'!$C$2</definedName>
    <definedName name="Tmax">#REF!</definedName>
    <definedName name="Tmin" localSheetId="11">#REF!</definedName>
    <definedName name="Tmin" localSheetId="9">#REF!</definedName>
    <definedName name="Tmin" localSheetId="7">#REF!</definedName>
    <definedName name="Tmin" localSheetId="0">'PnET-Succ v. PnET-II'!$B$2</definedName>
    <definedName name="Tmin">#REF!</definedName>
    <definedName name="Tnight" localSheetId="11">#REF!</definedName>
    <definedName name="Tnight" localSheetId="9">#REF!</definedName>
    <definedName name="Tnight" localSheetId="7">#REF!</definedName>
    <definedName name="Tnight" localSheetId="0">'PnET-Succ v. PnET-II'!$F$2</definedName>
    <definedName name="Tnight">#REF!</definedName>
    <definedName name="Transpiration_pnet_suc" localSheetId="11">#REF!</definedName>
    <definedName name="Transpiration_pnet_suc" localSheetId="9">#REF!</definedName>
    <definedName name="Transpiration_pnet_suc" localSheetId="7">#REF!</definedName>
    <definedName name="Transpiration_pnet_suc" localSheetId="0">'PnET-Succ v. PnET-II'!$Z$2</definedName>
    <definedName name="Transpiration_pnet_suc">#REF!</definedName>
    <definedName name="VPD" localSheetId="11">#REF!</definedName>
    <definedName name="VPD" localSheetId="9">#REF!</definedName>
    <definedName name="VPD" localSheetId="7">#REF!</definedName>
    <definedName name="VPD" localSheetId="0">'PnET-Succ v. PnET-II'!$AD$5</definedName>
    <definedName name="VPD">#REF!</definedName>
    <definedName name="VPD_PnET_II" localSheetId="11">#REF!</definedName>
    <definedName name="VPD_PnET_II" localSheetId="9">#REF!</definedName>
    <definedName name="VPD_PnET_II" localSheetId="7">#REF!</definedName>
    <definedName name="VPD_PnET_II" localSheetId="0">'PnET-Succ v. PnET-II'!$I$21</definedName>
    <definedName name="VPD_PnET_II">#REF!</definedName>
    <definedName name="VPD_PnET_Succession" localSheetId="11">#REF!</definedName>
    <definedName name="VPD_PnET_Succession" localSheetId="9">#REF!</definedName>
    <definedName name="VPD_PnET_Succession" localSheetId="7">#REF!</definedName>
    <definedName name="VPD_PnET_Succession" localSheetId="0">'PnET-Succ v. PnET-II'!$I$2</definedName>
    <definedName name="VPD_PnET_Succession">#REF!</definedName>
    <definedName name="WoodMRespMo_pnet_ii" localSheetId="11">#REF!</definedName>
    <definedName name="WoodMRespMo_pnet_ii" localSheetId="9">#REF!</definedName>
    <definedName name="WoodMRespMo_pnet_ii" localSheetId="7">#REF!</definedName>
    <definedName name="WoodMRespMo_pnet_ii" localSheetId="0">'PnET-Succ v. PnET-II'!$Q$21</definedName>
    <definedName name="WoodMRespMo_pnet_ii">#REF!</definedName>
    <definedName name="WUE" localSheetId="11">#REF!</definedName>
    <definedName name="WUE" localSheetId="9">#REF!</definedName>
    <definedName name="WUE" localSheetId="7">#REF!</definedName>
    <definedName name="WUE" localSheetId="0">'PnET-Succ v. PnET-II'!$X$2</definedName>
    <definedName name="WUE">#REF!</definedName>
    <definedName name="WUE_PnET" localSheetId="11">#REF!</definedName>
    <definedName name="WUE_PnET" localSheetId="9">#REF!</definedName>
    <definedName name="WUE_PnET" localSheetId="7">#REF!</definedName>
    <definedName name="WUE_PnET" localSheetId="0">'PnET-Succ v. PnET-II'!$X$21</definedName>
    <definedName name="WUE_PnET">#REF!</definedName>
    <definedName name="WUEconst" localSheetId="11">#REF!</definedName>
    <definedName name="WUEconst" localSheetId="9">#REF!</definedName>
    <definedName name="WUEconst" localSheetId="7">#REF!</definedName>
    <definedName name="WUEconst" localSheetId="0">'PnET-Succ v. PnET-II'!$AD$15</definedName>
    <definedName name="WUEcon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" i="22" l="1"/>
  <c r="Y5" i="22"/>
  <c r="W5" i="22"/>
  <c r="V5" i="22"/>
  <c r="U5" i="22"/>
  <c r="BJ10" i="22"/>
  <c r="T4" i="22" s="1"/>
  <c r="Q10" i="16"/>
  <c r="Q9" i="16"/>
  <c r="BJ55" i="22"/>
  <c r="BJ56" i="22" s="1"/>
  <c r="BK55" i="22"/>
  <c r="BI55" i="22"/>
  <c r="Q3" i="16"/>
  <c r="Q4" i="16"/>
  <c r="Q5" i="16"/>
  <c r="Q6" i="16"/>
  <c r="Q7" i="16"/>
  <c r="Q8" i="16"/>
  <c r="Q2" i="16"/>
  <c r="O8" i="16"/>
  <c r="P8" i="16" s="1"/>
  <c r="O7" i="16"/>
  <c r="P7" i="16" s="1"/>
  <c r="B12" i="16"/>
  <c r="C12" i="16" s="1"/>
  <c r="B14" i="16"/>
  <c r="C14" i="16" s="1"/>
  <c r="O6" i="16"/>
  <c r="P6" i="16" s="1"/>
  <c r="B24" i="16"/>
  <c r="C24" i="16" s="1"/>
  <c r="B26" i="16"/>
  <c r="C26" i="16" s="1"/>
  <c r="O5" i="16"/>
  <c r="P5" i="16" s="1"/>
  <c r="B31" i="16"/>
  <c r="C31" i="16" s="1"/>
  <c r="B33" i="16"/>
  <c r="C33" i="16" s="1"/>
  <c r="O4" i="16"/>
  <c r="P4" i="16" s="1"/>
  <c r="B45" i="16"/>
  <c r="C45" i="16" s="1"/>
  <c r="B44" i="16"/>
  <c r="C44" i="16" s="1"/>
  <c r="B43" i="16"/>
  <c r="C43" i="16" s="1"/>
  <c r="B42" i="16"/>
  <c r="C42" i="16" s="1"/>
  <c r="O3" i="16"/>
  <c r="P3" i="16" s="1"/>
  <c r="B63" i="16"/>
  <c r="C63" i="16" s="1"/>
  <c r="B64" i="16"/>
  <c r="C64" i="16" s="1"/>
  <c r="B65" i="16"/>
  <c r="C65" i="16" s="1"/>
  <c r="B68" i="16"/>
  <c r="C68" i="16" s="1"/>
  <c r="B69" i="16"/>
  <c r="C69" i="16" s="1"/>
  <c r="B70" i="16"/>
  <c r="C70" i="16" s="1"/>
  <c r="B67" i="16"/>
  <c r="C67" i="16" s="1"/>
  <c r="B62" i="16"/>
  <c r="C62" i="16" s="1"/>
  <c r="B71" i="16"/>
  <c r="C71" i="16" s="1"/>
  <c r="O2" i="16"/>
  <c r="P2" i="16" s="1"/>
  <c r="B128" i="16"/>
  <c r="C128" i="16" s="1"/>
  <c r="B129" i="16"/>
  <c r="C129" i="16" s="1"/>
  <c r="B130" i="16"/>
  <c r="C130" i="16" s="1"/>
  <c r="B127" i="16"/>
  <c r="C127" i="16" s="1"/>
  <c r="B123" i="16"/>
  <c r="C123" i="16" s="1"/>
  <c r="B124" i="16"/>
  <c r="C124" i="16" s="1"/>
  <c r="B125" i="16"/>
  <c r="C125" i="16" s="1"/>
  <c r="B122" i="16"/>
  <c r="C122" i="16" s="1"/>
  <c r="B121" i="16"/>
  <c r="C121" i="16" s="1"/>
  <c r="B131" i="16"/>
  <c r="C131" i="16" s="1"/>
  <c r="B117" i="16"/>
  <c r="C117" i="16" s="1"/>
  <c r="B118" i="16"/>
  <c r="C118" i="16" s="1"/>
  <c r="B119" i="16"/>
  <c r="C119" i="16" s="1"/>
  <c r="B120" i="16"/>
  <c r="C120" i="16" s="1"/>
  <c r="B126" i="16"/>
  <c r="C126" i="16" s="1"/>
  <c r="B132" i="16"/>
  <c r="C132" i="16" s="1"/>
  <c r="B133" i="16"/>
  <c r="C133" i="16" s="1"/>
  <c r="B134" i="16"/>
  <c r="C134" i="16" s="1"/>
  <c r="B135" i="16"/>
  <c r="C135" i="16" s="1"/>
  <c r="B136" i="16"/>
  <c r="C136" i="16" s="1"/>
  <c r="B137" i="16"/>
  <c r="C137" i="16" s="1"/>
  <c r="B138" i="16"/>
  <c r="C138" i="16" s="1"/>
  <c r="B139" i="16"/>
  <c r="C139" i="16" s="1"/>
  <c r="B140" i="16"/>
  <c r="C140" i="16" s="1"/>
  <c r="B141" i="16"/>
  <c r="C141" i="16" s="1"/>
  <c r="B142" i="16"/>
  <c r="C142" i="16" s="1"/>
  <c r="B143" i="16"/>
  <c r="C143" i="16" s="1"/>
  <c r="B144" i="16"/>
  <c r="C144" i="16" s="1"/>
  <c r="B107" i="16"/>
  <c r="C107" i="16" s="1"/>
  <c r="B108" i="16"/>
  <c r="C108" i="16" s="1"/>
  <c r="B109" i="16"/>
  <c r="C109" i="16" s="1"/>
  <c r="B110" i="16"/>
  <c r="C110" i="16" s="1"/>
  <c r="B111" i="16"/>
  <c r="C111" i="16" s="1"/>
  <c r="B112" i="16"/>
  <c r="C112" i="16" s="1"/>
  <c r="B113" i="16"/>
  <c r="C113" i="16" s="1"/>
  <c r="B114" i="16"/>
  <c r="C114" i="16" s="1"/>
  <c r="B115" i="16"/>
  <c r="C115" i="16" s="1"/>
  <c r="B116" i="16"/>
  <c r="C116" i="16" s="1"/>
  <c r="B88" i="16"/>
  <c r="C88" i="16" s="1"/>
  <c r="B89" i="16"/>
  <c r="C89" i="16" s="1"/>
  <c r="B90" i="16"/>
  <c r="C90" i="16" s="1"/>
  <c r="B91" i="16"/>
  <c r="C91" i="16" s="1"/>
  <c r="B92" i="16"/>
  <c r="C92" i="16" s="1"/>
  <c r="B93" i="16"/>
  <c r="C93" i="16" s="1"/>
  <c r="B94" i="16"/>
  <c r="C94" i="16" s="1"/>
  <c r="B95" i="16"/>
  <c r="C95" i="16" s="1"/>
  <c r="B96" i="16"/>
  <c r="C96" i="16" s="1"/>
  <c r="B97" i="16"/>
  <c r="C97" i="16" s="1"/>
  <c r="B98" i="16"/>
  <c r="C98" i="16" s="1"/>
  <c r="B99" i="16"/>
  <c r="C99" i="16" s="1"/>
  <c r="B100" i="16"/>
  <c r="C100" i="16" s="1"/>
  <c r="B101" i="16"/>
  <c r="C101" i="16" s="1"/>
  <c r="B102" i="16"/>
  <c r="C102" i="16" s="1"/>
  <c r="B103" i="16"/>
  <c r="C103" i="16" s="1"/>
  <c r="B104" i="16"/>
  <c r="C104" i="16" s="1"/>
  <c r="B105" i="16"/>
  <c r="C105" i="16" s="1"/>
  <c r="B106" i="16"/>
  <c r="C106" i="16" s="1"/>
  <c r="B54" i="16"/>
  <c r="C54" i="16" s="1"/>
  <c r="B55" i="16"/>
  <c r="C55" i="16" s="1"/>
  <c r="B56" i="16"/>
  <c r="C56" i="16" s="1"/>
  <c r="B57" i="16"/>
  <c r="C57" i="16" s="1"/>
  <c r="B58" i="16"/>
  <c r="C58" i="16" s="1"/>
  <c r="B59" i="16"/>
  <c r="C59" i="16" s="1"/>
  <c r="B60" i="16"/>
  <c r="C60" i="16" s="1"/>
  <c r="B61" i="16"/>
  <c r="C61" i="16" s="1"/>
  <c r="B66" i="16"/>
  <c r="C66" i="16" s="1"/>
  <c r="B72" i="16"/>
  <c r="C72" i="16" s="1"/>
  <c r="B73" i="16"/>
  <c r="C73" i="16" s="1"/>
  <c r="B74" i="16"/>
  <c r="C74" i="16" s="1"/>
  <c r="B75" i="16"/>
  <c r="C75" i="16" s="1"/>
  <c r="B76" i="16"/>
  <c r="C76" i="16" s="1"/>
  <c r="B77" i="16"/>
  <c r="C77" i="16" s="1"/>
  <c r="B78" i="16"/>
  <c r="C78" i="16" s="1"/>
  <c r="B79" i="16"/>
  <c r="C79" i="16" s="1"/>
  <c r="B80" i="16"/>
  <c r="C80" i="16" s="1"/>
  <c r="B81" i="16"/>
  <c r="C81" i="16" s="1"/>
  <c r="B82" i="16"/>
  <c r="C82" i="16" s="1"/>
  <c r="B83" i="16"/>
  <c r="C83" i="16" s="1"/>
  <c r="B84" i="16"/>
  <c r="C84" i="16" s="1"/>
  <c r="B85" i="16"/>
  <c r="C85" i="16" s="1"/>
  <c r="B86" i="16"/>
  <c r="C86" i="16" s="1"/>
  <c r="B87" i="16"/>
  <c r="C87" i="16" s="1"/>
  <c r="B40" i="16"/>
  <c r="C40" i="16" s="1"/>
  <c r="B41" i="16"/>
  <c r="C41" i="16" s="1"/>
  <c r="B46" i="16"/>
  <c r="C46" i="16" s="1"/>
  <c r="B47" i="16"/>
  <c r="C47" i="16" s="1"/>
  <c r="B48" i="16"/>
  <c r="C48" i="16" s="1"/>
  <c r="B49" i="16"/>
  <c r="C49" i="16" s="1"/>
  <c r="B50" i="16"/>
  <c r="C50" i="16" s="1"/>
  <c r="B51" i="16"/>
  <c r="C51" i="16" s="1"/>
  <c r="B52" i="16"/>
  <c r="C52" i="16" s="1"/>
  <c r="B53" i="16"/>
  <c r="C53" i="16" s="1"/>
  <c r="B36" i="16"/>
  <c r="C36" i="16" s="1"/>
  <c r="B37" i="16"/>
  <c r="C37" i="16" s="1"/>
  <c r="B38" i="16"/>
  <c r="C38" i="16" s="1"/>
  <c r="B39" i="16"/>
  <c r="C39" i="16" s="1"/>
  <c r="BF63" i="27"/>
  <c r="BF64" i="27" s="1"/>
  <c r="BJ56" i="27"/>
  <c r="BK55" i="27"/>
  <c r="BK56" i="27" s="1"/>
  <c r="BJ55" i="27"/>
  <c r="BI55" i="27"/>
  <c r="BI56" i="27" s="1"/>
  <c r="BL56" i="27" s="1"/>
  <c r="AO54" i="27"/>
  <c r="AN54" i="27"/>
  <c r="AN53" i="27"/>
  <c r="AO53" i="27" s="1"/>
  <c r="AN52" i="27"/>
  <c r="AO52" i="27" s="1"/>
  <c r="AO51" i="27"/>
  <c r="AN51" i="27"/>
  <c r="AO50" i="27"/>
  <c r="AN50" i="27"/>
  <c r="AN49" i="27"/>
  <c r="AO49" i="27" s="1"/>
  <c r="AN48" i="27"/>
  <c r="AO48" i="27" s="1"/>
  <c r="AN47" i="27"/>
  <c r="AO47" i="27" s="1"/>
  <c r="AN46" i="27"/>
  <c r="AO46" i="27" s="1"/>
  <c r="AN45" i="27"/>
  <c r="AO45" i="27" s="1"/>
  <c r="AN44" i="27"/>
  <c r="AO44" i="27" s="1"/>
  <c r="AN43" i="27"/>
  <c r="AO43" i="27" s="1"/>
  <c r="AO42" i="27"/>
  <c r="AN42" i="27"/>
  <c r="AN41" i="27"/>
  <c r="AO41" i="27" s="1"/>
  <c r="AN40" i="27"/>
  <c r="AO40" i="27" s="1"/>
  <c r="AO39" i="27"/>
  <c r="AN39" i="27"/>
  <c r="AO38" i="27"/>
  <c r="AN38" i="27"/>
  <c r="AO37" i="27"/>
  <c r="AN37" i="27"/>
  <c r="AN36" i="27"/>
  <c r="AO36" i="27" s="1"/>
  <c r="AN35" i="27"/>
  <c r="AO35" i="27" s="1"/>
  <c r="AN34" i="27"/>
  <c r="AO34" i="27" s="1"/>
  <c r="AN33" i="27"/>
  <c r="AO33" i="27" s="1"/>
  <c r="BK32" i="27"/>
  <c r="BJ32" i="27"/>
  <c r="BI32" i="27"/>
  <c r="AN32" i="27"/>
  <c r="AO32" i="27" s="1"/>
  <c r="BK31" i="27"/>
  <c r="BK33" i="27" s="1"/>
  <c r="BK30" i="27" s="1"/>
  <c r="BJ31" i="27"/>
  <c r="BJ33" i="27" s="1"/>
  <c r="BJ30" i="27" s="1"/>
  <c r="BI31" i="27"/>
  <c r="BI33" i="27" s="1"/>
  <c r="BI30" i="27" s="1"/>
  <c r="AO31" i="27"/>
  <c r="AN31" i="27"/>
  <c r="AO30" i="27"/>
  <c r="AN30" i="27"/>
  <c r="AN29" i="27"/>
  <c r="AO29" i="27" s="1"/>
  <c r="AO28" i="27"/>
  <c r="AN28" i="27"/>
  <c r="BK27" i="27"/>
  <c r="BK28" i="27" s="1"/>
  <c r="BJ27" i="27"/>
  <c r="BJ28" i="27" s="1"/>
  <c r="BI27" i="27"/>
  <c r="BI28" i="27" s="1"/>
  <c r="AN27" i="27"/>
  <c r="AO27" i="27" s="1"/>
  <c r="AN26" i="27"/>
  <c r="AO26" i="27" s="1"/>
  <c r="AO25" i="27"/>
  <c r="AN25" i="27"/>
  <c r="BF24" i="27"/>
  <c r="AN24" i="27"/>
  <c r="AO24" i="27" s="1"/>
  <c r="BF23" i="27"/>
  <c r="AN23" i="27"/>
  <c r="AO23" i="27" s="1"/>
  <c r="BJ22" i="27"/>
  <c r="BJ24" i="27" s="1"/>
  <c r="AO22" i="27"/>
  <c r="AN22" i="27"/>
  <c r="AN21" i="27"/>
  <c r="AO21" i="27" s="1"/>
  <c r="AO20" i="27"/>
  <c r="AN20" i="27"/>
  <c r="BK19" i="27"/>
  <c r="BK20" i="27" s="1"/>
  <c r="BK21" i="27" s="1"/>
  <c r="BK22" i="27" s="1"/>
  <c r="BK24" i="27" s="1"/>
  <c r="BJ19" i="27"/>
  <c r="BJ20" i="27" s="1"/>
  <c r="BJ21" i="27" s="1"/>
  <c r="BI19" i="27"/>
  <c r="BI20" i="27" s="1"/>
  <c r="BI21" i="27" s="1"/>
  <c r="BI22" i="27" s="1"/>
  <c r="BI24" i="27" s="1"/>
  <c r="AN19" i="27"/>
  <c r="AO19" i="27" s="1"/>
  <c r="AN18" i="27"/>
  <c r="AO18" i="27" s="1"/>
  <c r="AN17" i="27"/>
  <c r="AO17" i="27" s="1"/>
  <c r="AN16" i="27"/>
  <c r="AO16" i="27" s="1"/>
  <c r="AN15" i="27"/>
  <c r="AO15" i="27" s="1"/>
  <c r="AN14" i="27"/>
  <c r="AO14" i="27" s="1"/>
  <c r="AO13" i="27"/>
  <c r="AN13" i="27"/>
  <c r="AO12" i="27"/>
  <c r="AN12" i="27"/>
  <c r="AN11" i="27"/>
  <c r="AO11" i="27" s="1"/>
  <c r="BK10" i="27"/>
  <c r="BJ10" i="27"/>
  <c r="BI10" i="27"/>
  <c r="AN10" i="27"/>
  <c r="AO10" i="27" s="1"/>
  <c r="AO9" i="27"/>
  <c r="AN9" i="27"/>
  <c r="AN8" i="27"/>
  <c r="AO8" i="27" s="1"/>
  <c r="AN7" i="27"/>
  <c r="AO7" i="27" s="1"/>
  <c r="AO6" i="27"/>
  <c r="AN6" i="27"/>
  <c r="AN5" i="27"/>
  <c r="AO5" i="27" s="1"/>
  <c r="AZ4" i="27"/>
  <c r="AN4" i="27"/>
  <c r="U4" i="27"/>
  <c r="AT4" i="27" s="1"/>
  <c r="T4" i="27"/>
  <c r="B4" i="27"/>
  <c r="A4" i="27" s="1"/>
  <c r="F4" i="27" s="1"/>
  <c r="BF3" i="27"/>
  <c r="BG62" i="27" s="1"/>
  <c r="AN54" i="22"/>
  <c r="AO54" i="22" s="1"/>
  <c r="AN53" i="22"/>
  <c r="AO53" i="22" s="1"/>
  <c r="AN52" i="22"/>
  <c r="AO52" i="22" s="1"/>
  <c r="AN51" i="22"/>
  <c r="AO51" i="22" s="1"/>
  <c r="AN50" i="22"/>
  <c r="AO50" i="22" s="1"/>
  <c r="AN49" i="22"/>
  <c r="AO49" i="22" s="1"/>
  <c r="AN48" i="22"/>
  <c r="AO48" i="22" s="1"/>
  <c r="AN47" i="22"/>
  <c r="AO47" i="22" s="1"/>
  <c r="AN46" i="22"/>
  <c r="AO46" i="22" s="1"/>
  <c r="AN45" i="22"/>
  <c r="AO45" i="22" s="1"/>
  <c r="AN44" i="22"/>
  <c r="AO44" i="22" s="1"/>
  <c r="AN43" i="22"/>
  <c r="AO43" i="22" s="1"/>
  <c r="AN42" i="22"/>
  <c r="AO42" i="22" s="1"/>
  <c r="AN41" i="22"/>
  <c r="AO41" i="22" s="1"/>
  <c r="AN40" i="22"/>
  <c r="AO40" i="22" s="1"/>
  <c r="AN39" i="22"/>
  <c r="AO39" i="22" s="1"/>
  <c r="AN38" i="22"/>
  <c r="AO38" i="22" s="1"/>
  <c r="AN37" i="22"/>
  <c r="AO37" i="22" s="1"/>
  <c r="AN36" i="22"/>
  <c r="AO36" i="22" s="1"/>
  <c r="AN35" i="22"/>
  <c r="AO35" i="22" s="1"/>
  <c r="AN34" i="22"/>
  <c r="AO34" i="22" s="1"/>
  <c r="AQ4" i="24"/>
  <c r="AL5" i="24"/>
  <c r="AM5" i="24"/>
  <c r="AN5" i="24"/>
  <c r="AL6" i="24"/>
  <c r="AM6" i="24"/>
  <c r="AN6" i="24"/>
  <c r="AL7" i="24"/>
  <c r="AM7" i="24"/>
  <c r="AN7" i="24"/>
  <c r="AL8" i="24"/>
  <c r="AM8" i="24"/>
  <c r="AN8" i="24"/>
  <c r="AL9" i="24"/>
  <c r="AM9" i="24"/>
  <c r="AN9" i="24"/>
  <c r="AL10" i="24"/>
  <c r="AM10" i="24"/>
  <c r="AN10" i="24"/>
  <c r="AL11" i="24"/>
  <c r="AM11" i="24"/>
  <c r="AN11" i="24"/>
  <c r="AL12" i="24"/>
  <c r="AM12" i="24"/>
  <c r="AN12" i="24"/>
  <c r="AL13" i="24"/>
  <c r="AM13" i="24"/>
  <c r="AN13" i="24"/>
  <c r="AL14" i="24"/>
  <c r="AM14" i="24"/>
  <c r="AN14" i="24"/>
  <c r="AL15" i="24"/>
  <c r="AM15" i="24"/>
  <c r="AN15" i="24"/>
  <c r="AL16" i="24"/>
  <c r="AM16" i="24"/>
  <c r="AN16" i="24"/>
  <c r="AL17" i="24"/>
  <c r="AM17" i="24"/>
  <c r="AN17" i="24"/>
  <c r="AL18" i="24"/>
  <c r="AM18" i="24"/>
  <c r="AN18" i="24"/>
  <c r="AL19" i="24"/>
  <c r="AM19" i="24"/>
  <c r="AN19" i="24"/>
  <c r="AL20" i="24"/>
  <c r="AM20" i="24"/>
  <c r="AN20" i="24"/>
  <c r="AL21" i="24"/>
  <c r="AM21" i="24"/>
  <c r="AN21" i="24"/>
  <c r="AL22" i="24"/>
  <c r="AM22" i="24"/>
  <c r="AN22" i="24"/>
  <c r="AL23" i="24"/>
  <c r="AM23" i="24"/>
  <c r="AN23" i="24"/>
  <c r="AL24" i="24"/>
  <c r="AM24" i="24"/>
  <c r="AN24" i="24"/>
  <c r="AL25" i="24"/>
  <c r="AM25" i="24"/>
  <c r="AN25" i="24"/>
  <c r="AL26" i="24"/>
  <c r="AM26" i="24"/>
  <c r="AN26" i="24"/>
  <c r="AL27" i="24"/>
  <c r="AM27" i="24"/>
  <c r="AN27" i="24"/>
  <c r="AL28" i="24"/>
  <c r="AM28" i="24"/>
  <c r="AN28" i="24"/>
  <c r="AL29" i="24"/>
  <c r="AM29" i="24"/>
  <c r="AN29" i="24"/>
  <c r="AL30" i="24"/>
  <c r="AM30" i="24"/>
  <c r="AN30" i="24"/>
  <c r="AL31" i="24"/>
  <c r="AM31" i="24"/>
  <c r="AN31" i="24"/>
  <c r="AL32" i="24"/>
  <c r="AM32" i="24"/>
  <c r="AN32" i="24"/>
  <c r="AL33" i="24"/>
  <c r="AM33" i="24"/>
  <c r="AN33" i="24"/>
  <c r="AN4" i="24"/>
  <c r="AM4" i="24"/>
  <c r="Q6" i="24"/>
  <c r="S6" i="24" s="1"/>
  <c r="R6" i="24"/>
  <c r="X6" i="24"/>
  <c r="AA5" i="24"/>
  <c r="Z5" i="24"/>
  <c r="Y5" i="24"/>
  <c r="R5" i="24"/>
  <c r="AA4" i="24"/>
  <c r="Z4" i="24"/>
  <c r="Y4" i="24"/>
  <c r="AU42" i="24"/>
  <c r="AU43" i="24" s="1"/>
  <c r="AZ34" i="24"/>
  <c r="AZ35" i="24" s="1"/>
  <c r="AY34" i="24"/>
  <c r="AY35" i="24" s="1"/>
  <c r="AX34" i="24"/>
  <c r="AX35" i="24" s="1"/>
  <c r="AH33" i="24"/>
  <c r="AI33" i="24" s="1"/>
  <c r="AZ32" i="24"/>
  <c r="AY32" i="24"/>
  <c r="AX32" i="24"/>
  <c r="AH32" i="24"/>
  <c r="AI32" i="24" s="1"/>
  <c r="AZ31" i="24"/>
  <c r="AZ33" i="24" s="1"/>
  <c r="AZ30" i="24" s="1"/>
  <c r="AY31" i="24"/>
  <c r="AY33" i="24" s="1"/>
  <c r="AY30" i="24" s="1"/>
  <c r="AX31" i="24"/>
  <c r="AH31" i="24"/>
  <c r="AI31" i="24" s="1"/>
  <c r="AH30" i="24"/>
  <c r="AI30" i="24" s="1"/>
  <c r="AH29" i="24"/>
  <c r="AI29" i="24" s="1"/>
  <c r="AZ28" i="24"/>
  <c r="AH28" i="24"/>
  <c r="AI28" i="24" s="1"/>
  <c r="AZ27" i="24"/>
  <c r="AY27" i="24"/>
  <c r="AY28" i="24" s="1"/>
  <c r="AX27" i="24"/>
  <c r="AX28" i="24" s="1"/>
  <c r="AH27" i="24"/>
  <c r="AI27" i="24" s="1"/>
  <c r="AH26" i="24"/>
  <c r="AI26" i="24" s="1"/>
  <c r="AH25" i="24"/>
  <c r="AI25" i="24" s="1"/>
  <c r="AU24" i="24"/>
  <c r="AH24" i="24"/>
  <c r="AI24" i="24" s="1"/>
  <c r="AU23" i="24"/>
  <c r="AH23" i="24"/>
  <c r="AI23" i="24" s="1"/>
  <c r="AH22" i="24"/>
  <c r="AI22" i="24" s="1"/>
  <c r="AH21" i="24"/>
  <c r="AI21" i="24" s="1"/>
  <c r="AH20" i="24"/>
  <c r="AI20" i="24" s="1"/>
  <c r="AZ19" i="24"/>
  <c r="AZ20" i="24" s="1"/>
  <c r="AZ21" i="24" s="1"/>
  <c r="AZ22" i="24" s="1"/>
  <c r="AZ24" i="24" s="1"/>
  <c r="AY19" i="24"/>
  <c r="AY20" i="24" s="1"/>
  <c r="AY21" i="24" s="1"/>
  <c r="AY22" i="24" s="1"/>
  <c r="AY24" i="24" s="1"/>
  <c r="AX19" i="24"/>
  <c r="AX20" i="24" s="1"/>
  <c r="AX21" i="24" s="1"/>
  <c r="AX22" i="24" s="1"/>
  <c r="AX24" i="24" s="1"/>
  <c r="AH19" i="24"/>
  <c r="AI19" i="24" s="1"/>
  <c r="AH18" i="24"/>
  <c r="AI18" i="24" s="1"/>
  <c r="AH17" i="24"/>
  <c r="AI17" i="24" s="1"/>
  <c r="AH16" i="24"/>
  <c r="AI16" i="24" s="1"/>
  <c r="AH15" i="24"/>
  <c r="AI15" i="24" s="1"/>
  <c r="AH14" i="24"/>
  <c r="AI14" i="24" s="1"/>
  <c r="AH13" i="24"/>
  <c r="AI13" i="24" s="1"/>
  <c r="AH12" i="24"/>
  <c r="AI12" i="24" s="1"/>
  <c r="AH11" i="24"/>
  <c r="AI11" i="24" s="1"/>
  <c r="AZ10" i="24"/>
  <c r="AY10" i="24"/>
  <c r="R4" i="24" s="1"/>
  <c r="Q4" i="24" s="1"/>
  <c r="AX10" i="24"/>
  <c r="B4" i="24" s="1"/>
  <c r="AH10" i="24"/>
  <c r="AI10" i="24" s="1"/>
  <c r="AH9" i="24"/>
  <c r="AI9" i="24" s="1"/>
  <c r="AH8" i="24"/>
  <c r="AI8" i="24" s="1"/>
  <c r="AH7" i="24"/>
  <c r="AI7" i="24" s="1"/>
  <c r="AH6" i="24"/>
  <c r="AI6" i="24" s="1"/>
  <c r="AH5" i="24"/>
  <c r="AI5" i="24" s="1"/>
  <c r="AH4" i="24"/>
  <c r="AJ4" i="24" s="1"/>
  <c r="BJ19" i="22"/>
  <c r="BJ20" i="22" s="1"/>
  <c r="BJ21" i="22" s="1"/>
  <c r="BJ22" i="22" s="1"/>
  <c r="BK19" i="22"/>
  <c r="BK20" i="22" s="1"/>
  <c r="BK21" i="22" s="1"/>
  <c r="BK22" i="22" s="1"/>
  <c r="BJ27" i="22"/>
  <c r="BJ28" i="22" s="1"/>
  <c r="BK27" i="22"/>
  <c r="BK28" i="22"/>
  <c r="BJ31" i="22"/>
  <c r="BK31" i="22"/>
  <c r="BK33" i="22" s="1"/>
  <c r="BK30" i="22" s="1"/>
  <c r="BJ32" i="22"/>
  <c r="BK32" i="22"/>
  <c r="BK56" i="22"/>
  <c r="BI32" i="22"/>
  <c r="BI31" i="22"/>
  <c r="BI33" i="22" s="1"/>
  <c r="BI27" i="22"/>
  <c r="BI28" i="22" s="1"/>
  <c r="BI19" i="22"/>
  <c r="BI20" i="22" s="1"/>
  <c r="BK10" i="22"/>
  <c r="Y4" i="22" l="1"/>
  <c r="V4" i="22"/>
  <c r="W4" i="22" s="1"/>
  <c r="C4" i="27"/>
  <c r="AP4" i="27"/>
  <c r="AO4" i="27"/>
  <c r="Y4" i="27"/>
  <c r="V4" i="27"/>
  <c r="W4" i="27" s="1"/>
  <c r="D4" i="27"/>
  <c r="E4" i="27" s="1"/>
  <c r="BK23" i="27"/>
  <c r="BK29" i="27" s="1"/>
  <c r="BJ23" i="27"/>
  <c r="BJ29" i="27" s="1"/>
  <c r="BI23" i="27"/>
  <c r="BF65" i="27"/>
  <c r="BG64" i="27"/>
  <c r="BG63" i="27"/>
  <c r="BJ33" i="22"/>
  <c r="BJ30" i="22" s="1"/>
  <c r="T6" i="24"/>
  <c r="AX33" i="24"/>
  <c r="AX30" i="24" s="1"/>
  <c r="BA35" i="24"/>
  <c r="AU3" i="24" s="1"/>
  <c r="AV41" i="24" s="1"/>
  <c r="AZ23" i="24"/>
  <c r="AZ29" i="24" s="1"/>
  <c r="AL4" i="24"/>
  <c r="AK4" i="24"/>
  <c r="X4" i="24"/>
  <c r="S4" i="24"/>
  <c r="T4" i="24" s="1"/>
  <c r="AX25" i="24"/>
  <c r="AX26" i="24" s="1"/>
  <c r="AR4" i="24"/>
  <c r="AZ25" i="24"/>
  <c r="AZ26" i="24" s="1"/>
  <c r="AV43" i="24"/>
  <c r="AI4" i="24"/>
  <c r="AV42" i="24"/>
  <c r="AU44" i="24"/>
  <c r="A4" i="24"/>
  <c r="AX23" i="24"/>
  <c r="AX29" i="24" s="1"/>
  <c r="AY23" i="24"/>
  <c r="AY29" i="24" s="1"/>
  <c r="BJ24" i="22"/>
  <c r="BK24" i="22"/>
  <c r="BI30" i="22"/>
  <c r="BF23" i="22"/>
  <c r="BF24" i="22"/>
  <c r="BI10" i="22"/>
  <c r="X4" i="22" l="1"/>
  <c r="AJ4" i="22" s="1"/>
  <c r="AH4" i="22"/>
  <c r="Z4" i="22" s="1"/>
  <c r="AH4" i="27"/>
  <c r="X4" i="27"/>
  <c r="AJ4" i="27" s="1"/>
  <c r="BK25" i="27"/>
  <c r="BK26" i="27" s="1"/>
  <c r="BF66" i="27"/>
  <c r="BG65" i="27"/>
  <c r="AQ4" i="27"/>
  <c r="AR4" i="27" s="1"/>
  <c r="BI29" i="27"/>
  <c r="BI25" i="27"/>
  <c r="BI26" i="27" s="1"/>
  <c r="Q4" i="27"/>
  <c r="BA4" i="27" s="1"/>
  <c r="AB4" i="27"/>
  <c r="Z4" i="27"/>
  <c r="G4" i="27"/>
  <c r="BJ25" i="27"/>
  <c r="BJ26" i="27" s="1"/>
  <c r="AV4" i="27"/>
  <c r="A4" i="22"/>
  <c r="F4" i="22" s="1"/>
  <c r="AT4" i="22"/>
  <c r="U6" i="24"/>
  <c r="V6" i="24"/>
  <c r="AU45" i="24"/>
  <c r="AV44" i="24"/>
  <c r="AY25" i="24"/>
  <c r="AY26" i="24" s="1"/>
  <c r="U4" i="24"/>
  <c r="V4" i="24"/>
  <c r="C4" i="24"/>
  <c r="D4" i="24" s="1"/>
  <c r="H4" i="24"/>
  <c r="BK23" i="22"/>
  <c r="BK29" i="22" s="1"/>
  <c r="BJ23" i="22"/>
  <c r="BJ29" i="22" s="1"/>
  <c r="BI21" i="22"/>
  <c r="AB4" i="22" l="1"/>
  <c r="AI4" i="22"/>
  <c r="I4" i="27"/>
  <c r="AK4" i="27"/>
  <c r="AS4" i="27"/>
  <c r="R4" i="27"/>
  <c r="H4" i="27"/>
  <c r="AA4" i="27"/>
  <c r="AC4" i="27" s="1"/>
  <c r="AD4" i="27" s="1"/>
  <c r="BF67" i="27"/>
  <c r="BG66" i="27"/>
  <c r="AI4" i="27"/>
  <c r="C4" i="22"/>
  <c r="D4" i="22" s="1"/>
  <c r="W6" i="24"/>
  <c r="AA6" i="24"/>
  <c r="Z6" i="24"/>
  <c r="AB6" i="24" s="1"/>
  <c r="Y6" i="24"/>
  <c r="AC6" i="24" s="1"/>
  <c r="AB4" i="24"/>
  <c r="AC4" i="24" s="1"/>
  <c r="AU46" i="24"/>
  <c r="AV45" i="24"/>
  <c r="W4" i="24"/>
  <c r="F4" i="24"/>
  <c r="E4" i="24"/>
  <c r="BI22" i="22"/>
  <c r="BJ25" i="22"/>
  <c r="BJ26" i="22" s="1"/>
  <c r="AA4" i="22" s="1"/>
  <c r="BK25" i="22"/>
  <c r="BK26" i="22" s="1"/>
  <c r="AN20" i="22"/>
  <c r="AO20" i="22" s="1"/>
  <c r="AN29" i="22"/>
  <c r="AO29" i="22" s="1"/>
  <c r="AC4" i="22" l="1"/>
  <c r="AD4" i="22" s="1"/>
  <c r="AE4" i="22" s="1"/>
  <c r="AF4" i="22" s="1"/>
  <c r="AE4" i="27"/>
  <c r="AF4" i="27" s="1"/>
  <c r="J4" i="27"/>
  <c r="K4" i="27" s="1"/>
  <c r="P4" i="27"/>
  <c r="BC4" i="27"/>
  <c r="BD4" i="27"/>
  <c r="BB4" i="27"/>
  <c r="BF68" i="27"/>
  <c r="BG67" i="27"/>
  <c r="E4" i="22"/>
  <c r="H4" i="22"/>
  <c r="I4" i="22"/>
  <c r="G4" i="22"/>
  <c r="AD6" i="24"/>
  <c r="AE6" i="24" s="1"/>
  <c r="Q7" i="24" s="1"/>
  <c r="J4" i="24"/>
  <c r="K4" i="24"/>
  <c r="I4" i="24"/>
  <c r="L4" i="24"/>
  <c r="M4" i="24" s="1"/>
  <c r="AP4" i="24"/>
  <c r="G4" i="24"/>
  <c r="AO4" i="24" s="1"/>
  <c r="AJ5" i="24" s="1"/>
  <c r="AD4" i="24"/>
  <c r="AE4" i="24" s="1"/>
  <c r="Q5" i="24" s="1"/>
  <c r="AU47" i="24"/>
  <c r="AV46" i="24"/>
  <c r="BI24" i="22"/>
  <c r="BI23" i="22"/>
  <c r="BI29" i="22" s="1"/>
  <c r="AN21" i="22"/>
  <c r="AO21" i="22" s="1"/>
  <c r="AN30" i="22"/>
  <c r="AO30" i="22" s="1"/>
  <c r="AG4" i="22" l="1"/>
  <c r="AV4" i="22"/>
  <c r="T5" i="22"/>
  <c r="L4" i="27"/>
  <c r="M4" i="27" s="1"/>
  <c r="BG68" i="27"/>
  <c r="BF69" i="27"/>
  <c r="AY4" i="27"/>
  <c r="AW4" i="27" s="1"/>
  <c r="AP5" i="27" s="1"/>
  <c r="O4" i="27"/>
  <c r="AL4" i="27"/>
  <c r="V5" i="27" s="1"/>
  <c r="T5" i="27"/>
  <c r="AG4" i="27"/>
  <c r="AF6" i="24"/>
  <c r="R7" i="24"/>
  <c r="S7" i="24"/>
  <c r="T7" i="24" s="1"/>
  <c r="X7" i="24"/>
  <c r="N4" i="24"/>
  <c r="O4" i="24" s="1"/>
  <c r="A5" i="24" s="1"/>
  <c r="AV47" i="24"/>
  <c r="AU48" i="24"/>
  <c r="X5" i="24"/>
  <c r="S5" i="24"/>
  <c r="T5" i="24" s="1"/>
  <c r="AF4" i="24"/>
  <c r="AK5" i="24"/>
  <c r="BI25" i="22"/>
  <c r="BI26" i="22" s="1"/>
  <c r="AN22" i="22"/>
  <c r="AO22" i="22" s="1"/>
  <c r="AN31" i="22"/>
  <c r="AO31" i="22" s="1"/>
  <c r="U5" i="27" l="1"/>
  <c r="W5" i="27"/>
  <c r="Y5" i="27"/>
  <c r="Z5" i="27" s="1"/>
  <c r="AX4" i="27"/>
  <c r="AU4" i="27"/>
  <c r="AQ5" i="27"/>
  <c r="AR5" i="27" s="1"/>
  <c r="BF70" i="27"/>
  <c r="BG69" i="27"/>
  <c r="S4" i="27"/>
  <c r="C5" i="27" s="1"/>
  <c r="A5" i="27"/>
  <c r="N4" i="27"/>
  <c r="U7" i="24"/>
  <c r="H5" i="24"/>
  <c r="B5" i="24"/>
  <c r="AR5" i="24"/>
  <c r="C5" i="24"/>
  <c r="D5" i="24" s="1"/>
  <c r="E5" i="24" s="1"/>
  <c r="P4" i="24"/>
  <c r="U5" i="24"/>
  <c r="AB5" i="24"/>
  <c r="V5" i="24"/>
  <c r="AU49" i="24"/>
  <c r="AV48" i="24"/>
  <c r="AN23" i="22"/>
  <c r="AO23" i="22" s="1"/>
  <c r="AN33" i="22"/>
  <c r="AO33" i="22" s="1"/>
  <c r="AN32" i="22"/>
  <c r="AO32" i="22" s="1"/>
  <c r="AN27" i="22"/>
  <c r="AO27" i="22" s="1"/>
  <c r="AN28" i="22"/>
  <c r="AO28" i="22" s="1"/>
  <c r="AB5" i="22" l="1"/>
  <c r="AA5" i="22"/>
  <c r="X5" i="22"/>
  <c r="AJ5" i="22" s="1"/>
  <c r="X5" i="27"/>
  <c r="AB5" i="27"/>
  <c r="AH5" i="27"/>
  <c r="AA5" i="27"/>
  <c r="AC5" i="27" s="1"/>
  <c r="AD5" i="27" s="1"/>
  <c r="BF71" i="27"/>
  <c r="BG70" i="27"/>
  <c r="D5" i="27"/>
  <c r="B5" i="27"/>
  <c r="F5" i="27"/>
  <c r="G5" i="27" s="1"/>
  <c r="F5" i="24"/>
  <c r="W5" i="24"/>
  <c r="AC5" i="24"/>
  <c r="AV49" i="24"/>
  <c r="AU50" i="24"/>
  <c r="AN24" i="22"/>
  <c r="AO24" i="22" s="1"/>
  <c r="AC5" i="22" l="1"/>
  <c r="AD5" i="22" s="1"/>
  <c r="AE5" i="27"/>
  <c r="AF5" i="27" s="1"/>
  <c r="AT5" i="27"/>
  <c r="AZ5" i="27"/>
  <c r="BF72" i="27"/>
  <c r="BG71" i="27"/>
  <c r="E5" i="27"/>
  <c r="I5" i="27"/>
  <c r="H5" i="27"/>
  <c r="AI5" i="27"/>
  <c r="AJ5" i="27"/>
  <c r="AP5" i="24"/>
  <c r="J5" i="24"/>
  <c r="K5" i="24"/>
  <c r="I5" i="24"/>
  <c r="G5" i="24"/>
  <c r="AQ5" i="24" s="1"/>
  <c r="AO5" i="24" s="1"/>
  <c r="AJ6" i="24" s="1"/>
  <c r="AK6" i="24" s="1"/>
  <c r="AU51" i="24"/>
  <c r="AV50" i="24"/>
  <c r="AD5" i="24"/>
  <c r="AE5" i="24" s="1"/>
  <c r="AN25" i="22"/>
  <c r="AO25" i="22" s="1"/>
  <c r="AN26" i="22"/>
  <c r="AO26" i="22" s="1"/>
  <c r="AE5" i="22" l="1"/>
  <c r="AF5" i="22" s="1"/>
  <c r="J5" i="27"/>
  <c r="K5" i="27" s="1"/>
  <c r="Q5" i="27"/>
  <c r="BA5" i="27" s="1"/>
  <c r="BF73" i="27"/>
  <c r="BG72" i="27"/>
  <c r="T6" i="27"/>
  <c r="AV5" i="27"/>
  <c r="AG5" i="27"/>
  <c r="L5" i="24"/>
  <c r="M5" i="24" s="1"/>
  <c r="N5" i="24" s="1"/>
  <c r="O5" i="24" s="1"/>
  <c r="A6" i="24" s="1"/>
  <c r="AF5" i="24"/>
  <c r="AU52" i="24"/>
  <c r="AV51" i="24"/>
  <c r="P5" i="24"/>
  <c r="BF63" i="22"/>
  <c r="BI56" i="22"/>
  <c r="B2" i="16"/>
  <c r="T6" i="22" l="1"/>
  <c r="Y6" i="22" s="1"/>
  <c r="V6" i="22"/>
  <c r="Q4" i="22"/>
  <c r="AG5" i="22"/>
  <c r="Y6" i="27"/>
  <c r="U6" i="27"/>
  <c r="BF74" i="27"/>
  <c r="BG74" i="27" s="1"/>
  <c r="BG73" i="27"/>
  <c r="R5" i="27"/>
  <c r="AK5" i="27"/>
  <c r="AL5" i="27" s="1"/>
  <c r="V6" i="27" s="1"/>
  <c r="W6" i="27" s="1"/>
  <c r="AS5" i="27"/>
  <c r="BB5" i="27" s="1"/>
  <c r="L5" i="27"/>
  <c r="M5" i="27" s="1"/>
  <c r="B6" i="24"/>
  <c r="AR6" i="24" s="1"/>
  <c r="C6" i="24"/>
  <c r="D6" i="24" s="1"/>
  <c r="H6" i="24"/>
  <c r="AU53" i="24"/>
  <c r="AV53" i="24" s="1"/>
  <c r="AV52" i="24"/>
  <c r="BF64" i="22"/>
  <c r="U6" i="22" l="1"/>
  <c r="X6" i="27"/>
  <c r="AB6" i="27"/>
  <c r="AA6" i="27"/>
  <c r="AC6" i="27" s="1"/>
  <c r="Z6" i="27"/>
  <c r="AD6" i="27" s="1"/>
  <c r="S5" i="27"/>
  <c r="C6" i="27" s="1"/>
  <c r="A6" i="27"/>
  <c r="P5" i="27"/>
  <c r="BC5" i="27"/>
  <c r="BD5" i="27"/>
  <c r="N5" i="27"/>
  <c r="E6" i="24"/>
  <c r="F6" i="24"/>
  <c r="AP6" i="24" s="1"/>
  <c r="BL56" i="22"/>
  <c r="BF3" i="22" s="1"/>
  <c r="BG62" i="22" s="1"/>
  <c r="BF65" i="22"/>
  <c r="B6" i="27" l="1"/>
  <c r="F6" i="27"/>
  <c r="D6" i="27"/>
  <c r="AY5" i="27"/>
  <c r="AW5" i="27" s="1"/>
  <c r="O5" i="27"/>
  <c r="G6" i="27"/>
  <c r="AE6" i="27"/>
  <c r="AF6" i="27" s="1"/>
  <c r="AJ6" i="27"/>
  <c r="J6" i="24"/>
  <c r="G6" i="24"/>
  <c r="K6" i="24"/>
  <c r="I6" i="24"/>
  <c r="AQ6" i="24"/>
  <c r="AO6" i="24" s="1"/>
  <c r="V7" i="24" s="1"/>
  <c r="BG65" i="22"/>
  <c r="BG64" i="22"/>
  <c r="BG63" i="22"/>
  <c r="BF66" i="22"/>
  <c r="BG66" i="22" s="1"/>
  <c r="AX5" i="27" l="1"/>
  <c r="AU5" i="27"/>
  <c r="T7" i="27"/>
  <c r="AG6" i="27"/>
  <c r="E6" i="27"/>
  <c r="H6" i="27"/>
  <c r="J6" i="27" s="1"/>
  <c r="K6" i="27" s="1"/>
  <c r="I6" i="27"/>
  <c r="AP6" i="27"/>
  <c r="AH6" i="27"/>
  <c r="AZ6" i="27"/>
  <c r="AT6" i="27"/>
  <c r="Z7" i="24"/>
  <c r="AB7" i="24" s="1"/>
  <c r="AA7" i="24"/>
  <c r="W7" i="24"/>
  <c r="Y7" i="24"/>
  <c r="AC7" i="24" s="1"/>
  <c r="L6" i="24"/>
  <c r="M6" i="24" s="1"/>
  <c r="AJ7" i="24"/>
  <c r="AK7" i="24" s="1"/>
  <c r="BF67" i="22"/>
  <c r="BG67" i="22" s="1"/>
  <c r="AZ4" i="22"/>
  <c r="AN4" i="22"/>
  <c r="AO4" i="22" s="1"/>
  <c r="AN5" i="22"/>
  <c r="K10" i="11"/>
  <c r="F10" i="11"/>
  <c r="L6" i="27" l="1"/>
  <c r="M6" i="27" s="1"/>
  <c r="AI6" i="27"/>
  <c r="AQ6" i="27"/>
  <c r="AR6" i="27" s="1"/>
  <c r="Q6" i="27"/>
  <c r="BA6" i="27" s="1"/>
  <c r="AV6" i="27"/>
  <c r="Y7" i="27"/>
  <c r="U7" i="27"/>
  <c r="AD7" i="24"/>
  <c r="AE7" i="24" s="1"/>
  <c r="Q8" i="24" s="1"/>
  <c r="N6" i="24"/>
  <c r="O6" i="24" s="1"/>
  <c r="A7" i="24" s="1"/>
  <c r="AP4" i="22"/>
  <c r="AQ4" i="22" s="1"/>
  <c r="AR4" i="22" s="1"/>
  <c r="BA4" i="22" s="1"/>
  <c r="AK4" i="22" s="1"/>
  <c r="AL4" i="22" s="1"/>
  <c r="BF68" i="22"/>
  <c r="BG68" i="22" s="1"/>
  <c r="AO5" i="22"/>
  <c r="AN6" i="22"/>
  <c r="AO6" i="22" s="1"/>
  <c r="H22" i="18"/>
  <c r="AS6" i="27" l="1"/>
  <c r="R6" i="27"/>
  <c r="AK6" i="27"/>
  <c r="AL6" i="27" s="1"/>
  <c r="V7" i="27" s="1"/>
  <c r="W7" i="27" s="1"/>
  <c r="S6" i="27"/>
  <c r="C7" i="27" s="1"/>
  <c r="A7" i="27"/>
  <c r="N6" i="27"/>
  <c r="AF7" i="24"/>
  <c r="X8" i="24"/>
  <c r="S8" i="24"/>
  <c r="T8" i="24" s="1"/>
  <c r="R8" i="24"/>
  <c r="P6" i="24"/>
  <c r="H7" i="24"/>
  <c r="C7" i="24"/>
  <c r="D7" i="24" s="1"/>
  <c r="B7" i="24"/>
  <c r="BF69" i="22"/>
  <c r="BG69" i="22" s="1"/>
  <c r="AN7" i="22"/>
  <c r="M4" i="18"/>
  <c r="X7" i="27" l="1"/>
  <c r="AB7" i="27"/>
  <c r="AA7" i="27"/>
  <c r="AC7" i="27" s="1"/>
  <c r="Z7" i="27"/>
  <c r="AD7" i="27" s="1"/>
  <c r="F7" i="27"/>
  <c r="G7" i="27" s="1"/>
  <c r="D7" i="27"/>
  <c r="B7" i="27"/>
  <c r="P6" i="27"/>
  <c r="BC6" i="27"/>
  <c r="BD6" i="27"/>
  <c r="BB6" i="27"/>
  <c r="U8" i="24"/>
  <c r="AR7" i="24"/>
  <c r="E7" i="24"/>
  <c r="F7" i="24"/>
  <c r="BF70" i="22"/>
  <c r="BG70" i="22" s="1"/>
  <c r="AO7" i="22"/>
  <c r="AN8" i="22"/>
  <c r="AD6" i="9"/>
  <c r="F3" i="15"/>
  <c r="G3" i="15" s="1"/>
  <c r="F2" i="17"/>
  <c r="G2" i="17" s="1"/>
  <c r="B4" i="1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C2" i="12"/>
  <c r="B2" i="12"/>
  <c r="AD19" i="9"/>
  <c r="Q3" i="21"/>
  <c r="O6" i="27" l="1"/>
  <c r="AY6" i="27"/>
  <c r="AW6" i="27" s="1"/>
  <c r="AE7" i="27"/>
  <c r="AF7" i="27" s="1"/>
  <c r="AZ7" i="27"/>
  <c r="AT7" i="27"/>
  <c r="E7" i="27"/>
  <c r="I7" i="27"/>
  <c r="H7" i="27"/>
  <c r="J7" i="27" s="1"/>
  <c r="K7" i="27" s="1"/>
  <c r="AJ7" i="27"/>
  <c r="K7" i="24"/>
  <c r="AP7" i="24"/>
  <c r="J7" i="24"/>
  <c r="G7" i="24"/>
  <c r="AQ7" i="24" s="1"/>
  <c r="AO7" i="24" s="1"/>
  <c r="V8" i="24" s="1"/>
  <c r="I7" i="24"/>
  <c r="BF71" i="22"/>
  <c r="BG71" i="22" s="1"/>
  <c r="AO8" i="22"/>
  <c r="AN9" i="22"/>
  <c r="G18" i="21"/>
  <c r="I18" i="21" s="1"/>
  <c r="G19" i="21"/>
  <c r="I19" i="21" s="1"/>
  <c r="E24" i="21"/>
  <c r="G24" i="21" s="1"/>
  <c r="I24" i="21" s="1"/>
  <c r="F24" i="21"/>
  <c r="E23" i="21"/>
  <c r="C23" i="21"/>
  <c r="D23" i="21" s="1"/>
  <c r="E22" i="21"/>
  <c r="G22" i="21" s="1"/>
  <c r="I22" i="21" s="1"/>
  <c r="C22" i="21"/>
  <c r="D22" i="21" s="1"/>
  <c r="F22" i="21"/>
  <c r="E21" i="21"/>
  <c r="H21" i="21"/>
  <c r="J21" i="21" s="1"/>
  <c r="E20" i="21"/>
  <c r="G20" i="21" s="1"/>
  <c r="I20" i="21" s="1"/>
  <c r="F20" i="21"/>
  <c r="E19" i="21"/>
  <c r="C19" i="21"/>
  <c r="D19" i="21" s="1"/>
  <c r="F19" i="21"/>
  <c r="E18" i="21"/>
  <c r="F18" i="21"/>
  <c r="H17" i="21"/>
  <c r="J17" i="21" s="1"/>
  <c r="E17" i="21"/>
  <c r="C17" i="21"/>
  <c r="D17" i="21" s="1"/>
  <c r="E16" i="21"/>
  <c r="G16" i="21" s="1"/>
  <c r="I16" i="21" s="1"/>
  <c r="F16" i="21"/>
  <c r="E15" i="21"/>
  <c r="G15" i="21" s="1"/>
  <c r="I15" i="21" s="1"/>
  <c r="F15" i="21"/>
  <c r="H14" i="21"/>
  <c r="J14" i="21" s="1"/>
  <c r="E14" i="21"/>
  <c r="G14" i="21" s="1"/>
  <c r="I14" i="21" s="1"/>
  <c r="F14" i="21"/>
  <c r="R3" i="21"/>
  <c r="E5" i="21"/>
  <c r="E6" i="21"/>
  <c r="E7" i="21"/>
  <c r="E8" i="21"/>
  <c r="E9" i="21"/>
  <c r="E10" i="21"/>
  <c r="E11" i="21"/>
  <c r="E12" i="21"/>
  <c r="E13" i="21"/>
  <c r="E3" i="21"/>
  <c r="E4" i="21"/>
  <c r="L7" i="27" l="1"/>
  <c r="M7" i="27" s="1"/>
  <c r="AG7" i="27"/>
  <c r="Q7" i="27"/>
  <c r="T8" i="27"/>
  <c r="AP7" i="27"/>
  <c r="AH7" i="27"/>
  <c r="AX6" i="27"/>
  <c r="AU6" i="27"/>
  <c r="AV7" i="27"/>
  <c r="W8" i="24"/>
  <c r="Z8" i="24"/>
  <c r="AA8" i="24"/>
  <c r="Y8" i="24"/>
  <c r="L7" i="24"/>
  <c r="M7" i="24"/>
  <c r="N7" i="24" s="1"/>
  <c r="O7" i="24" s="1"/>
  <c r="A8" i="24" s="1"/>
  <c r="B8" i="24" s="1"/>
  <c r="AJ8" i="24"/>
  <c r="AK8" i="24" s="1"/>
  <c r="BF72" i="22"/>
  <c r="BG72" i="22" s="1"/>
  <c r="AO9" i="22"/>
  <c r="AN10" i="22"/>
  <c r="H18" i="21"/>
  <c r="J18" i="21" s="1"/>
  <c r="H22" i="21"/>
  <c r="J22" i="21" s="1"/>
  <c r="C24" i="21"/>
  <c r="D24" i="21" s="1"/>
  <c r="C15" i="21"/>
  <c r="D15" i="21" s="1"/>
  <c r="C18" i="21"/>
  <c r="D18" i="21" s="1"/>
  <c r="C14" i="21"/>
  <c r="D14" i="21" s="1"/>
  <c r="H15" i="21"/>
  <c r="J15" i="21" s="1"/>
  <c r="C16" i="21"/>
  <c r="D16" i="21" s="1"/>
  <c r="F17" i="21"/>
  <c r="G17" i="21" s="1"/>
  <c r="I17" i="21" s="1"/>
  <c r="H19" i="21"/>
  <c r="J19" i="21" s="1"/>
  <c r="C20" i="21"/>
  <c r="D20" i="21" s="1"/>
  <c r="F21" i="21"/>
  <c r="G21" i="21" s="1"/>
  <c r="I21" i="21" s="1"/>
  <c r="H23" i="21"/>
  <c r="J23" i="21" s="1"/>
  <c r="H16" i="21"/>
  <c r="J16" i="21" s="1"/>
  <c r="H20" i="21"/>
  <c r="J20" i="21" s="1"/>
  <c r="C21" i="21"/>
  <c r="D21" i="21" s="1"/>
  <c r="H24" i="21"/>
  <c r="J24" i="21" s="1"/>
  <c r="F23" i="21"/>
  <c r="G23" i="21" s="1"/>
  <c r="I23" i="21" s="1"/>
  <c r="B13" i="21"/>
  <c r="B3" i="13"/>
  <c r="B12" i="21"/>
  <c r="B11" i="21"/>
  <c r="B10" i="21"/>
  <c r="B9" i="21"/>
  <c r="B8" i="21"/>
  <c r="B7" i="21"/>
  <c r="B6" i="21"/>
  <c r="B5" i="21"/>
  <c r="B4" i="21"/>
  <c r="B3" i="21"/>
  <c r="AI7" i="27" l="1"/>
  <c r="Y8" i="27"/>
  <c r="U8" i="27"/>
  <c r="A8" i="27"/>
  <c r="AQ7" i="27"/>
  <c r="AR7" i="27" s="1"/>
  <c r="BA7" i="27" s="1"/>
  <c r="N7" i="27"/>
  <c r="AR8" i="24"/>
  <c r="H8" i="24"/>
  <c r="AB8" i="24"/>
  <c r="AC8" i="24" s="1"/>
  <c r="P7" i="24"/>
  <c r="C8" i="24"/>
  <c r="D8" i="24" s="1"/>
  <c r="BF73" i="22"/>
  <c r="BG73" i="22" s="1"/>
  <c r="AO10" i="22"/>
  <c r="AN11" i="22"/>
  <c r="H7" i="21"/>
  <c r="J7" i="21" s="1"/>
  <c r="F7" i="21"/>
  <c r="G7" i="21" s="1"/>
  <c r="I7" i="21" s="1"/>
  <c r="F13" i="21"/>
  <c r="G13" i="21" s="1"/>
  <c r="I13" i="21" s="1"/>
  <c r="H13" i="21"/>
  <c r="J13" i="21" s="1"/>
  <c r="J9" i="21"/>
  <c r="F9" i="21"/>
  <c r="G9" i="21" s="1"/>
  <c r="I9" i="21" s="1"/>
  <c r="H9" i="21"/>
  <c r="C10" i="21"/>
  <c r="D10" i="21" s="1"/>
  <c r="F10" i="21"/>
  <c r="G10" i="21" s="1"/>
  <c r="I10" i="21" s="1"/>
  <c r="H10" i="21"/>
  <c r="J8" i="21"/>
  <c r="F8" i="21"/>
  <c r="G8" i="21" s="1"/>
  <c r="I8" i="21" s="1"/>
  <c r="H8" i="21"/>
  <c r="C3" i="21"/>
  <c r="D3" i="21" s="1"/>
  <c r="H3" i="21"/>
  <c r="F3" i="21"/>
  <c r="G3" i="21" s="1"/>
  <c r="I3" i="21" s="1"/>
  <c r="F11" i="21"/>
  <c r="G11" i="21" s="1"/>
  <c r="I11" i="21" s="1"/>
  <c r="H11" i="21"/>
  <c r="J11" i="21" s="1"/>
  <c r="H6" i="21"/>
  <c r="J6" i="21" s="1"/>
  <c r="F6" i="21"/>
  <c r="G6" i="21" s="1"/>
  <c r="I6" i="21" s="1"/>
  <c r="C4" i="21"/>
  <c r="D4" i="21" s="1"/>
  <c r="F4" i="21"/>
  <c r="G4" i="21" s="1"/>
  <c r="I4" i="21" s="1"/>
  <c r="H4" i="21"/>
  <c r="C12" i="21"/>
  <c r="D12" i="21" s="1"/>
  <c r="F12" i="21"/>
  <c r="G12" i="21" s="1"/>
  <c r="I12" i="21" s="1"/>
  <c r="H12" i="21"/>
  <c r="J12" i="21" s="1"/>
  <c r="H5" i="21"/>
  <c r="J5" i="21" s="1"/>
  <c r="F5" i="21"/>
  <c r="G5" i="21" s="1"/>
  <c r="I5" i="21" s="1"/>
  <c r="C9" i="21"/>
  <c r="D9" i="21" s="1"/>
  <c r="J4" i="21"/>
  <c r="C11" i="21"/>
  <c r="D11" i="21" s="1"/>
  <c r="J10" i="21"/>
  <c r="J3" i="21"/>
  <c r="C7" i="21"/>
  <c r="D7" i="21" s="1"/>
  <c r="C6" i="21"/>
  <c r="D6" i="21" s="1"/>
  <c r="C5" i="21"/>
  <c r="D5" i="21" s="1"/>
  <c r="C13" i="21"/>
  <c r="D13" i="21" s="1"/>
  <c r="C8" i="21"/>
  <c r="D8" i="21" s="1"/>
  <c r="F3" i="17"/>
  <c r="F4" i="17"/>
  <c r="F4" i="15"/>
  <c r="G4" i="15" s="1"/>
  <c r="C4" i="14"/>
  <c r="AS7" i="27" l="1"/>
  <c r="R7" i="27"/>
  <c r="AK7" i="27"/>
  <c r="AL7" i="27" s="1"/>
  <c r="V8" i="27" s="1"/>
  <c r="W8" i="27" s="1"/>
  <c r="B8" i="27"/>
  <c r="F8" i="27"/>
  <c r="AF8" i="24"/>
  <c r="AD8" i="24"/>
  <c r="AE8" i="24" s="1"/>
  <c r="Q9" i="24" s="1"/>
  <c r="F8" i="24"/>
  <c r="E8" i="24"/>
  <c r="BF74" i="22"/>
  <c r="BG74" i="22" s="1"/>
  <c r="AO11" i="22"/>
  <c r="AN12" i="22"/>
  <c r="G3" i="19"/>
  <c r="X8" i="27" l="1"/>
  <c r="AB8" i="27"/>
  <c r="AA8" i="27"/>
  <c r="Z8" i="27"/>
  <c r="AT8" i="27"/>
  <c r="AZ8" i="27"/>
  <c r="P7" i="27"/>
  <c r="BC7" i="27"/>
  <c r="BD7" i="27"/>
  <c r="S7" i="27"/>
  <c r="C8" i="27" s="1"/>
  <c r="D8" i="27" s="1"/>
  <c r="BB7" i="27"/>
  <c r="R9" i="24"/>
  <c r="S9" i="24"/>
  <c r="T9" i="24"/>
  <c r="X9" i="24"/>
  <c r="I8" i="24"/>
  <c r="G8" i="24"/>
  <c r="AQ8" i="24" s="1"/>
  <c r="AO8" i="24" s="1"/>
  <c r="AP8" i="24"/>
  <c r="J8" i="24"/>
  <c r="K8" i="24"/>
  <c r="AO12" i="22"/>
  <c r="AN13" i="22"/>
  <c r="B7" i="19"/>
  <c r="B3" i="19"/>
  <c r="G8" i="19"/>
  <c r="B6" i="19"/>
  <c r="B5" i="19"/>
  <c r="B4" i="19"/>
  <c r="AY7" i="27" l="1"/>
  <c r="AW7" i="27" s="1"/>
  <c r="O7" i="27"/>
  <c r="AC8" i="27"/>
  <c r="AJ8" i="27"/>
  <c r="AD8" i="27"/>
  <c r="E8" i="27"/>
  <c r="H8" i="27"/>
  <c r="I8" i="27"/>
  <c r="G8" i="27"/>
  <c r="U9" i="24"/>
  <c r="V9" i="24"/>
  <c r="AJ9" i="24"/>
  <c r="AK9" i="24" s="1"/>
  <c r="L8" i="24"/>
  <c r="M8" i="24" s="1"/>
  <c r="N8" i="24" s="1"/>
  <c r="O8" i="24" s="1"/>
  <c r="A9" i="24" s="1"/>
  <c r="B9" i="24" s="1"/>
  <c r="AO13" i="22"/>
  <c r="AN14" i="22"/>
  <c r="G4" i="14"/>
  <c r="G7" i="14"/>
  <c r="G8" i="14"/>
  <c r="G9" i="14"/>
  <c r="G10" i="14"/>
  <c r="G22" i="14" s="1"/>
  <c r="G11" i="14"/>
  <c r="G12" i="14"/>
  <c r="G13" i="14"/>
  <c r="G14" i="14"/>
  <c r="G15" i="14"/>
  <c r="G16" i="14"/>
  <c r="G17" i="14"/>
  <c r="G18" i="14"/>
  <c r="G19" i="14"/>
  <c r="G20" i="14"/>
  <c r="G21" i="14"/>
  <c r="C21" i="14"/>
  <c r="D21" i="14"/>
  <c r="E21" i="14"/>
  <c r="F21" i="14"/>
  <c r="C20" i="14"/>
  <c r="D20" i="14"/>
  <c r="E20" i="14"/>
  <c r="F20" i="14"/>
  <c r="C19" i="14"/>
  <c r="D19" i="14"/>
  <c r="E19" i="14"/>
  <c r="F19" i="14"/>
  <c r="C18" i="14"/>
  <c r="D18" i="14"/>
  <c r="E18" i="14"/>
  <c r="F18" i="14"/>
  <c r="Q8" i="27" l="1"/>
  <c r="AE8" i="27"/>
  <c r="AF8" i="27" s="1"/>
  <c r="J8" i="27"/>
  <c r="K8" i="27" s="1"/>
  <c r="AX7" i="27"/>
  <c r="AU7" i="27"/>
  <c r="AV8" i="27"/>
  <c r="AP8" i="27"/>
  <c r="AH8" i="27"/>
  <c r="AA9" i="24"/>
  <c r="W9" i="24"/>
  <c r="Z9" i="24"/>
  <c r="Y9" i="24"/>
  <c r="C9" i="24"/>
  <c r="D9" i="24" s="1"/>
  <c r="H9" i="24"/>
  <c r="P8" i="24"/>
  <c r="AR9" i="24"/>
  <c r="AO14" i="22"/>
  <c r="AN15" i="22"/>
  <c r="AB20" i="3"/>
  <c r="AB19" i="3"/>
  <c r="L8" i="27" l="1"/>
  <c r="M8" i="27" s="1"/>
  <c r="N8" i="27"/>
  <c r="AI8" i="27"/>
  <c r="AQ8" i="27"/>
  <c r="AR8" i="27" s="1"/>
  <c r="AG8" i="27"/>
  <c r="T9" i="27"/>
  <c r="BA8" i="27"/>
  <c r="E9" i="24"/>
  <c r="F9" i="24"/>
  <c r="AB9" i="24"/>
  <c r="AC9" i="24"/>
  <c r="G9" i="24"/>
  <c r="AQ9" i="24" s="1"/>
  <c r="AO9" i="24" s="1"/>
  <c r="AJ10" i="24" s="1"/>
  <c r="AK10" i="24" s="1"/>
  <c r="J9" i="24"/>
  <c r="K9" i="24"/>
  <c r="AP9" i="24"/>
  <c r="I9" i="24"/>
  <c r="AO15" i="22"/>
  <c r="AN16" i="22"/>
  <c r="L5" i="18"/>
  <c r="L6" i="18" s="1"/>
  <c r="L7" i="18" s="1"/>
  <c r="L8" i="18" s="1"/>
  <c r="L9" i="18" s="1"/>
  <c r="AK8" i="27" l="1"/>
  <c r="AL8" i="27" s="1"/>
  <c r="V9" i="27" s="1"/>
  <c r="AS8" i="27"/>
  <c r="BB8" i="27" s="1"/>
  <c r="R8" i="27"/>
  <c r="Y9" i="27"/>
  <c r="Z9" i="27" s="1"/>
  <c r="W9" i="27"/>
  <c r="U9" i="27"/>
  <c r="A9" i="27"/>
  <c r="S8" i="27"/>
  <c r="C9" i="27" s="1"/>
  <c r="AD9" i="24"/>
  <c r="AE9" i="24" s="1"/>
  <c r="Q10" i="24" s="1"/>
  <c r="L9" i="24"/>
  <c r="M9" i="24" s="1"/>
  <c r="AO16" i="22"/>
  <c r="AN17" i="22"/>
  <c r="L10" i="18"/>
  <c r="M9" i="18"/>
  <c r="D9" i="27" l="1"/>
  <c r="B9" i="27"/>
  <c r="F9" i="27"/>
  <c r="G9" i="27" s="1"/>
  <c r="P8" i="27"/>
  <c r="BC8" i="27"/>
  <c r="BD8" i="27"/>
  <c r="X9" i="27"/>
  <c r="AB9" i="27"/>
  <c r="AA9" i="27"/>
  <c r="AC9" i="27" s="1"/>
  <c r="AD9" i="27" s="1"/>
  <c r="AF9" i="24"/>
  <c r="X10" i="24"/>
  <c r="R10" i="24"/>
  <c r="S10" i="24"/>
  <c r="T10" i="24"/>
  <c r="N9" i="24"/>
  <c r="O9" i="24" s="1"/>
  <c r="A10" i="24" s="1"/>
  <c r="AO17" i="22"/>
  <c r="AN19" i="22"/>
  <c r="AN18" i="22"/>
  <c r="L11" i="18"/>
  <c r="M10" i="18"/>
  <c r="M5" i="18"/>
  <c r="AE9" i="27" l="1"/>
  <c r="AF9" i="27" s="1"/>
  <c r="AG9" i="27"/>
  <c r="AJ9" i="27"/>
  <c r="O8" i="27"/>
  <c r="AY8" i="27"/>
  <c r="AW8" i="27" s="1"/>
  <c r="AZ9" i="27"/>
  <c r="AT9" i="27"/>
  <c r="E9" i="27"/>
  <c r="I9" i="27"/>
  <c r="H9" i="27"/>
  <c r="U10" i="24"/>
  <c r="V10" i="24"/>
  <c r="P9" i="24"/>
  <c r="H10" i="24"/>
  <c r="B10" i="24"/>
  <c r="C10" i="24"/>
  <c r="D10" i="24" s="1"/>
  <c r="AO18" i="22"/>
  <c r="AO19" i="22"/>
  <c r="L12" i="18"/>
  <c r="M11" i="18"/>
  <c r="M6" i="18"/>
  <c r="B5" i="18"/>
  <c r="B4" i="18"/>
  <c r="A6" i="18"/>
  <c r="A7" i="18" s="1"/>
  <c r="B7" i="18" s="1"/>
  <c r="A5" i="18"/>
  <c r="Q9" i="27" l="1"/>
  <c r="AV9" i="27"/>
  <c r="AP9" i="27"/>
  <c r="AH9" i="27"/>
  <c r="AX8" i="27"/>
  <c r="AU8" i="27"/>
  <c r="J9" i="27"/>
  <c r="K9" i="27" s="1"/>
  <c r="T10" i="27"/>
  <c r="Z10" i="24"/>
  <c r="AA10" i="24"/>
  <c r="W10" i="24"/>
  <c r="Y10" i="24"/>
  <c r="E10" i="24"/>
  <c r="F10" i="24"/>
  <c r="AR10" i="24"/>
  <c r="B6" i="18"/>
  <c r="L13" i="18"/>
  <c r="M12" i="18"/>
  <c r="M7" i="18"/>
  <c r="M8" i="18"/>
  <c r="A8" i="18"/>
  <c r="B8" i="18" s="1"/>
  <c r="U10" i="27" l="1"/>
  <c r="Y10" i="27"/>
  <c r="AI9" i="27"/>
  <c r="AQ9" i="27"/>
  <c r="AR9" i="27" s="1"/>
  <c r="L9" i="27"/>
  <c r="M9" i="27" s="1"/>
  <c r="BA9" i="27"/>
  <c r="AB10" i="24"/>
  <c r="AC10" i="24" s="1"/>
  <c r="J10" i="24"/>
  <c r="K10" i="24"/>
  <c r="G10" i="24"/>
  <c r="AQ10" i="24" s="1"/>
  <c r="AO10" i="24" s="1"/>
  <c r="AP10" i="24"/>
  <c r="I10" i="24"/>
  <c r="L14" i="18"/>
  <c r="M13" i="18"/>
  <c r="A9" i="18"/>
  <c r="B9" i="18" s="1"/>
  <c r="R9" i="27" l="1"/>
  <c r="AK9" i="27"/>
  <c r="AL9" i="27" s="1"/>
  <c r="V10" i="27" s="1"/>
  <c r="W10" i="27" s="1"/>
  <c r="AS9" i="27"/>
  <c r="BB9" i="27" s="1"/>
  <c r="N9" i="27"/>
  <c r="A10" i="27"/>
  <c r="S9" i="27"/>
  <c r="C10" i="27" s="1"/>
  <c r="Z10" i="27"/>
  <c r="AD10" i="24"/>
  <c r="AE10" i="24" s="1"/>
  <c r="Q11" i="24" s="1"/>
  <c r="AF10" i="24"/>
  <c r="AJ11" i="24"/>
  <c r="AK11" i="24" s="1"/>
  <c r="L10" i="24"/>
  <c r="M10" i="24" s="1"/>
  <c r="L15" i="18"/>
  <c r="M14" i="18"/>
  <c r="A10" i="18"/>
  <c r="B10" i="18" s="1"/>
  <c r="F10" i="27" l="1"/>
  <c r="D10" i="27"/>
  <c r="B10" i="27"/>
  <c r="G10" i="27"/>
  <c r="X10" i="27"/>
  <c r="AB10" i="27"/>
  <c r="AA10" i="27"/>
  <c r="AC10" i="27" s="1"/>
  <c r="AD10" i="27" s="1"/>
  <c r="P9" i="27"/>
  <c r="BC9" i="27"/>
  <c r="BD9" i="27"/>
  <c r="X11" i="24"/>
  <c r="R11" i="24"/>
  <c r="S11" i="24"/>
  <c r="T11" i="24" s="1"/>
  <c r="N10" i="24"/>
  <c r="O10" i="24" s="1"/>
  <c r="A11" i="24" s="1"/>
  <c r="L16" i="18"/>
  <c r="M15" i="18"/>
  <c r="A11" i="18"/>
  <c r="B11" i="18" s="1"/>
  <c r="AE10" i="27" l="1"/>
  <c r="AF10" i="27" s="1"/>
  <c r="O9" i="27"/>
  <c r="AY9" i="27"/>
  <c r="AW9" i="27" s="1"/>
  <c r="AJ10" i="27"/>
  <c r="AT10" i="27"/>
  <c r="AZ10" i="27"/>
  <c r="E10" i="27"/>
  <c r="H10" i="27"/>
  <c r="I10" i="27"/>
  <c r="U11" i="24"/>
  <c r="V11" i="24"/>
  <c r="P10" i="24"/>
  <c r="H11" i="24"/>
  <c r="B11" i="24"/>
  <c r="C11" i="24"/>
  <c r="D11" i="24" s="1"/>
  <c r="L17" i="18"/>
  <c r="M16" i="18"/>
  <c r="A12" i="18"/>
  <c r="B12" i="18" s="1"/>
  <c r="C7" i="14"/>
  <c r="Q10" i="27" l="1"/>
  <c r="AV10" i="27"/>
  <c r="J10" i="27"/>
  <c r="K10" i="27" s="1"/>
  <c r="AX9" i="27"/>
  <c r="AU9" i="27"/>
  <c r="AP10" i="27"/>
  <c r="AH10" i="27"/>
  <c r="T11" i="27"/>
  <c r="AG10" i="27"/>
  <c r="W11" i="24"/>
  <c r="Z11" i="24"/>
  <c r="AA11" i="24"/>
  <c r="Y11" i="24"/>
  <c r="E11" i="24"/>
  <c r="F11" i="24"/>
  <c r="I11" i="24" s="1"/>
  <c r="AR11" i="24"/>
  <c r="L18" i="18"/>
  <c r="M17" i="18"/>
  <c r="A13" i="18"/>
  <c r="B13" i="18" s="1"/>
  <c r="Y11" i="27" l="1"/>
  <c r="U11" i="27"/>
  <c r="AI10" i="27"/>
  <c r="L10" i="27"/>
  <c r="M10" i="27" s="1"/>
  <c r="AQ10" i="27"/>
  <c r="AR10" i="27" s="1"/>
  <c r="BA10" i="27" s="1"/>
  <c r="AB11" i="24"/>
  <c r="AC11" i="24" s="1"/>
  <c r="G11" i="24"/>
  <c r="AQ11" i="24" s="1"/>
  <c r="AO11" i="24" s="1"/>
  <c r="J11" i="24"/>
  <c r="K11" i="24"/>
  <c r="AP11" i="24"/>
  <c r="L19" i="18"/>
  <c r="M18" i="18"/>
  <c r="A14" i="18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D8" i="14"/>
  <c r="D9" i="14"/>
  <c r="D10" i="14"/>
  <c r="D22" i="14" s="1"/>
  <c r="D11" i="14"/>
  <c r="D12" i="14"/>
  <c r="D13" i="14"/>
  <c r="D14" i="14"/>
  <c r="D15" i="14"/>
  <c r="D16" i="14"/>
  <c r="D17" i="14"/>
  <c r="D7" i="14"/>
  <c r="E4" i="14"/>
  <c r="F4" i="14"/>
  <c r="D4" i="14"/>
  <c r="AS10" i="27" l="1"/>
  <c r="R10" i="27"/>
  <c r="AK10" i="27"/>
  <c r="AL10" i="27" s="1"/>
  <c r="V11" i="27" s="1"/>
  <c r="W11" i="27" s="1"/>
  <c r="N10" i="27"/>
  <c r="A11" i="27"/>
  <c r="S10" i="27"/>
  <c r="C11" i="27" s="1"/>
  <c r="AD11" i="24"/>
  <c r="AE11" i="24" s="1"/>
  <c r="Q12" i="24" s="1"/>
  <c r="AJ12" i="24"/>
  <c r="AK12" i="24" s="1"/>
  <c r="L11" i="24"/>
  <c r="M11" i="24" s="1"/>
  <c r="F22" i="14"/>
  <c r="A15" i="18"/>
  <c r="B15" i="18" s="1"/>
  <c r="B14" i="18"/>
  <c r="L20" i="18"/>
  <c r="M19" i="18"/>
  <c r="E22" i="14"/>
  <c r="X11" i="27" l="1"/>
  <c r="AB11" i="27"/>
  <c r="AA11" i="27"/>
  <c r="AC11" i="27" s="1"/>
  <c r="D11" i="27"/>
  <c r="B11" i="27"/>
  <c r="F11" i="27"/>
  <c r="P10" i="27"/>
  <c r="BC10" i="27"/>
  <c r="BD10" i="27"/>
  <c r="G11" i="27"/>
  <c r="Z11" i="27"/>
  <c r="BB10" i="27"/>
  <c r="R12" i="24"/>
  <c r="S12" i="24"/>
  <c r="T12" i="24"/>
  <c r="X12" i="24"/>
  <c r="AF11" i="24"/>
  <c r="N11" i="24"/>
  <c r="O11" i="24" s="1"/>
  <c r="A12" i="24" s="1"/>
  <c r="L21" i="18"/>
  <c r="M20" i="18"/>
  <c r="A16" i="18"/>
  <c r="B16" i="18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G3" i="17"/>
  <c r="G4" i="17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O10" i="27" l="1"/>
  <c r="AY10" i="27"/>
  <c r="AW10" i="27" s="1"/>
  <c r="AZ11" i="27"/>
  <c r="AT11" i="27"/>
  <c r="E11" i="27"/>
  <c r="I11" i="27"/>
  <c r="H11" i="27"/>
  <c r="J11" i="27" s="1"/>
  <c r="K11" i="27" s="1"/>
  <c r="AD11" i="27"/>
  <c r="AJ11" i="27"/>
  <c r="AV11" i="27"/>
  <c r="U12" i="24"/>
  <c r="V12" i="24"/>
  <c r="B12" i="24"/>
  <c r="C12" i="24"/>
  <c r="D12" i="24" s="1"/>
  <c r="H12" i="24"/>
  <c r="P11" i="24"/>
  <c r="L22" i="18"/>
  <c r="M21" i="18"/>
  <c r="A17" i="18"/>
  <c r="L11" i="27" l="1"/>
  <c r="M11" i="27" s="1"/>
  <c r="AE11" i="27"/>
  <c r="AF11" i="27" s="1"/>
  <c r="Q11" i="27"/>
  <c r="AP11" i="27"/>
  <c r="AH11" i="27"/>
  <c r="AX10" i="27"/>
  <c r="AU10" i="27"/>
  <c r="W12" i="24"/>
  <c r="Z12" i="24"/>
  <c r="AA12" i="24"/>
  <c r="Y12" i="24"/>
  <c r="E12" i="24"/>
  <c r="F12" i="24"/>
  <c r="I12" i="24" s="1"/>
  <c r="AR12" i="24"/>
  <c r="M22" i="18"/>
  <c r="L23" i="18"/>
  <c r="A18" i="18"/>
  <c r="B17" i="18"/>
  <c r="C17" i="14"/>
  <c r="B3" i="16"/>
  <c r="C16" i="14"/>
  <c r="C15" i="14"/>
  <c r="C14" i="14"/>
  <c r="C13" i="14"/>
  <c r="C12" i="14"/>
  <c r="C11" i="14"/>
  <c r="C10" i="14"/>
  <c r="C9" i="14"/>
  <c r="C8" i="14"/>
  <c r="L4" i="8"/>
  <c r="L5" i="8"/>
  <c r="L7" i="8"/>
  <c r="L8" i="8"/>
  <c r="L12" i="8"/>
  <c r="L13" i="8"/>
  <c r="L15" i="8"/>
  <c r="L16" i="8"/>
  <c r="H3" i="8"/>
  <c r="L3" i="8" s="1"/>
  <c r="H4" i="8"/>
  <c r="H5" i="8"/>
  <c r="H6" i="8"/>
  <c r="L6" i="8" s="1"/>
  <c r="H7" i="8"/>
  <c r="H8" i="8"/>
  <c r="H9" i="8"/>
  <c r="L9" i="8" s="1"/>
  <c r="H10" i="8"/>
  <c r="L10" i="8" s="1"/>
  <c r="H11" i="8"/>
  <c r="L11" i="8" s="1"/>
  <c r="H12" i="8"/>
  <c r="H13" i="8"/>
  <c r="H14" i="8"/>
  <c r="L14" i="8" s="1"/>
  <c r="H15" i="8"/>
  <c r="H16" i="8"/>
  <c r="H2" i="8"/>
  <c r="L2" i="8" s="1"/>
  <c r="B4" i="13"/>
  <c r="B5" i="13"/>
  <c r="B6" i="13"/>
  <c r="B7" i="13"/>
  <c r="B8" i="13"/>
  <c r="B9" i="13"/>
  <c r="B10" i="13"/>
  <c r="B11" i="13"/>
  <c r="B12" i="13"/>
  <c r="B2" i="13"/>
  <c r="A13" i="13"/>
  <c r="B13" i="13" s="1"/>
  <c r="B7" i="11"/>
  <c r="G11" i="11" s="1"/>
  <c r="E19" i="11"/>
  <c r="D19" i="11"/>
  <c r="A19" i="11"/>
  <c r="C19" i="11" s="1"/>
  <c r="E18" i="11"/>
  <c r="D18" i="11"/>
  <c r="A18" i="11"/>
  <c r="C18" i="11"/>
  <c r="E17" i="11"/>
  <c r="D17" i="11"/>
  <c r="A17" i="11"/>
  <c r="H17" i="11" s="1"/>
  <c r="E16" i="11"/>
  <c r="D16" i="11"/>
  <c r="A16" i="11"/>
  <c r="C16" i="11" s="1"/>
  <c r="E15" i="11"/>
  <c r="D15" i="11"/>
  <c r="A15" i="11"/>
  <c r="C15" i="11" s="1"/>
  <c r="H15" i="11"/>
  <c r="E14" i="11"/>
  <c r="D14" i="11"/>
  <c r="A14" i="11"/>
  <c r="H14" i="11" s="1"/>
  <c r="E13" i="11"/>
  <c r="D13" i="11"/>
  <c r="A13" i="11"/>
  <c r="H13" i="11" s="1"/>
  <c r="E12" i="11"/>
  <c r="D12" i="11"/>
  <c r="A12" i="11"/>
  <c r="C12" i="11" s="1"/>
  <c r="E11" i="11"/>
  <c r="D11" i="11"/>
  <c r="A11" i="11"/>
  <c r="C11" i="11" s="1"/>
  <c r="E10" i="11"/>
  <c r="D10" i="11"/>
  <c r="A10" i="11"/>
  <c r="C10" i="11" s="1"/>
  <c r="I18" i="11"/>
  <c r="L18" i="11"/>
  <c r="H10" i="11"/>
  <c r="H18" i="11"/>
  <c r="C13" i="11"/>
  <c r="I13" i="11" s="1"/>
  <c r="C17" i="11"/>
  <c r="I17" i="11" s="1"/>
  <c r="M2" i="8"/>
  <c r="S11" i="8"/>
  <c r="AB11" i="3"/>
  <c r="S13" i="9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6" i="9"/>
  <c r="AD24" i="9"/>
  <c r="H13" i="9"/>
  <c r="F13" i="9"/>
  <c r="E13" i="9"/>
  <c r="D13" i="9"/>
  <c r="H12" i="9"/>
  <c r="D12" i="9"/>
  <c r="S12" i="9" s="1"/>
  <c r="F12" i="9"/>
  <c r="H11" i="9"/>
  <c r="D11" i="9"/>
  <c r="AD10" i="9"/>
  <c r="H10" i="9"/>
  <c r="D10" i="9"/>
  <c r="S10" i="9" s="1"/>
  <c r="H9" i="9"/>
  <c r="F9" i="9"/>
  <c r="D9" i="9"/>
  <c r="S9" i="9" s="1"/>
  <c r="E9" i="9"/>
  <c r="G9" i="9" s="1"/>
  <c r="I9" i="9" s="1"/>
  <c r="H8" i="9"/>
  <c r="I8" i="9" s="1"/>
  <c r="D8" i="9"/>
  <c r="S8" i="9" s="1"/>
  <c r="H7" i="9"/>
  <c r="D7" i="9"/>
  <c r="S7" i="9" s="1"/>
  <c r="F7" i="9"/>
  <c r="AD7" i="9"/>
  <c r="H6" i="9"/>
  <c r="D6" i="9"/>
  <c r="H5" i="9"/>
  <c r="D5" i="9"/>
  <c r="E5" i="9" s="1"/>
  <c r="F5" i="9"/>
  <c r="H4" i="9"/>
  <c r="D4" i="9"/>
  <c r="S4" i="9" s="1"/>
  <c r="F4" i="9"/>
  <c r="H3" i="9"/>
  <c r="D3" i="9"/>
  <c r="F3" i="9" s="1"/>
  <c r="Q2" i="9"/>
  <c r="H2" i="9"/>
  <c r="D2" i="9"/>
  <c r="S2" i="9" s="1"/>
  <c r="E2" i="9"/>
  <c r="G2" i="9" s="1"/>
  <c r="E4" i="9"/>
  <c r="G4" i="9" s="1"/>
  <c r="I4" i="9" s="1"/>
  <c r="M21" i="9"/>
  <c r="F10" i="9"/>
  <c r="E10" i="9"/>
  <c r="J10" i="9" s="1"/>
  <c r="K9" i="9"/>
  <c r="F8" i="9"/>
  <c r="E8" i="9"/>
  <c r="J9" i="9"/>
  <c r="M24" i="9"/>
  <c r="M31" i="9"/>
  <c r="M27" i="9"/>
  <c r="G28" i="9"/>
  <c r="I28" i="9"/>
  <c r="E7" i="9"/>
  <c r="J26" i="9" s="1"/>
  <c r="E12" i="9"/>
  <c r="J31" i="9" s="1"/>
  <c r="J27" i="9"/>
  <c r="J28" i="9"/>
  <c r="L9" i="9"/>
  <c r="N9" i="9" s="1"/>
  <c r="J7" i="9"/>
  <c r="G7" i="9"/>
  <c r="I7" i="9" s="1"/>
  <c r="K7" i="9"/>
  <c r="G26" i="9"/>
  <c r="I26" i="9"/>
  <c r="K8" i="9"/>
  <c r="G8" i="9"/>
  <c r="J8" i="9"/>
  <c r="G27" i="9"/>
  <c r="I27" i="9"/>
  <c r="K12" i="9"/>
  <c r="G31" i="9"/>
  <c r="I31" i="9" s="1"/>
  <c r="L31" i="9" s="1"/>
  <c r="G12" i="9"/>
  <c r="I12" i="9"/>
  <c r="J5" i="9"/>
  <c r="G10" i="9"/>
  <c r="I10" i="9"/>
  <c r="G29" i="9"/>
  <c r="I29" i="9"/>
  <c r="X29" i="9" s="1"/>
  <c r="L26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D3" i="8" s="1"/>
  <c r="F3" i="8" s="1"/>
  <c r="B4" i="8"/>
  <c r="C4" i="8" s="1"/>
  <c r="B5" i="8"/>
  <c r="C5" i="8" s="1"/>
  <c r="E5" i="8"/>
  <c r="B6" i="8"/>
  <c r="B7" i="8"/>
  <c r="D7" i="8" s="1"/>
  <c r="F7" i="8" s="1"/>
  <c r="B8" i="8"/>
  <c r="D8" i="8"/>
  <c r="F8" i="8" s="1"/>
  <c r="G8" i="8" s="1"/>
  <c r="B9" i="8"/>
  <c r="C9" i="8"/>
  <c r="E9" i="8"/>
  <c r="B10" i="8"/>
  <c r="D10" i="8"/>
  <c r="F10" i="8" s="1"/>
  <c r="G10" i="8" s="1"/>
  <c r="I10" i="8" s="1"/>
  <c r="J10" i="8" s="1"/>
  <c r="B11" i="8"/>
  <c r="D11" i="8" s="1"/>
  <c r="C11" i="8"/>
  <c r="E11" i="8" s="1"/>
  <c r="B12" i="8"/>
  <c r="D12" i="8"/>
  <c r="F12" i="8" s="1"/>
  <c r="B13" i="8"/>
  <c r="D13" i="8" s="1"/>
  <c r="B14" i="8"/>
  <c r="D14" i="8" s="1"/>
  <c r="F14" i="8"/>
  <c r="B15" i="8"/>
  <c r="D15" i="8" s="1"/>
  <c r="F15" i="8" s="1"/>
  <c r="B16" i="8"/>
  <c r="D16" i="8"/>
  <c r="F16" i="8"/>
  <c r="B2" i="8"/>
  <c r="D2" i="8"/>
  <c r="F2" i="8" s="1"/>
  <c r="C2" i="8"/>
  <c r="E2" i="8" s="1"/>
  <c r="D5" i="8"/>
  <c r="F5" i="8" s="1"/>
  <c r="G5" i="8" s="1"/>
  <c r="F11" i="8"/>
  <c r="D9" i="8"/>
  <c r="F9" i="8" s="1"/>
  <c r="C10" i="8"/>
  <c r="E10" i="8"/>
  <c r="F13" i="8"/>
  <c r="C15" i="8"/>
  <c r="E15" i="8" s="1"/>
  <c r="C16" i="8"/>
  <c r="E16" i="8" s="1"/>
  <c r="C12" i="8"/>
  <c r="E12" i="8" s="1"/>
  <c r="C8" i="8"/>
  <c r="E8" i="8"/>
  <c r="E4" i="8"/>
  <c r="G3" i="3"/>
  <c r="G4" i="3"/>
  <c r="G5" i="3"/>
  <c r="G6" i="3"/>
  <c r="G7" i="3"/>
  <c r="G8" i="3"/>
  <c r="G9" i="3"/>
  <c r="G10" i="3"/>
  <c r="G11" i="3"/>
  <c r="G12" i="3"/>
  <c r="G13" i="3"/>
  <c r="G2" i="3"/>
  <c r="C11" i="3"/>
  <c r="E11" i="3" s="1"/>
  <c r="D11" i="3"/>
  <c r="C12" i="3"/>
  <c r="D12" i="3"/>
  <c r="C13" i="3"/>
  <c r="C3" i="3"/>
  <c r="C4" i="3"/>
  <c r="C5" i="3"/>
  <c r="C6" i="3"/>
  <c r="C7" i="3"/>
  <c r="D7" i="3" s="1"/>
  <c r="C8" i="3"/>
  <c r="E8" i="3" s="1"/>
  <c r="C9" i="3"/>
  <c r="C10" i="3"/>
  <c r="E10" i="3"/>
  <c r="C2" i="3"/>
  <c r="D2" i="3"/>
  <c r="F2" i="3" s="1"/>
  <c r="H2" i="3" s="1"/>
  <c r="AB7" i="3"/>
  <c r="D8" i="3"/>
  <c r="R8" i="3" s="1"/>
  <c r="S8" i="3" s="1"/>
  <c r="E2" i="3"/>
  <c r="D10" i="3"/>
  <c r="R10" i="3"/>
  <c r="E9" i="3"/>
  <c r="F12" i="3"/>
  <c r="H12" i="3" s="1"/>
  <c r="D9" i="3"/>
  <c r="R9" i="3"/>
  <c r="S9" i="3" s="1"/>
  <c r="F11" i="3"/>
  <c r="H11" i="3" s="1"/>
  <c r="E12" i="3"/>
  <c r="F9" i="3"/>
  <c r="H9" i="3"/>
  <c r="X9" i="3" s="1"/>
  <c r="X9" i="9" l="1"/>
  <c r="AI11" i="27"/>
  <c r="K2" i="9"/>
  <c r="AQ11" i="27"/>
  <c r="AR11" i="27" s="1"/>
  <c r="BA11" i="27" s="1"/>
  <c r="T12" i="27"/>
  <c r="AG11" i="27"/>
  <c r="A12" i="27"/>
  <c r="N11" i="27"/>
  <c r="AB12" i="24"/>
  <c r="AC12" i="24" s="1"/>
  <c r="G12" i="24"/>
  <c r="AQ12" i="24" s="1"/>
  <c r="AO12" i="24" s="1"/>
  <c r="J12" i="24"/>
  <c r="K12" i="24"/>
  <c r="AP12" i="24"/>
  <c r="T22" i="9"/>
  <c r="B4" i="16"/>
  <c r="C4" i="16" s="1"/>
  <c r="C2" i="16"/>
  <c r="C3" i="16"/>
  <c r="I8" i="8"/>
  <c r="J8" i="8" s="1"/>
  <c r="K8" i="8"/>
  <c r="N8" i="8" s="1"/>
  <c r="I11" i="3"/>
  <c r="X11" i="3"/>
  <c r="L4" i="9"/>
  <c r="N4" i="9" s="1"/>
  <c r="X4" i="9"/>
  <c r="K5" i="8"/>
  <c r="N5" i="8" s="1"/>
  <c r="I5" i="8"/>
  <c r="J5" i="8" s="1"/>
  <c r="I2" i="3"/>
  <c r="X2" i="3"/>
  <c r="F11" i="9"/>
  <c r="E11" i="9"/>
  <c r="S11" i="9"/>
  <c r="U11" i="9" s="1"/>
  <c r="V11" i="9" s="1"/>
  <c r="U9" i="9"/>
  <c r="V9" i="9" s="1"/>
  <c r="I9" i="3"/>
  <c r="M9" i="3" s="1"/>
  <c r="J7" i="3"/>
  <c r="L7" i="3"/>
  <c r="K7" i="3"/>
  <c r="F7" i="3"/>
  <c r="H7" i="3" s="1"/>
  <c r="X8" i="9"/>
  <c r="L8" i="9"/>
  <c r="N8" i="9" s="1"/>
  <c r="O8" i="9" s="1"/>
  <c r="R8" i="9" s="1"/>
  <c r="F6" i="9"/>
  <c r="T25" i="9" s="1"/>
  <c r="E6" i="9"/>
  <c r="S6" i="9"/>
  <c r="X26" i="9"/>
  <c r="T29" i="9"/>
  <c r="T28" i="9"/>
  <c r="U12" i="9"/>
  <c r="V12" i="9" s="1"/>
  <c r="G2" i="8"/>
  <c r="D5" i="3"/>
  <c r="E5" i="3"/>
  <c r="X10" i="9"/>
  <c r="L10" i="9"/>
  <c r="N10" i="9" s="1"/>
  <c r="G9" i="8"/>
  <c r="G16" i="8"/>
  <c r="G12" i="8"/>
  <c r="L29" i="9"/>
  <c r="U4" i="9"/>
  <c r="V4" i="9" s="1"/>
  <c r="L10" i="11"/>
  <c r="I10" i="11"/>
  <c r="M2" i="3"/>
  <c r="X28" i="9"/>
  <c r="L28" i="9"/>
  <c r="M11" i="3"/>
  <c r="D6" i="3"/>
  <c r="E6" i="3"/>
  <c r="E7" i="3"/>
  <c r="E4" i="3"/>
  <c r="D4" i="3"/>
  <c r="R7" i="3"/>
  <c r="V7" i="3" s="1"/>
  <c r="W7" i="3" s="1"/>
  <c r="J9" i="3"/>
  <c r="L9" i="3"/>
  <c r="K9" i="3"/>
  <c r="E3" i="3"/>
  <c r="D3" i="3"/>
  <c r="G11" i="8"/>
  <c r="D4" i="8"/>
  <c r="F4" i="8" s="1"/>
  <c r="G4" i="8" s="1"/>
  <c r="X31" i="9"/>
  <c r="X27" i="9"/>
  <c r="L27" i="9"/>
  <c r="U7" i="9"/>
  <c r="V7" i="9" s="1"/>
  <c r="U10" i="9"/>
  <c r="V10" i="9" s="1"/>
  <c r="G14" i="8"/>
  <c r="V10" i="3"/>
  <c r="W10" i="3" s="1"/>
  <c r="L11" i="3"/>
  <c r="J11" i="3"/>
  <c r="K11" i="3"/>
  <c r="R11" i="3"/>
  <c r="V11" i="3" s="1"/>
  <c r="W11" i="3" s="1"/>
  <c r="G13" i="8"/>
  <c r="J4" i="9"/>
  <c r="S23" i="9"/>
  <c r="G23" i="9"/>
  <c r="I23" i="9" s="1"/>
  <c r="J23" i="9"/>
  <c r="K4" i="9"/>
  <c r="J10" i="3"/>
  <c r="L10" i="3"/>
  <c r="K10" i="3"/>
  <c r="F10" i="3"/>
  <c r="H10" i="3" s="1"/>
  <c r="D6" i="8"/>
  <c r="F6" i="8" s="1"/>
  <c r="C6" i="8"/>
  <c r="E6" i="8" s="1"/>
  <c r="M12" i="3"/>
  <c r="I12" i="3"/>
  <c r="X12" i="3"/>
  <c r="J8" i="3"/>
  <c r="L8" i="3"/>
  <c r="K8" i="3"/>
  <c r="F8" i="3"/>
  <c r="H8" i="3" s="1"/>
  <c r="K10" i="8"/>
  <c r="N10" i="8" s="1"/>
  <c r="O10" i="8" s="1"/>
  <c r="D13" i="3"/>
  <c r="E13" i="3"/>
  <c r="C14" i="8"/>
  <c r="E14" i="8" s="1"/>
  <c r="X12" i="9"/>
  <c r="X7" i="9"/>
  <c r="L7" i="9"/>
  <c r="N7" i="9" s="1"/>
  <c r="O7" i="9" s="1"/>
  <c r="R7" i="9" s="1"/>
  <c r="N31" i="9"/>
  <c r="O31" i="9" s="1"/>
  <c r="W31" i="9" s="1"/>
  <c r="R31" i="9" s="1"/>
  <c r="Z31" i="9" s="1"/>
  <c r="T24" i="9"/>
  <c r="J13" i="9"/>
  <c r="J32" i="9"/>
  <c r="G32" i="9"/>
  <c r="I32" i="9" s="1"/>
  <c r="K13" i="9"/>
  <c r="G13" i="9"/>
  <c r="I13" i="9" s="1"/>
  <c r="G3" i="8"/>
  <c r="J2" i="3"/>
  <c r="L2" i="3"/>
  <c r="N2" i="3" s="1"/>
  <c r="P2" i="3" s="1"/>
  <c r="K2" i="3"/>
  <c r="O2" i="3" s="1"/>
  <c r="Q2" i="3" s="1"/>
  <c r="R2" i="3"/>
  <c r="V2" i="3" s="1"/>
  <c r="W2" i="3" s="1"/>
  <c r="L12" i="3"/>
  <c r="N12" i="3" s="1"/>
  <c r="P12" i="3" s="1"/>
  <c r="J12" i="3"/>
  <c r="K12" i="3"/>
  <c r="O12" i="3" s="1"/>
  <c r="Q12" i="3" s="1"/>
  <c r="U12" i="3" s="1"/>
  <c r="Y12" i="3" s="1"/>
  <c r="R12" i="3"/>
  <c r="V12" i="3" s="1"/>
  <c r="W12" i="3" s="1"/>
  <c r="T12" i="3" s="1"/>
  <c r="C7" i="8"/>
  <c r="E7" i="8" s="1"/>
  <c r="G7" i="8" s="1"/>
  <c r="G15" i="8"/>
  <c r="C3" i="8"/>
  <c r="E3" i="8" s="1"/>
  <c r="L12" i="9"/>
  <c r="N12" i="9" s="1"/>
  <c r="G24" i="9"/>
  <c r="I24" i="9" s="1"/>
  <c r="J24" i="9"/>
  <c r="S24" i="9"/>
  <c r="K5" i="9"/>
  <c r="G5" i="9"/>
  <c r="I5" i="9" s="1"/>
  <c r="S3" i="9"/>
  <c r="U3" i="9" s="1"/>
  <c r="V3" i="9" s="1"/>
  <c r="C13" i="8"/>
  <c r="E13" i="8" s="1"/>
  <c r="K10" i="9"/>
  <c r="J12" i="9"/>
  <c r="E3" i="9"/>
  <c r="S22" i="9" s="1"/>
  <c r="V22" i="9" s="1"/>
  <c r="U13" i="9"/>
  <c r="V13" i="9" s="1"/>
  <c r="S5" i="9"/>
  <c r="U5" i="9" s="1"/>
  <c r="V5" i="9" s="1"/>
  <c r="G18" i="11"/>
  <c r="K18" i="11" s="1"/>
  <c r="J10" i="11"/>
  <c r="G17" i="11"/>
  <c r="F15" i="11"/>
  <c r="J15" i="11" s="1"/>
  <c r="G16" i="11"/>
  <c r="G13" i="11"/>
  <c r="K13" i="11" s="1"/>
  <c r="H12" i="11"/>
  <c r="H16" i="11"/>
  <c r="J29" i="9"/>
  <c r="P21" i="9"/>
  <c r="T23" i="9"/>
  <c r="L13" i="11"/>
  <c r="G14" i="11"/>
  <c r="G19" i="11"/>
  <c r="F17" i="11"/>
  <c r="J17" i="11" s="1"/>
  <c r="J14" i="11"/>
  <c r="F18" i="11"/>
  <c r="J18" i="11" s="1"/>
  <c r="F11" i="11"/>
  <c r="F13" i="11"/>
  <c r="J13" i="11" s="1"/>
  <c r="F19" i="11"/>
  <c r="F16" i="11"/>
  <c r="G10" i="11"/>
  <c r="G15" i="11"/>
  <c r="G12" i="11"/>
  <c r="I2" i="9"/>
  <c r="L2" i="9" s="1"/>
  <c r="N2" i="9" s="1"/>
  <c r="U2" i="9"/>
  <c r="V2" i="9" s="1"/>
  <c r="K17" i="11"/>
  <c r="F12" i="11"/>
  <c r="L24" i="18"/>
  <c r="M24" i="18" s="1"/>
  <c r="M23" i="18"/>
  <c r="L17" i="11"/>
  <c r="F14" i="11"/>
  <c r="A14" i="13"/>
  <c r="I16" i="11"/>
  <c r="K16" i="11" s="1"/>
  <c r="L16" i="11"/>
  <c r="J11" i="11"/>
  <c r="L12" i="11"/>
  <c r="I12" i="11"/>
  <c r="L19" i="11"/>
  <c r="I19" i="11"/>
  <c r="I15" i="11"/>
  <c r="L15" i="11"/>
  <c r="L11" i="11"/>
  <c r="I11" i="11"/>
  <c r="K11" i="11" s="1"/>
  <c r="H19" i="11"/>
  <c r="H11" i="11"/>
  <c r="C14" i="11"/>
  <c r="O9" i="9"/>
  <c r="R9" i="9" s="1"/>
  <c r="N27" i="9"/>
  <c r="O27" i="9" s="1"/>
  <c r="W27" i="9" s="1"/>
  <c r="R27" i="9" s="1"/>
  <c r="Z27" i="9" s="1"/>
  <c r="O10" i="9"/>
  <c r="R10" i="9" s="1"/>
  <c r="W10" i="9" s="1"/>
  <c r="S27" i="9"/>
  <c r="T30" i="9"/>
  <c r="T31" i="9"/>
  <c r="S28" i="9"/>
  <c r="S32" i="9"/>
  <c r="T32" i="9"/>
  <c r="G21" i="9"/>
  <c r="I21" i="9" s="1"/>
  <c r="L21" i="9" s="1"/>
  <c r="U6" i="9"/>
  <c r="V6" i="9" s="1"/>
  <c r="F2" i="9"/>
  <c r="M29" i="9"/>
  <c r="S21" i="9"/>
  <c r="M22" i="9"/>
  <c r="J2" i="9"/>
  <c r="P2" i="9"/>
  <c r="T21" i="9"/>
  <c r="S31" i="9"/>
  <c r="M26" i="9"/>
  <c r="N26" i="9" s="1"/>
  <c r="O26" i="9" s="1"/>
  <c r="W26" i="9" s="1"/>
  <c r="R26" i="9" s="1"/>
  <c r="S29" i="9"/>
  <c r="V29" i="9" s="1"/>
  <c r="T26" i="9"/>
  <c r="M25" i="9"/>
  <c r="U8" i="9"/>
  <c r="V8" i="9" s="1"/>
  <c r="J21" i="9"/>
  <c r="M32" i="9"/>
  <c r="M28" i="9"/>
  <c r="N28" i="9" s="1"/>
  <c r="O28" i="9" s="1"/>
  <c r="W28" i="9" s="1"/>
  <c r="R28" i="9" s="1"/>
  <c r="S26" i="9"/>
  <c r="M30" i="9"/>
  <c r="T27" i="9"/>
  <c r="M23" i="9"/>
  <c r="C22" i="14"/>
  <c r="U2" i="3"/>
  <c r="Y2" i="3" s="1"/>
  <c r="V8" i="3"/>
  <c r="W8" i="3" s="1"/>
  <c r="S10" i="3"/>
  <c r="V9" i="3"/>
  <c r="W9" i="3" s="1"/>
  <c r="S2" i="3"/>
  <c r="S11" i="3"/>
  <c r="O11" i="3"/>
  <c r="Q11" i="3" s="1"/>
  <c r="U11" i="3" s="1"/>
  <c r="Y11" i="3" s="1"/>
  <c r="T2" i="3"/>
  <c r="A19" i="18"/>
  <c r="B18" i="18"/>
  <c r="AK11" i="27" l="1"/>
  <c r="AL11" i="27" s="1"/>
  <c r="V12" i="27" s="1"/>
  <c r="AS11" i="27"/>
  <c r="R11" i="27"/>
  <c r="B12" i="27"/>
  <c r="F12" i="27"/>
  <c r="U12" i="27"/>
  <c r="Y12" i="27"/>
  <c r="Z12" i="27" s="1"/>
  <c r="W12" i="27"/>
  <c r="O12" i="9"/>
  <c r="R12" i="9" s="1"/>
  <c r="W12" i="9" s="1"/>
  <c r="Z12" i="9" s="1"/>
  <c r="AD12" i="24"/>
  <c r="AE12" i="24" s="1"/>
  <c r="Q13" i="24" s="1"/>
  <c r="AF12" i="24"/>
  <c r="L12" i="24"/>
  <c r="M12" i="24" s="1"/>
  <c r="AJ13" i="24"/>
  <c r="AK13" i="24" s="1"/>
  <c r="V28" i="9"/>
  <c r="X21" i="9"/>
  <c r="X2" i="9"/>
  <c r="V23" i="9"/>
  <c r="Z10" i="9"/>
  <c r="W7" i="9"/>
  <c r="Z7" i="9" s="1"/>
  <c r="O4" i="9"/>
  <c r="R4" i="9" s="1"/>
  <c r="W4" i="9" s="1"/>
  <c r="Z4" i="9" s="1"/>
  <c r="W8" i="9"/>
  <c r="Z8" i="9" s="1"/>
  <c r="K7" i="8"/>
  <c r="N7" i="8" s="1"/>
  <c r="I7" i="8"/>
  <c r="J7" i="8" s="1"/>
  <c r="N9" i="3"/>
  <c r="P9" i="3" s="1"/>
  <c r="O9" i="3"/>
  <c r="Q9" i="3" s="1"/>
  <c r="K4" i="8"/>
  <c r="N4" i="8" s="1"/>
  <c r="O4" i="8" s="1"/>
  <c r="I4" i="8"/>
  <c r="J4" i="8" s="1"/>
  <c r="G25" i="9"/>
  <c r="I25" i="9" s="1"/>
  <c r="J6" i="9"/>
  <c r="G6" i="9"/>
  <c r="I6" i="9" s="1"/>
  <c r="S25" i="9"/>
  <c r="V25" i="9" s="1"/>
  <c r="K6" i="9"/>
  <c r="J25" i="9"/>
  <c r="V24" i="9"/>
  <c r="I8" i="3"/>
  <c r="M8" i="3" s="1"/>
  <c r="N8" i="3" s="1"/>
  <c r="P8" i="3" s="1"/>
  <c r="X8" i="3"/>
  <c r="K12" i="8"/>
  <c r="N12" i="8" s="1"/>
  <c r="I12" i="8"/>
  <c r="J12" i="8" s="1"/>
  <c r="O2" i="9"/>
  <c r="R2" i="9" s="1"/>
  <c r="W2" i="9" s="1"/>
  <c r="Z2" i="9" s="1"/>
  <c r="J16" i="11"/>
  <c r="I3" i="8"/>
  <c r="J3" i="8" s="1"/>
  <c r="K3" i="8"/>
  <c r="N3" i="8" s="1"/>
  <c r="L3" i="3"/>
  <c r="J3" i="3"/>
  <c r="K3" i="3"/>
  <c r="F3" i="3"/>
  <c r="H3" i="3" s="1"/>
  <c r="R3" i="3"/>
  <c r="O5" i="8"/>
  <c r="W9" i="9"/>
  <c r="Z9" i="9" s="1"/>
  <c r="K19" i="11"/>
  <c r="L24" i="9"/>
  <c r="N24" i="9" s="1"/>
  <c r="O24" i="9" s="1"/>
  <c r="W24" i="9" s="1"/>
  <c r="R24" i="9" s="1"/>
  <c r="X24" i="9"/>
  <c r="L13" i="9"/>
  <c r="N13" i="9" s="1"/>
  <c r="O13" i="9" s="1"/>
  <c r="R13" i="9" s="1"/>
  <c r="W13" i="9" s="1"/>
  <c r="Z13" i="9" s="1"/>
  <c r="X13" i="9"/>
  <c r="I9" i="8"/>
  <c r="J9" i="8" s="1"/>
  <c r="K9" i="8"/>
  <c r="N9" i="8" s="1"/>
  <c r="O9" i="8" s="1"/>
  <c r="X23" i="9"/>
  <c r="L23" i="9"/>
  <c r="L4" i="3"/>
  <c r="J4" i="3"/>
  <c r="K4" i="3"/>
  <c r="F4" i="3"/>
  <c r="H4" i="3" s="1"/>
  <c r="R4" i="3"/>
  <c r="K15" i="11"/>
  <c r="G22" i="9"/>
  <c r="I22" i="9" s="1"/>
  <c r="K3" i="9"/>
  <c r="G3" i="9"/>
  <c r="I3" i="9" s="1"/>
  <c r="J3" i="9"/>
  <c r="J22" i="9"/>
  <c r="I10" i="3"/>
  <c r="M10" i="3" s="1"/>
  <c r="X10" i="3"/>
  <c r="I16" i="8"/>
  <c r="J16" i="8" s="1"/>
  <c r="K16" i="8"/>
  <c r="N16" i="8" s="1"/>
  <c r="O16" i="8" s="1"/>
  <c r="I13" i="8"/>
  <c r="J13" i="8" s="1"/>
  <c r="K13" i="8"/>
  <c r="N13" i="8" s="1"/>
  <c r="O13" i="8" s="1"/>
  <c r="K11" i="9"/>
  <c r="J11" i="9"/>
  <c r="J30" i="9"/>
  <c r="G30" i="9"/>
  <c r="I30" i="9" s="1"/>
  <c r="G11" i="9"/>
  <c r="I11" i="9" s="1"/>
  <c r="S30" i="9"/>
  <c r="V30" i="9" s="1"/>
  <c r="K2" i="8"/>
  <c r="N2" i="8" s="1"/>
  <c r="I2" i="8"/>
  <c r="J2" i="8" s="1"/>
  <c r="V21" i="9"/>
  <c r="K12" i="11"/>
  <c r="L32" i="9"/>
  <c r="N32" i="9" s="1"/>
  <c r="O32" i="9" s="1"/>
  <c r="W32" i="9" s="1"/>
  <c r="R32" i="9" s="1"/>
  <c r="Z32" i="9" s="1"/>
  <c r="X32" i="9"/>
  <c r="J6" i="3"/>
  <c r="L6" i="3"/>
  <c r="K6" i="3"/>
  <c r="F6" i="3"/>
  <c r="H6" i="3" s="1"/>
  <c r="R6" i="3"/>
  <c r="I7" i="3"/>
  <c r="M7" i="3" s="1"/>
  <c r="X7" i="3"/>
  <c r="S12" i="3"/>
  <c r="K14" i="8"/>
  <c r="N14" i="8" s="1"/>
  <c r="O14" i="8" s="1"/>
  <c r="I14" i="8"/>
  <c r="J14" i="8" s="1"/>
  <c r="S7" i="3"/>
  <c r="N29" i="9"/>
  <c r="O29" i="9" s="1"/>
  <c r="W29" i="9" s="1"/>
  <c r="R29" i="9" s="1"/>
  <c r="Z29" i="9" s="1"/>
  <c r="J19" i="11"/>
  <c r="I15" i="8"/>
  <c r="J15" i="8" s="1"/>
  <c r="K15" i="8"/>
  <c r="N15" i="8" s="1"/>
  <c r="N11" i="3"/>
  <c r="P11" i="3" s="1"/>
  <c r="T11" i="3" s="1"/>
  <c r="G6" i="8"/>
  <c r="K11" i="8"/>
  <c r="N11" i="8" s="1"/>
  <c r="I11" i="8"/>
  <c r="J11" i="8" s="1"/>
  <c r="T9" i="3"/>
  <c r="N23" i="9"/>
  <c r="O23" i="9" s="1"/>
  <c r="W23" i="9" s="1"/>
  <c r="R23" i="9" s="1"/>
  <c r="Z23" i="9" s="1"/>
  <c r="J12" i="11"/>
  <c r="T8" i="3"/>
  <c r="X5" i="9"/>
  <c r="L5" i="9"/>
  <c r="N5" i="9" s="1"/>
  <c r="O5" i="9" s="1"/>
  <c r="R5" i="9" s="1"/>
  <c r="W5" i="9" s="1"/>
  <c r="L13" i="3"/>
  <c r="J13" i="3"/>
  <c r="K13" i="3"/>
  <c r="R13" i="3"/>
  <c r="F13" i="3"/>
  <c r="H13" i="3" s="1"/>
  <c r="L5" i="3"/>
  <c r="J5" i="3"/>
  <c r="K5" i="3"/>
  <c r="F5" i="3"/>
  <c r="H5" i="3" s="1"/>
  <c r="R5" i="3"/>
  <c r="O8" i="8"/>
  <c r="B14" i="13"/>
  <c r="A15" i="13"/>
  <c r="L14" i="11"/>
  <c r="I14" i="11"/>
  <c r="K14" i="11" s="1"/>
  <c r="N21" i="9"/>
  <c r="O21" i="9" s="1"/>
  <c r="W21" i="9" s="1"/>
  <c r="R21" i="9" s="1"/>
  <c r="Z21" i="9" s="1"/>
  <c r="V26" i="9"/>
  <c r="Y26" i="9" s="1"/>
  <c r="Z26" i="9"/>
  <c r="V31" i="9"/>
  <c r="Y31" i="9" s="1"/>
  <c r="V32" i="9"/>
  <c r="V27" i="9"/>
  <c r="Y27" i="9" s="1"/>
  <c r="Z28" i="9"/>
  <c r="Y28" i="9"/>
  <c r="U9" i="3"/>
  <c r="Y9" i="3" s="1"/>
  <c r="A20" i="18"/>
  <c r="B19" i="18"/>
  <c r="B5" i="16" l="1"/>
  <c r="C5" i="16" s="1"/>
  <c r="Y29" i="9"/>
  <c r="AT12" i="27"/>
  <c r="AZ12" i="27"/>
  <c r="P11" i="27"/>
  <c r="BC11" i="27"/>
  <c r="BD11" i="27"/>
  <c r="S11" i="27"/>
  <c r="C12" i="27" s="1"/>
  <c r="D12" i="27" s="1"/>
  <c r="BB11" i="27"/>
  <c r="X12" i="27"/>
  <c r="AB12" i="27"/>
  <c r="AA12" i="27"/>
  <c r="AC12" i="27" s="1"/>
  <c r="AD12" i="27" s="1"/>
  <c r="R13" i="24"/>
  <c r="X13" i="24"/>
  <c r="S13" i="24"/>
  <c r="T13" i="24"/>
  <c r="N12" i="24"/>
  <c r="O12" i="24" s="1"/>
  <c r="A13" i="24" s="1"/>
  <c r="Y23" i="9"/>
  <c r="Z5" i="9"/>
  <c r="X22" i="9"/>
  <c r="L22" i="9"/>
  <c r="N22" i="9" s="1"/>
  <c r="O22" i="9" s="1"/>
  <c r="W22" i="9" s="1"/>
  <c r="R22" i="9" s="1"/>
  <c r="N7" i="3"/>
  <c r="P7" i="3" s="1"/>
  <c r="T7" i="3" s="1"/>
  <c r="O7" i="3"/>
  <c r="Q7" i="3" s="1"/>
  <c r="U7" i="3" s="1"/>
  <c r="Y7" i="3" s="1"/>
  <c r="L30" i="9"/>
  <c r="N30" i="9" s="1"/>
  <c r="O30" i="9" s="1"/>
  <c r="W30" i="9" s="1"/>
  <c r="R30" i="9" s="1"/>
  <c r="X30" i="9"/>
  <c r="S4" i="3"/>
  <c r="V4" i="3"/>
  <c r="W4" i="3" s="1"/>
  <c r="V3" i="3"/>
  <c r="W3" i="3" s="1"/>
  <c r="S3" i="3"/>
  <c r="V6" i="3"/>
  <c r="W6" i="3" s="1"/>
  <c r="S6" i="3"/>
  <c r="N10" i="3"/>
  <c r="P10" i="3" s="1"/>
  <c r="T10" i="3" s="1"/>
  <c r="O10" i="3"/>
  <c r="Q10" i="3" s="1"/>
  <c r="U10" i="3" s="1"/>
  <c r="Y10" i="3" s="1"/>
  <c r="I4" i="3"/>
  <c r="M4" i="3" s="1"/>
  <c r="O4" i="3" s="1"/>
  <c r="Q4" i="3" s="1"/>
  <c r="U4" i="3" s="1"/>
  <c r="Y4" i="3" s="1"/>
  <c r="X4" i="3"/>
  <c r="X3" i="3"/>
  <c r="I3" i="3"/>
  <c r="M3" i="3" s="1"/>
  <c r="X6" i="9"/>
  <c r="L6" i="9"/>
  <c r="N6" i="9" s="1"/>
  <c r="O6" i="9" s="1"/>
  <c r="R6" i="9" s="1"/>
  <c r="W6" i="9" s="1"/>
  <c r="Z6" i="9" s="1"/>
  <c r="O11" i="8"/>
  <c r="X6" i="3"/>
  <c r="I6" i="3"/>
  <c r="M6" i="3" s="1"/>
  <c r="O3" i="3"/>
  <c r="Q3" i="3" s="1"/>
  <c r="U3" i="3" s="1"/>
  <c r="Y3" i="3" s="1"/>
  <c r="O12" i="8"/>
  <c r="O7" i="8"/>
  <c r="I5" i="3"/>
  <c r="M5" i="3" s="1"/>
  <c r="O5" i="3" s="1"/>
  <c r="Q5" i="3" s="1"/>
  <c r="U5" i="3" s="1"/>
  <c r="Y5" i="3" s="1"/>
  <c r="X5" i="3"/>
  <c r="X13" i="3"/>
  <c r="I13" i="3"/>
  <c r="M13" i="3" s="1"/>
  <c r="N13" i="3" s="1"/>
  <c r="P13" i="3" s="1"/>
  <c r="B6" i="16"/>
  <c r="S13" i="3"/>
  <c r="V13" i="3"/>
  <c r="W13" i="3" s="1"/>
  <c r="K6" i="8"/>
  <c r="N6" i="8" s="1"/>
  <c r="O6" i="8" s="1"/>
  <c r="I6" i="8"/>
  <c r="J6" i="8" s="1"/>
  <c r="O6" i="3"/>
  <c r="Q6" i="3" s="1"/>
  <c r="L25" i="9"/>
  <c r="N25" i="9" s="1"/>
  <c r="O25" i="9" s="1"/>
  <c r="W25" i="9" s="1"/>
  <c r="R25" i="9" s="1"/>
  <c r="X25" i="9"/>
  <c r="X11" i="9"/>
  <c r="L11" i="9"/>
  <c r="N11" i="9" s="1"/>
  <c r="O11" i="9" s="1"/>
  <c r="R11" i="9" s="1"/>
  <c r="W11" i="9" s="1"/>
  <c r="Z11" i="9" s="1"/>
  <c r="Y32" i="9"/>
  <c r="N6" i="3"/>
  <c r="P6" i="3" s="1"/>
  <c r="X3" i="9"/>
  <c r="L3" i="9"/>
  <c r="N3" i="9" s="1"/>
  <c r="O3" i="9" s="1"/>
  <c r="R3" i="9" s="1"/>
  <c r="W3" i="9" s="1"/>
  <c r="N3" i="3"/>
  <c r="P3" i="3" s="1"/>
  <c r="T3" i="3" s="1"/>
  <c r="V5" i="3"/>
  <c r="W5" i="3" s="1"/>
  <c r="S5" i="3"/>
  <c r="O15" i="8"/>
  <c r="Z24" i="9"/>
  <c r="Y24" i="9"/>
  <c r="O2" i="8"/>
  <c r="O3" i="8"/>
  <c r="O8" i="3"/>
  <c r="Q8" i="3" s="1"/>
  <c r="U8" i="3" s="1"/>
  <c r="Y8" i="3" s="1"/>
  <c r="B15" i="13"/>
  <c r="A16" i="13"/>
  <c r="Y21" i="9"/>
  <c r="A21" i="18"/>
  <c r="B20" i="18"/>
  <c r="AE12" i="27" l="1"/>
  <c r="AF12" i="27" s="1"/>
  <c r="AV12" i="27"/>
  <c r="AJ12" i="27"/>
  <c r="E12" i="27"/>
  <c r="H12" i="27"/>
  <c r="I12" i="27"/>
  <c r="AY11" i="27"/>
  <c r="AW11" i="27" s="1"/>
  <c r="O11" i="27"/>
  <c r="G12" i="27"/>
  <c r="U13" i="24"/>
  <c r="V13" i="24"/>
  <c r="P12" i="24"/>
  <c r="B13" i="24"/>
  <c r="H13" i="24"/>
  <c r="C13" i="24"/>
  <c r="D13" i="24" s="1"/>
  <c r="Z3" i="9"/>
  <c r="C6" i="16"/>
  <c r="T13" i="3"/>
  <c r="Y30" i="9"/>
  <c r="Z30" i="9"/>
  <c r="N5" i="3"/>
  <c r="P5" i="3" s="1"/>
  <c r="T5" i="3" s="1"/>
  <c r="N4" i="3"/>
  <c r="P4" i="3" s="1"/>
  <c r="T4" i="3" s="1"/>
  <c r="Z25" i="9"/>
  <c r="Y25" i="9"/>
  <c r="B7" i="16"/>
  <c r="T6" i="3"/>
  <c r="U6" i="3"/>
  <c r="Y6" i="3" s="1"/>
  <c r="Z22" i="9"/>
  <c r="Y22" i="9"/>
  <c r="O13" i="3"/>
  <c r="Q13" i="3" s="1"/>
  <c r="U13" i="3" s="1"/>
  <c r="Y13" i="3" s="1"/>
  <c r="A17" i="13"/>
  <c r="B16" i="13"/>
  <c r="A22" i="18"/>
  <c r="B21" i="18"/>
  <c r="AP12" i="27" l="1"/>
  <c r="AH12" i="27"/>
  <c r="J12" i="27"/>
  <c r="K12" i="27" s="1"/>
  <c r="T13" i="27"/>
  <c r="AX11" i="27"/>
  <c r="AU11" i="27"/>
  <c r="Q12" i="27"/>
  <c r="AG12" i="27"/>
  <c r="Z13" i="24"/>
  <c r="AA13" i="24"/>
  <c r="W13" i="24"/>
  <c r="Y13" i="24"/>
  <c r="E13" i="24"/>
  <c r="F13" i="24"/>
  <c r="I13" i="24" s="1"/>
  <c r="AR13" i="24"/>
  <c r="C7" i="16"/>
  <c r="B8" i="16"/>
  <c r="B17" i="13"/>
  <c r="A18" i="13"/>
  <c r="A23" i="18"/>
  <c r="B22" i="18"/>
  <c r="L12" i="27" l="1"/>
  <c r="M12" i="27" s="1"/>
  <c r="Y13" i="27"/>
  <c r="U13" i="27"/>
  <c r="AI12" i="27"/>
  <c r="AQ12" i="27"/>
  <c r="AR12" i="27" s="1"/>
  <c r="BA12" i="27" s="1"/>
  <c r="AB13" i="24"/>
  <c r="AC13" i="24" s="1"/>
  <c r="J13" i="24"/>
  <c r="K13" i="24"/>
  <c r="G13" i="24"/>
  <c r="AQ13" i="24" s="1"/>
  <c r="AO13" i="24" s="1"/>
  <c r="AP13" i="24"/>
  <c r="C8" i="16"/>
  <c r="B9" i="16"/>
  <c r="A19" i="13"/>
  <c r="B18" i="13"/>
  <c r="A24" i="18"/>
  <c r="B23" i="18"/>
  <c r="AS12" i="27" l="1"/>
  <c r="R12" i="27"/>
  <c r="AK12" i="27"/>
  <c r="AL12" i="27" s="1"/>
  <c r="V13" i="27" s="1"/>
  <c r="W13" i="27" s="1"/>
  <c r="A13" i="27"/>
  <c r="S12" i="27"/>
  <c r="C13" i="27" s="1"/>
  <c r="N12" i="27"/>
  <c r="AD13" i="24"/>
  <c r="AE13" i="24" s="1"/>
  <c r="Q14" i="24" s="1"/>
  <c r="AF13" i="24"/>
  <c r="AJ14" i="24"/>
  <c r="AK14" i="24" s="1"/>
  <c r="L13" i="24"/>
  <c r="M13" i="24" s="1"/>
  <c r="C9" i="16"/>
  <c r="B10" i="16"/>
  <c r="B19" i="13"/>
  <c r="A20" i="13"/>
  <c r="A25" i="18"/>
  <c r="B24" i="18"/>
  <c r="X13" i="27" l="1"/>
  <c r="AB13" i="27"/>
  <c r="AA13" i="27"/>
  <c r="AC13" i="27" s="1"/>
  <c r="P12" i="27"/>
  <c r="BC12" i="27"/>
  <c r="BD12" i="27"/>
  <c r="B13" i="27"/>
  <c r="D13" i="27"/>
  <c r="F13" i="27"/>
  <c r="G13" i="27" s="1"/>
  <c r="Z13" i="27"/>
  <c r="AD13" i="27" s="1"/>
  <c r="BB12" i="27"/>
  <c r="X14" i="24"/>
  <c r="R14" i="24"/>
  <c r="S14" i="24"/>
  <c r="T14" i="24" s="1"/>
  <c r="N13" i="24"/>
  <c r="O13" i="24" s="1"/>
  <c r="A14" i="24" s="1"/>
  <c r="C10" i="16"/>
  <c r="B11" i="16"/>
  <c r="B20" i="13"/>
  <c r="A21" i="13"/>
  <c r="A26" i="18"/>
  <c r="B25" i="18"/>
  <c r="AZ13" i="27" l="1"/>
  <c r="AT13" i="27"/>
  <c r="O12" i="27"/>
  <c r="AY12" i="27"/>
  <c r="AW12" i="27" s="1"/>
  <c r="E13" i="27"/>
  <c r="I13" i="27"/>
  <c r="H13" i="27"/>
  <c r="J13" i="27" s="1"/>
  <c r="K13" i="27" s="1"/>
  <c r="AE13" i="27"/>
  <c r="AF13" i="27" s="1"/>
  <c r="AJ13" i="27"/>
  <c r="U14" i="24"/>
  <c r="V14" i="24"/>
  <c r="H14" i="24"/>
  <c r="B14" i="24"/>
  <c r="C14" i="24"/>
  <c r="D14" i="24" s="1"/>
  <c r="P13" i="24"/>
  <c r="C11" i="16"/>
  <c r="B13" i="16"/>
  <c r="B21" i="13"/>
  <c r="A22" i="13"/>
  <c r="A27" i="18"/>
  <c r="B26" i="18"/>
  <c r="L13" i="27" l="1"/>
  <c r="M13" i="27" s="1"/>
  <c r="AG13" i="27"/>
  <c r="T14" i="27"/>
  <c r="Q13" i="27"/>
  <c r="AX12" i="27"/>
  <c r="AU12" i="27"/>
  <c r="AP13" i="27"/>
  <c r="AH13" i="27"/>
  <c r="AV13" i="27"/>
  <c r="W14" i="24"/>
  <c r="Z14" i="24"/>
  <c r="AA14" i="24"/>
  <c r="Y14" i="24"/>
  <c r="E14" i="24"/>
  <c r="F14" i="24"/>
  <c r="I14" i="24" s="1"/>
  <c r="AR14" i="24"/>
  <c r="C13" i="16"/>
  <c r="B15" i="16"/>
  <c r="B22" i="13"/>
  <c r="A23" i="13"/>
  <c r="A28" i="18"/>
  <c r="B27" i="18"/>
  <c r="AI13" i="27" l="1"/>
  <c r="Y14" i="27"/>
  <c r="U14" i="27"/>
  <c r="AQ13" i="27"/>
  <c r="AR13" i="27" s="1"/>
  <c r="BA13" i="27" s="1"/>
  <c r="A14" i="27"/>
  <c r="N13" i="27"/>
  <c r="AB14" i="24"/>
  <c r="AC14" i="24" s="1"/>
  <c r="G14" i="24"/>
  <c r="AQ14" i="24" s="1"/>
  <c r="AO14" i="24" s="1"/>
  <c r="J14" i="24"/>
  <c r="K14" i="24"/>
  <c r="AP14" i="24"/>
  <c r="C15" i="16"/>
  <c r="B16" i="16"/>
  <c r="B23" i="13"/>
  <c r="A24" i="13"/>
  <c r="B28" i="18"/>
  <c r="A29" i="18"/>
  <c r="AK13" i="27" l="1"/>
  <c r="AL13" i="27" s="1"/>
  <c r="V14" i="27" s="1"/>
  <c r="W14" i="27" s="1"/>
  <c r="AS13" i="27"/>
  <c r="R13" i="27"/>
  <c r="Z14" i="27"/>
  <c r="B14" i="27"/>
  <c r="F14" i="27"/>
  <c r="AD14" i="24"/>
  <c r="AE14" i="24" s="1"/>
  <c r="Q15" i="24" s="1"/>
  <c r="AJ15" i="24"/>
  <c r="AK15" i="24" s="1"/>
  <c r="L14" i="24"/>
  <c r="M14" i="24" s="1"/>
  <c r="C16" i="16"/>
  <c r="B17" i="16"/>
  <c r="A25" i="13"/>
  <c r="B24" i="13"/>
  <c r="B29" i="18"/>
  <c r="A30" i="18"/>
  <c r="AZ14" i="27" l="1"/>
  <c r="AT14" i="27"/>
  <c r="P13" i="27"/>
  <c r="BC13" i="27"/>
  <c r="BD13" i="27"/>
  <c r="S13" i="27"/>
  <c r="C14" i="27" s="1"/>
  <c r="D14" i="27" s="1"/>
  <c r="BB13" i="27"/>
  <c r="X14" i="27"/>
  <c r="AB14" i="27"/>
  <c r="AA14" i="27"/>
  <c r="R15" i="24"/>
  <c r="S15" i="24"/>
  <c r="T15" i="24" s="1"/>
  <c r="X15" i="24"/>
  <c r="AF14" i="24"/>
  <c r="N14" i="24"/>
  <c r="O14" i="24" s="1"/>
  <c r="A15" i="24" s="1"/>
  <c r="C17" i="16"/>
  <c r="B18" i="16"/>
  <c r="B25" i="13"/>
  <c r="A26" i="13"/>
  <c r="A31" i="18"/>
  <c r="B30" i="18"/>
  <c r="E14" i="27" l="1"/>
  <c r="AV14" i="27" s="1"/>
  <c r="I14" i="27"/>
  <c r="H14" i="27"/>
  <c r="J14" i="27" s="1"/>
  <c r="AJ14" i="27"/>
  <c r="O13" i="27"/>
  <c r="AY13" i="27"/>
  <c r="AW13" i="27" s="1"/>
  <c r="AC14" i="27"/>
  <c r="AD14" i="27" s="1"/>
  <c r="G14" i="27"/>
  <c r="K14" i="27" s="1"/>
  <c r="U15" i="24"/>
  <c r="V15" i="24"/>
  <c r="P14" i="24"/>
  <c r="B15" i="24"/>
  <c r="C15" i="24"/>
  <c r="D15" i="24" s="1"/>
  <c r="H15" i="24"/>
  <c r="C18" i="16"/>
  <c r="B19" i="16"/>
  <c r="A27" i="13"/>
  <c r="B26" i="13"/>
  <c r="B31" i="18"/>
  <c r="A32" i="18"/>
  <c r="L14" i="27" l="1"/>
  <c r="M14" i="27" s="1"/>
  <c r="AX13" i="27"/>
  <c r="AU13" i="27"/>
  <c r="AP14" i="27"/>
  <c r="AH14" i="27"/>
  <c r="AE14" i="27"/>
  <c r="AF14" i="27" s="1"/>
  <c r="Q14" i="27"/>
  <c r="W15" i="24"/>
  <c r="AA15" i="24"/>
  <c r="Z15" i="24"/>
  <c r="AB15" i="24" s="1"/>
  <c r="Y15" i="24"/>
  <c r="AC15" i="24" s="1"/>
  <c r="E15" i="24"/>
  <c r="F15" i="24"/>
  <c r="AR15" i="24"/>
  <c r="C19" i="16"/>
  <c r="B20" i="16"/>
  <c r="B27" i="13"/>
  <c r="A28" i="13"/>
  <c r="A33" i="18"/>
  <c r="B32" i="18"/>
  <c r="AQ14" i="27" l="1"/>
  <c r="AR14" i="27" s="1"/>
  <c r="T15" i="27"/>
  <c r="AI14" i="27"/>
  <c r="BA14" i="27"/>
  <c r="N14" i="27"/>
  <c r="AG14" i="27"/>
  <c r="A15" i="27"/>
  <c r="AD15" i="24"/>
  <c r="AE15" i="24" s="1"/>
  <c r="Q16" i="24" s="1"/>
  <c r="AF15" i="24"/>
  <c r="G15" i="24"/>
  <c r="AQ15" i="24" s="1"/>
  <c r="AO15" i="24" s="1"/>
  <c r="J15" i="24"/>
  <c r="K15" i="24"/>
  <c r="AP15" i="24"/>
  <c r="I15" i="24"/>
  <c r="C20" i="16"/>
  <c r="B21" i="16"/>
  <c r="A29" i="13"/>
  <c r="B28" i="13"/>
  <c r="A34" i="18"/>
  <c r="B34" i="18" s="1"/>
  <c r="B33" i="18"/>
  <c r="B15" i="27" l="1"/>
  <c r="F15" i="27"/>
  <c r="AS14" i="27"/>
  <c r="BB14" i="27" s="1"/>
  <c r="R14" i="27"/>
  <c r="AK14" i="27"/>
  <c r="AL14" i="27" s="1"/>
  <c r="V15" i="27" s="1"/>
  <c r="W15" i="27" s="1"/>
  <c r="Y15" i="27"/>
  <c r="U15" i="27"/>
  <c r="R16" i="24"/>
  <c r="S16" i="24"/>
  <c r="X16" i="24"/>
  <c r="T16" i="24"/>
  <c r="AJ16" i="24"/>
  <c r="AK16" i="24" s="1"/>
  <c r="L15" i="24"/>
  <c r="M15" i="24" s="1"/>
  <c r="C21" i="16"/>
  <c r="B22" i="16"/>
  <c r="B29" i="13"/>
  <c r="A30" i="13"/>
  <c r="X15" i="27" l="1"/>
  <c r="AB15" i="27"/>
  <c r="AA15" i="27"/>
  <c r="AC15" i="27" s="1"/>
  <c r="Z15" i="27"/>
  <c r="P14" i="27"/>
  <c r="BC14" i="27"/>
  <c r="BD14" i="27"/>
  <c r="S14" i="27"/>
  <c r="C15" i="27" s="1"/>
  <c r="D15" i="27" s="1"/>
  <c r="AT15" i="27"/>
  <c r="AZ15" i="27"/>
  <c r="U16" i="24"/>
  <c r="V16" i="24"/>
  <c r="N15" i="24"/>
  <c r="O15" i="24" s="1"/>
  <c r="A16" i="24" s="1"/>
  <c r="P15" i="24"/>
  <c r="C22" i="16"/>
  <c r="B23" i="16"/>
  <c r="A31" i="13"/>
  <c r="B30" i="13"/>
  <c r="E15" i="27" l="1"/>
  <c r="H15" i="27"/>
  <c r="I15" i="27"/>
  <c r="G15" i="27"/>
  <c r="AY14" i="27"/>
  <c r="AW14" i="27" s="1"/>
  <c r="O14" i="27"/>
  <c r="AD15" i="27"/>
  <c r="AJ15" i="27"/>
  <c r="AV15" i="27"/>
  <c r="Z16" i="24"/>
  <c r="AA16" i="24"/>
  <c r="W16" i="24"/>
  <c r="Y16" i="24"/>
  <c r="B16" i="24"/>
  <c r="C16" i="24"/>
  <c r="D16" i="24" s="1"/>
  <c r="H16" i="24"/>
  <c r="C23" i="16"/>
  <c r="B25" i="16"/>
  <c r="B31" i="13"/>
  <c r="A32" i="13"/>
  <c r="B32" i="13" s="1"/>
  <c r="AP15" i="27" l="1"/>
  <c r="AH15" i="27"/>
  <c r="AE15" i="27"/>
  <c r="AF15" i="27" s="1"/>
  <c r="AX14" i="27"/>
  <c r="AU14" i="27"/>
  <c r="J15" i="27"/>
  <c r="K15" i="27" s="1"/>
  <c r="Q15" i="27"/>
  <c r="AB16" i="24"/>
  <c r="AC16" i="24" s="1"/>
  <c r="E16" i="24"/>
  <c r="F16" i="24"/>
  <c r="AR16" i="24"/>
  <c r="C25" i="16"/>
  <c r="B27" i="16"/>
  <c r="L15" i="27" l="1"/>
  <c r="M15" i="27" s="1"/>
  <c r="AQ15" i="27"/>
  <c r="AR15" i="27" s="1"/>
  <c r="BA15" i="27" s="1"/>
  <c r="AG15" i="27"/>
  <c r="T16" i="27"/>
  <c r="AI15" i="27"/>
  <c r="AD16" i="24"/>
  <c r="AE16" i="24" s="1"/>
  <c r="Q17" i="24" s="1"/>
  <c r="AF16" i="24"/>
  <c r="J16" i="24"/>
  <c r="K16" i="24"/>
  <c r="G16" i="24"/>
  <c r="AQ16" i="24" s="1"/>
  <c r="AO16" i="24" s="1"/>
  <c r="AP16" i="24"/>
  <c r="I16" i="24"/>
  <c r="C27" i="16"/>
  <c r="B28" i="16"/>
  <c r="AK15" i="27" l="1"/>
  <c r="AL15" i="27" s="1"/>
  <c r="V16" i="27" s="1"/>
  <c r="AS15" i="27"/>
  <c r="BB15" i="27" s="1"/>
  <c r="R15" i="27"/>
  <c r="N15" i="27"/>
  <c r="Y16" i="27"/>
  <c r="Z16" i="27" s="1"/>
  <c r="W16" i="27"/>
  <c r="U16" i="27"/>
  <c r="A16" i="27"/>
  <c r="S15" i="27"/>
  <c r="C16" i="27" s="1"/>
  <c r="S17" i="24"/>
  <c r="X17" i="24"/>
  <c r="T17" i="24"/>
  <c r="R17" i="24"/>
  <c r="AJ17" i="24"/>
  <c r="AK17" i="24" s="1"/>
  <c r="L16" i="24"/>
  <c r="M16" i="24" s="1"/>
  <c r="C28" i="16"/>
  <c r="B29" i="16"/>
  <c r="X16" i="27" l="1"/>
  <c r="AB16" i="27"/>
  <c r="AA16" i="27"/>
  <c r="AC16" i="27" s="1"/>
  <c r="AD16" i="27" s="1"/>
  <c r="D16" i="27"/>
  <c r="B16" i="27"/>
  <c r="F16" i="27"/>
  <c r="G16" i="27" s="1"/>
  <c r="P15" i="27"/>
  <c r="BC15" i="27"/>
  <c r="BD15" i="27"/>
  <c r="U17" i="24"/>
  <c r="V17" i="24"/>
  <c r="N16" i="24"/>
  <c r="O16" i="24" s="1"/>
  <c r="A17" i="24" s="1"/>
  <c r="C29" i="16"/>
  <c r="B30" i="16"/>
  <c r="AE16" i="27" l="1"/>
  <c r="AF16" i="27" s="1"/>
  <c r="O15" i="27"/>
  <c r="AY15" i="27"/>
  <c r="AW15" i="27" s="1"/>
  <c r="AZ16" i="27"/>
  <c r="AT16" i="27"/>
  <c r="E16" i="27"/>
  <c r="I16" i="27"/>
  <c r="H16" i="27"/>
  <c r="J16" i="27" s="1"/>
  <c r="K16" i="27" s="1"/>
  <c r="AJ16" i="27"/>
  <c r="W17" i="24"/>
  <c r="Z17" i="24"/>
  <c r="AA17" i="24"/>
  <c r="Y17" i="24"/>
  <c r="P16" i="24"/>
  <c r="H17" i="24"/>
  <c r="B17" i="24"/>
  <c r="C17" i="24"/>
  <c r="D17" i="24" s="1"/>
  <c r="C30" i="16"/>
  <c r="B32" i="16"/>
  <c r="L16" i="27" l="1"/>
  <c r="M16" i="27" s="1"/>
  <c r="Q16" i="27"/>
  <c r="AX15" i="27"/>
  <c r="AU15" i="27"/>
  <c r="T17" i="27"/>
  <c r="AG16" i="27"/>
  <c r="AP16" i="27"/>
  <c r="AH16" i="27"/>
  <c r="AV16" i="27"/>
  <c r="AB17" i="24"/>
  <c r="AC17" i="24" s="1"/>
  <c r="E17" i="24"/>
  <c r="F17" i="24"/>
  <c r="I17" i="24" s="1"/>
  <c r="AR17" i="24"/>
  <c r="C32" i="16"/>
  <c r="B34" i="16"/>
  <c r="AQ16" i="27" l="1"/>
  <c r="AR16" i="27" s="1"/>
  <c r="A17" i="27"/>
  <c r="AI16" i="27"/>
  <c r="U17" i="27"/>
  <c r="Y17" i="27"/>
  <c r="BA16" i="27"/>
  <c r="N16" i="27"/>
  <c r="AD17" i="24"/>
  <c r="AE17" i="24" s="1"/>
  <c r="Q18" i="24" s="1"/>
  <c r="G17" i="24"/>
  <c r="AQ17" i="24" s="1"/>
  <c r="AO17" i="24" s="1"/>
  <c r="J17" i="24"/>
  <c r="K17" i="24"/>
  <c r="AP17" i="24"/>
  <c r="B35" i="16"/>
  <c r="C35" i="16" s="1"/>
  <c r="D4" i="16" s="1"/>
  <c r="E4" i="16" s="1"/>
  <c r="C34" i="16"/>
  <c r="B17" i="27" l="1"/>
  <c r="F17" i="27"/>
  <c r="R16" i="27"/>
  <c r="AK16" i="27"/>
  <c r="AL16" i="27" s="1"/>
  <c r="V17" i="27" s="1"/>
  <c r="W17" i="27" s="1"/>
  <c r="Z17" i="27" s="1"/>
  <c r="AS16" i="27"/>
  <c r="BB16" i="27" s="1"/>
  <c r="R18" i="24"/>
  <c r="S18" i="24"/>
  <c r="T18" i="24" s="1"/>
  <c r="X18" i="24"/>
  <c r="AF17" i="24"/>
  <c r="L17" i="24"/>
  <c r="M17" i="24" s="1"/>
  <c r="AJ18" i="24"/>
  <c r="X17" i="27" l="1"/>
  <c r="AB17" i="27"/>
  <c r="AA17" i="27"/>
  <c r="AC17" i="27" s="1"/>
  <c r="AD17" i="27" s="1"/>
  <c r="P16" i="27"/>
  <c r="BC16" i="27"/>
  <c r="BD16" i="27"/>
  <c r="S16" i="27"/>
  <c r="C17" i="27" s="1"/>
  <c r="D17" i="27" s="1"/>
  <c r="AT17" i="27"/>
  <c r="AZ17" i="27"/>
  <c r="U18" i="24"/>
  <c r="V18" i="24"/>
  <c r="AK18" i="24"/>
  <c r="N17" i="24"/>
  <c r="O17" i="24" s="1"/>
  <c r="A18" i="24" s="1"/>
  <c r="AE17" i="27" l="1"/>
  <c r="AF17" i="27" s="1"/>
  <c r="AJ17" i="27"/>
  <c r="E17" i="27"/>
  <c r="AV17" i="27" s="1"/>
  <c r="H17" i="27"/>
  <c r="I17" i="27"/>
  <c r="O16" i="27"/>
  <c r="AY16" i="27"/>
  <c r="AW16" i="27" s="1"/>
  <c r="G17" i="27"/>
  <c r="W18" i="24"/>
  <c r="AA18" i="24"/>
  <c r="Z18" i="24"/>
  <c r="AB18" i="24" s="1"/>
  <c r="Y18" i="24"/>
  <c r="AC18" i="24" s="1"/>
  <c r="B18" i="24"/>
  <c r="C18" i="24"/>
  <c r="D18" i="24" s="1"/>
  <c r="H18" i="24"/>
  <c r="P17" i="24"/>
  <c r="AP17" i="27" l="1"/>
  <c r="AH17" i="27"/>
  <c r="AX16" i="27"/>
  <c r="AU16" i="27"/>
  <c r="J17" i="27"/>
  <c r="K17" i="27" s="1"/>
  <c r="Q17" i="27"/>
  <c r="T18" i="27"/>
  <c r="AG17" i="27"/>
  <c r="AD18" i="24"/>
  <c r="AE18" i="24" s="1"/>
  <c r="Q19" i="24" s="1"/>
  <c r="AF18" i="24"/>
  <c r="E18" i="24"/>
  <c r="F18" i="24"/>
  <c r="I18" i="24" s="1"/>
  <c r="AR18" i="24"/>
  <c r="L17" i="27" l="1"/>
  <c r="M17" i="27" s="1"/>
  <c r="Y18" i="27"/>
  <c r="U18" i="27"/>
  <c r="AI17" i="27"/>
  <c r="AQ17" i="27"/>
  <c r="AR17" i="27" s="1"/>
  <c r="BA17" i="27" s="1"/>
  <c r="X19" i="24"/>
  <c r="R19" i="24"/>
  <c r="S19" i="24"/>
  <c r="T19" i="24"/>
  <c r="G18" i="24"/>
  <c r="AQ18" i="24" s="1"/>
  <c r="AO18" i="24" s="1"/>
  <c r="J18" i="24"/>
  <c r="K18" i="24"/>
  <c r="AP18" i="24"/>
  <c r="AS17" i="27" l="1"/>
  <c r="R17" i="27"/>
  <c r="AK17" i="27"/>
  <c r="AL17" i="27" s="1"/>
  <c r="V18" i="27" s="1"/>
  <c r="W18" i="27" s="1"/>
  <c r="Z18" i="27" s="1"/>
  <c r="A18" i="27"/>
  <c r="S17" i="27"/>
  <c r="C18" i="27" s="1"/>
  <c r="N17" i="27"/>
  <c r="U19" i="24"/>
  <c r="V19" i="24"/>
  <c r="L18" i="24"/>
  <c r="M18" i="24" s="1"/>
  <c r="AJ19" i="24"/>
  <c r="D18" i="27" l="1"/>
  <c r="B18" i="27"/>
  <c r="F18" i="27"/>
  <c r="G18" i="27" s="1"/>
  <c r="P17" i="27"/>
  <c r="BC17" i="27"/>
  <c r="BD17" i="27"/>
  <c r="X18" i="27"/>
  <c r="AB18" i="27"/>
  <c r="AA18" i="27"/>
  <c r="AC18" i="27" s="1"/>
  <c r="AD18" i="27" s="1"/>
  <c r="BB17" i="27"/>
  <c r="W19" i="24"/>
  <c r="Z19" i="24"/>
  <c r="AA19" i="24"/>
  <c r="Y19" i="24"/>
  <c r="AK19" i="24"/>
  <c r="N18" i="24"/>
  <c r="O18" i="24" s="1"/>
  <c r="A19" i="24" s="1"/>
  <c r="AE18" i="27" l="1"/>
  <c r="AF18" i="27" s="1"/>
  <c r="E18" i="27"/>
  <c r="I18" i="27"/>
  <c r="H18" i="27"/>
  <c r="J18" i="27" s="1"/>
  <c r="K18" i="27" s="1"/>
  <c r="AJ18" i="27"/>
  <c r="AV18" i="27"/>
  <c r="O17" i="27"/>
  <c r="AY17" i="27"/>
  <c r="AW17" i="27" s="1"/>
  <c r="AZ18" i="27"/>
  <c r="AT18" i="27"/>
  <c r="AB19" i="24"/>
  <c r="AC19" i="24" s="1"/>
  <c r="P18" i="24"/>
  <c r="B19" i="24"/>
  <c r="C19" i="24"/>
  <c r="D19" i="24" s="1"/>
  <c r="H19" i="24"/>
  <c r="L18" i="27" l="1"/>
  <c r="M18" i="27" s="1"/>
  <c r="AX17" i="27"/>
  <c r="AU17" i="27"/>
  <c r="AP18" i="27"/>
  <c r="AH18" i="27"/>
  <c r="Q18" i="27"/>
  <c r="T19" i="27"/>
  <c r="AG18" i="27"/>
  <c r="AD19" i="24"/>
  <c r="AE19" i="24" s="1"/>
  <c r="Q20" i="24" s="1"/>
  <c r="AF19" i="24"/>
  <c r="E19" i="24"/>
  <c r="F19" i="24"/>
  <c r="I19" i="24" s="1"/>
  <c r="AR19" i="24"/>
  <c r="U19" i="27" l="1"/>
  <c r="Y19" i="27"/>
  <c r="AQ18" i="27"/>
  <c r="AR18" i="27" s="1"/>
  <c r="BA18" i="27" s="1"/>
  <c r="AI18" i="27"/>
  <c r="A19" i="27"/>
  <c r="N18" i="27"/>
  <c r="X20" i="24"/>
  <c r="S20" i="24"/>
  <c r="T20" i="24" s="1"/>
  <c r="R20" i="24"/>
  <c r="J19" i="24"/>
  <c r="K19" i="24"/>
  <c r="G19" i="24"/>
  <c r="AQ19" i="24" s="1"/>
  <c r="AO19" i="24" s="1"/>
  <c r="AP19" i="24"/>
  <c r="AK18" i="27" l="1"/>
  <c r="AL18" i="27" s="1"/>
  <c r="V19" i="27" s="1"/>
  <c r="W19" i="27" s="1"/>
  <c r="AS18" i="27"/>
  <c r="BB18" i="27" s="1"/>
  <c r="R18" i="27"/>
  <c r="B19" i="27"/>
  <c r="F19" i="27"/>
  <c r="U20" i="24"/>
  <c r="V20" i="24"/>
  <c r="Y20" i="24" s="1"/>
  <c r="AJ20" i="24"/>
  <c r="L19" i="24"/>
  <c r="M19" i="24" s="1"/>
  <c r="AT19" i="27" l="1"/>
  <c r="AZ19" i="27"/>
  <c r="P18" i="27"/>
  <c r="BC18" i="27"/>
  <c r="BD18" i="27"/>
  <c r="S18" i="27"/>
  <c r="C19" i="27" s="1"/>
  <c r="D19" i="27" s="1"/>
  <c r="X19" i="27"/>
  <c r="AB19" i="27"/>
  <c r="AA19" i="27"/>
  <c r="AC19" i="27" s="1"/>
  <c r="Z19" i="27"/>
  <c r="AD19" i="27" s="1"/>
  <c r="W20" i="24"/>
  <c r="Z20" i="24"/>
  <c r="AB20" i="24" s="1"/>
  <c r="AC20" i="24" s="1"/>
  <c r="AA20" i="24"/>
  <c r="AK20" i="24"/>
  <c r="N19" i="24"/>
  <c r="O19" i="24" s="1"/>
  <c r="A20" i="24" s="1"/>
  <c r="E19" i="27" l="1"/>
  <c r="I19" i="27"/>
  <c r="H19" i="27"/>
  <c r="J19" i="27" s="1"/>
  <c r="AE19" i="27"/>
  <c r="AF19" i="27" s="1"/>
  <c r="AJ19" i="27"/>
  <c r="AV19" i="27"/>
  <c r="O18" i="27"/>
  <c r="AY18" i="27"/>
  <c r="AW18" i="27" s="1"/>
  <c r="G19" i="27"/>
  <c r="K19" i="27" s="1"/>
  <c r="AD20" i="24"/>
  <c r="AE20" i="24" s="1"/>
  <c r="Q21" i="24" s="1"/>
  <c r="P19" i="24"/>
  <c r="H20" i="24"/>
  <c r="B20" i="24"/>
  <c r="C20" i="24"/>
  <c r="D20" i="24" s="1"/>
  <c r="AP19" i="27" l="1"/>
  <c r="AH19" i="27"/>
  <c r="L19" i="27"/>
  <c r="M19" i="27" s="1"/>
  <c r="AG19" i="27"/>
  <c r="AX18" i="27"/>
  <c r="AU18" i="27"/>
  <c r="T20" i="27"/>
  <c r="Q19" i="27"/>
  <c r="R21" i="24"/>
  <c r="S21" i="24"/>
  <c r="T21" i="24"/>
  <c r="X21" i="24"/>
  <c r="AF20" i="24"/>
  <c r="E20" i="24"/>
  <c r="F20" i="24"/>
  <c r="I20" i="24" s="1"/>
  <c r="AR20" i="24"/>
  <c r="N19" i="27" l="1"/>
  <c r="U20" i="27"/>
  <c r="Y20" i="27"/>
  <c r="AI19" i="27"/>
  <c r="A20" i="27"/>
  <c r="AQ19" i="27"/>
  <c r="AR19" i="27" s="1"/>
  <c r="BA19" i="27" s="1"/>
  <c r="U21" i="24"/>
  <c r="G20" i="24"/>
  <c r="AQ20" i="24" s="1"/>
  <c r="AO20" i="24" s="1"/>
  <c r="V21" i="24" s="1"/>
  <c r="J20" i="24"/>
  <c r="K20" i="24"/>
  <c r="AP20" i="24"/>
  <c r="AS19" i="27" l="1"/>
  <c r="R19" i="27"/>
  <c r="AK19" i="27"/>
  <c r="AL19" i="27" s="1"/>
  <c r="V20" i="27" s="1"/>
  <c r="W20" i="27" s="1"/>
  <c r="Z20" i="27"/>
  <c r="B20" i="27"/>
  <c r="F20" i="27"/>
  <c r="AA21" i="24"/>
  <c r="W21" i="24"/>
  <c r="Z21" i="24"/>
  <c r="AB21" i="24" s="1"/>
  <c r="Y21" i="24"/>
  <c r="AC21" i="24" s="1"/>
  <c r="L20" i="24"/>
  <c r="M20" i="24" s="1"/>
  <c r="AJ21" i="24"/>
  <c r="P19" i="27" l="1"/>
  <c r="BC19" i="27"/>
  <c r="BD19" i="27"/>
  <c r="S19" i="27"/>
  <c r="C20" i="27" s="1"/>
  <c r="D20" i="27" s="1"/>
  <c r="AT20" i="27"/>
  <c r="AZ20" i="27"/>
  <c r="X20" i="27"/>
  <c r="AB20" i="27"/>
  <c r="AA20" i="27"/>
  <c r="AC20" i="27" s="1"/>
  <c r="AD20" i="27" s="1"/>
  <c r="BB19" i="27"/>
  <c r="AD21" i="24"/>
  <c r="AE21" i="24" s="1"/>
  <c r="Q22" i="24" s="1"/>
  <c r="AF21" i="24"/>
  <c r="N20" i="24"/>
  <c r="O20" i="24" s="1"/>
  <c r="A21" i="24" s="1"/>
  <c r="AK21" i="24"/>
  <c r="AE20" i="27" l="1"/>
  <c r="AF20" i="27" s="1"/>
  <c r="AJ20" i="27"/>
  <c r="E20" i="27"/>
  <c r="H20" i="27"/>
  <c r="I20" i="27"/>
  <c r="AY19" i="27"/>
  <c r="AW19" i="27" s="1"/>
  <c r="O19" i="27"/>
  <c r="G20" i="27"/>
  <c r="X22" i="24"/>
  <c r="R22" i="24"/>
  <c r="S22" i="24"/>
  <c r="T22" i="24"/>
  <c r="B21" i="24"/>
  <c r="C21" i="24"/>
  <c r="D21" i="24" s="1"/>
  <c r="H21" i="24"/>
  <c r="P20" i="24"/>
  <c r="AX19" i="27" l="1"/>
  <c r="AU19" i="27"/>
  <c r="Q20" i="27"/>
  <c r="AP20" i="27"/>
  <c r="AH20" i="27"/>
  <c r="J20" i="27"/>
  <c r="K20" i="27" s="1"/>
  <c r="AV20" i="27"/>
  <c r="T21" i="27"/>
  <c r="AG20" i="27"/>
  <c r="U22" i="24"/>
  <c r="E21" i="24"/>
  <c r="F21" i="24"/>
  <c r="I21" i="24" s="1"/>
  <c r="AR21" i="24"/>
  <c r="L20" i="27" l="1"/>
  <c r="M20" i="27" s="1"/>
  <c r="Y21" i="27"/>
  <c r="U21" i="27"/>
  <c r="AQ20" i="27"/>
  <c r="AR20" i="27" s="1"/>
  <c r="BA20" i="27" s="1"/>
  <c r="AI20" i="27"/>
  <c r="G21" i="24"/>
  <c r="AQ21" i="24" s="1"/>
  <c r="AO21" i="24" s="1"/>
  <c r="V22" i="24" s="1"/>
  <c r="J21" i="24"/>
  <c r="K21" i="24"/>
  <c r="AP21" i="24"/>
  <c r="AS20" i="27" l="1"/>
  <c r="R20" i="27"/>
  <c r="AK20" i="27"/>
  <c r="AL20" i="27" s="1"/>
  <c r="V21" i="27" s="1"/>
  <c r="W21" i="27" s="1"/>
  <c r="A21" i="27"/>
  <c r="S20" i="27"/>
  <c r="C21" i="27" s="1"/>
  <c r="N20" i="27"/>
  <c r="Z22" i="24"/>
  <c r="W22" i="24"/>
  <c r="AA22" i="24"/>
  <c r="Y22" i="24"/>
  <c r="L21" i="24"/>
  <c r="M21" i="24" s="1"/>
  <c r="AJ22" i="24"/>
  <c r="D21" i="27" l="1"/>
  <c r="B21" i="27"/>
  <c r="F21" i="27"/>
  <c r="G21" i="27" s="1"/>
  <c r="P20" i="27"/>
  <c r="BC20" i="27"/>
  <c r="BD20" i="27"/>
  <c r="X21" i="27"/>
  <c r="AB21" i="27"/>
  <c r="AA21" i="27"/>
  <c r="AC21" i="27" s="1"/>
  <c r="Z21" i="27"/>
  <c r="BB20" i="27"/>
  <c r="AB22" i="24"/>
  <c r="AC22" i="24" s="1"/>
  <c r="AK22" i="24"/>
  <c r="N21" i="24"/>
  <c r="O21" i="24" s="1"/>
  <c r="A22" i="24" s="1"/>
  <c r="AJ21" i="27" l="1"/>
  <c r="AT21" i="27"/>
  <c r="AZ21" i="27"/>
  <c r="O20" i="27"/>
  <c r="AY20" i="27"/>
  <c r="AW20" i="27" s="1"/>
  <c r="E21" i="27"/>
  <c r="H21" i="27"/>
  <c r="I21" i="27"/>
  <c r="AD21" i="27"/>
  <c r="AD22" i="24"/>
  <c r="AE22" i="24" s="1"/>
  <c r="Q23" i="24" s="1"/>
  <c r="AF22" i="24"/>
  <c r="P21" i="24"/>
  <c r="H22" i="24"/>
  <c r="B22" i="24"/>
  <c r="C22" i="24"/>
  <c r="D22" i="24" s="1"/>
  <c r="AE21" i="27" l="1"/>
  <c r="AF21" i="27" s="1"/>
  <c r="Q21" i="27"/>
  <c r="J21" i="27"/>
  <c r="K21" i="27" s="1"/>
  <c r="AP21" i="27"/>
  <c r="AH21" i="27"/>
  <c r="AX20" i="27"/>
  <c r="AU20" i="27"/>
  <c r="AV21" i="27"/>
  <c r="X23" i="24"/>
  <c r="S23" i="24"/>
  <c r="T23" i="24" s="1"/>
  <c r="R23" i="24"/>
  <c r="E22" i="24"/>
  <c r="F22" i="24"/>
  <c r="I22" i="24" s="1"/>
  <c r="AR22" i="24"/>
  <c r="L21" i="27" l="1"/>
  <c r="M21" i="27" s="1"/>
  <c r="N21" i="27"/>
  <c r="AI21" i="27"/>
  <c r="AQ21" i="27"/>
  <c r="AR21" i="27" s="1"/>
  <c r="BA21" i="27" s="1"/>
  <c r="T22" i="27"/>
  <c r="AG21" i="27"/>
  <c r="U23" i="24"/>
  <c r="J22" i="24"/>
  <c r="K22" i="24"/>
  <c r="G22" i="24"/>
  <c r="AQ22" i="24" s="1"/>
  <c r="AO22" i="24" s="1"/>
  <c r="V23" i="24" s="1"/>
  <c r="AP22" i="24"/>
  <c r="AK21" i="27" l="1"/>
  <c r="AL21" i="27" s="1"/>
  <c r="V22" i="27" s="1"/>
  <c r="AS21" i="27"/>
  <c r="R21" i="27"/>
  <c r="Y22" i="27"/>
  <c r="W22" i="27"/>
  <c r="U22" i="27"/>
  <c r="Z22" i="27"/>
  <c r="A22" i="27"/>
  <c r="S21" i="27"/>
  <c r="C22" i="27" s="1"/>
  <c r="W23" i="24"/>
  <c r="Z23" i="24"/>
  <c r="AA23" i="24"/>
  <c r="Y23" i="24"/>
  <c r="AJ23" i="24"/>
  <c r="L22" i="24"/>
  <c r="M22" i="24" s="1"/>
  <c r="B22" i="27" l="1"/>
  <c r="D22" i="27"/>
  <c r="F22" i="27"/>
  <c r="G22" i="27" s="1"/>
  <c r="P21" i="27"/>
  <c r="BC21" i="27"/>
  <c r="BD21" i="27"/>
  <c r="BB21" i="27"/>
  <c r="X22" i="27"/>
  <c r="AB22" i="27"/>
  <c r="AA22" i="27"/>
  <c r="AC22" i="27" s="1"/>
  <c r="AD22" i="27" s="1"/>
  <c r="AB23" i="24"/>
  <c r="AC23" i="24" s="1"/>
  <c r="N22" i="24"/>
  <c r="O22" i="24" s="1"/>
  <c r="A23" i="24" s="1"/>
  <c r="AK23" i="24"/>
  <c r="AE22" i="27" l="1"/>
  <c r="AF22" i="27" s="1"/>
  <c r="AG22" i="27"/>
  <c r="AJ22" i="27"/>
  <c r="O21" i="27"/>
  <c r="AY21" i="27"/>
  <c r="AW21" i="27" s="1"/>
  <c r="E22" i="27"/>
  <c r="I22" i="27"/>
  <c r="H22" i="27"/>
  <c r="J22" i="27" s="1"/>
  <c r="K22" i="27" s="1"/>
  <c r="AZ22" i="27"/>
  <c r="AT22" i="27"/>
  <c r="AD23" i="24"/>
  <c r="AE23" i="24" s="1"/>
  <c r="Q24" i="24" s="1"/>
  <c r="P22" i="24"/>
  <c r="H23" i="24"/>
  <c r="B23" i="24"/>
  <c r="C23" i="24"/>
  <c r="D23" i="24" s="1"/>
  <c r="L22" i="27" l="1"/>
  <c r="M22" i="27" s="1"/>
  <c r="Q22" i="27"/>
  <c r="AX21" i="27"/>
  <c r="AU21" i="27"/>
  <c r="AV22" i="27"/>
  <c r="AP22" i="27"/>
  <c r="AH22" i="27"/>
  <c r="T23" i="27"/>
  <c r="R24" i="24"/>
  <c r="S24" i="24"/>
  <c r="T24" i="24"/>
  <c r="X24" i="24"/>
  <c r="AF23" i="24"/>
  <c r="E23" i="24"/>
  <c r="F23" i="24"/>
  <c r="I23" i="24" s="1"/>
  <c r="AR23" i="24"/>
  <c r="Y23" i="27" l="1"/>
  <c r="U23" i="27"/>
  <c r="AQ22" i="27"/>
  <c r="AR22" i="27" s="1"/>
  <c r="AI22" i="27"/>
  <c r="BA22" i="27"/>
  <c r="A23" i="27"/>
  <c r="N22" i="27"/>
  <c r="U24" i="24"/>
  <c r="G23" i="24"/>
  <c r="AQ23" i="24" s="1"/>
  <c r="AO23" i="24" s="1"/>
  <c r="V24" i="24" s="1"/>
  <c r="J23" i="24"/>
  <c r="K23" i="24"/>
  <c r="AP23" i="24"/>
  <c r="AK22" i="27" l="1"/>
  <c r="AL22" i="27" s="1"/>
  <c r="V23" i="27" s="1"/>
  <c r="W23" i="27" s="1"/>
  <c r="AS22" i="27"/>
  <c r="R22" i="27"/>
  <c r="B23" i="27"/>
  <c r="F23" i="27"/>
  <c r="Z23" i="27"/>
  <c r="W24" i="24"/>
  <c r="Z24" i="24"/>
  <c r="AA24" i="24"/>
  <c r="Y24" i="24"/>
  <c r="L23" i="24"/>
  <c r="M23" i="24" s="1"/>
  <c r="AJ24" i="24"/>
  <c r="P22" i="27" l="1"/>
  <c r="BC22" i="27"/>
  <c r="BD22" i="27"/>
  <c r="S22" i="27"/>
  <c r="C23" i="27" s="1"/>
  <c r="D23" i="27" s="1"/>
  <c r="BB22" i="27"/>
  <c r="AZ23" i="27"/>
  <c r="AT23" i="27"/>
  <c r="X23" i="27"/>
  <c r="AB23" i="27"/>
  <c r="AA23" i="27"/>
  <c r="AC23" i="27" s="1"/>
  <c r="AD23" i="27" s="1"/>
  <c r="AB24" i="24"/>
  <c r="AC24" i="24" s="1"/>
  <c r="AK24" i="24"/>
  <c r="N23" i="24"/>
  <c r="O23" i="24" s="1"/>
  <c r="A24" i="24" s="1"/>
  <c r="AE23" i="27" l="1"/>
  <c r="AF23" i="27" s="1"/>
  <c r="AJ23" i="27"/>
  <c r="AV23" i="27"/>
  <c r="E23" i="27"/>
  <c r="I23" i="27"/>
  <c r="H23" i="27"/>
  <c r="J23" i="27" s="1"/>
  <c r="G23" i="27"/>
  <c r="O22" i="27"/>
  <c r="AY22" i="27"/>
  <c r="AW22" i="27" s="1"/>
  <c r="AD24" i="24"/>
  <c r="AE24" i="24" s="1"/>
  <c r="Q25" i="24" s="1"/>
  <c r="AF24" i="24"/>
  <c r="P23" i="24"/>
  <c r="B24" i="24"/>
  <c r="C24" i="24"/>
  <c r="D24" i="24" s="1"/>
  <c r="H24" i="24"/>
  <c r="AP23" i="27" l="1"/>
  <c r="AH23" i="27"/>
  <c r="AX22" i="27"/>
  <c r="AU22" i="27"/>
  <c r="Q23" i="27"/>
  <c r="K23" i="27"/>
  <c r="T24" i="27"/>
  <c r="AG23" i="27"/>
  <c r="X25" i="24"/>
  <c r="R25" i="24"/>
  <c r="S25" i="24"/>
  <c r="T25" i="24" s="1"/>
  <c r="E24" i="24"/>
  <c r="F24" i="24"/>
  <c r="I24" i="24" s="1"/>
  <c r="AR24" i="24"/>
  <c r="L23" i="27" l="1"/>
  <c r="M23" i="27" s="1"/>
  <c r="U24" i="27"/>
  <c r="Y24" i="27"/>
  <c r="AI23" i="27"/>
  <c r="BA23" i="27"/>
  <c r="AQ23" i="27"/>
  <c r="AR23" i="27" s="1"/>
  <c r="U25" i="24"/>
  <c r="G24" i="24"/>
  <c r="AQ24" i="24" s="1"/>
  <c r="AO24" i="24" s="1"/>
  <c r="V25" i="24" s="1"/>
  <c r="J24" i="24"/>
  <c r="K24" i="24"/>
  <c r="AP24" i="24"/>
  <c r="AK23" i="27" l="1"/>
  <c r="AL23" i="27" s="1"/>
  <c r="V24" i="27" s="1"/>
  <c r="W24" i="27" s="1"/>
  <c r="AS23" i="27"/>
  <c r="BB23" i="27" s="1"/>
  <c r="R23" i="27"/>
  <c r="A24" i="27"/>
  <c r="S23" i="27"/>
  <c r="C24" i="27" s="1"/>
  <c r="N23" i="27"/>
  <c r="Z25" i="24"/>
  <c r="AA25" i="24"/>
  <c r="W25" i="24"/>
  <c r="Y25" i="24"/>
  <c r="L24" i="24"/>
  <c r="M24" i="24" s="1"/>
  <c r="AJ25" i="24"/>
  <c r="D24" i="27" l="1"/>
  <c r="B24" i="27"/>
  <c r="F24" i="27"/>
  <c r="G24" i="27" s="1"/>
  <c r="P23" i="27"/>
  <c r="BC23" i="27"/>
  <c r="BD23" i="27"/>
  <c r="X24" i="27"/>
  <c r="AB24" i="27"/>
  <c r="AA24" i="27"/>
  <c r="AC24" i="27" s="1"/>
  <c r="Z24" i="27"/>
  <c r="AB25" i="24"/>
  <c r="AC25" i="24" s="1"/>
  <c r="AK25" i="24"/>
  <c r="N24" i="24"/>
  <c r="O24" i="24" s="1"/>
  <c r="A25" i="24" s="1"/>
  <c r="O23" i="27" l="1"/>
  <c r="AY23" i="27"/>
  <c r="AW23" i="27" s="1"/>
  <c r="AJ24" i="27"/>
  <c r="AZ24" i="27"/>
  <c r="AT24" i="27"/>
  <c r="E24" i="27"/>
  <c r="I24" i="27"/>
  <c r="H24" i="27"/>
  <c r="J24" i="27" s="1"/>
  <c r="K24" i="27" s="1"/>
  <c r="AD24" i="27"/>
  <c r="AD25" i="24"/>
  <c r="AE25" i="24" s="1"/>
  <c r="Q26" i="24" s="1"/>
  <c r="B25" i="24"/>
  <c r="C25" i="24"/>
  <c r="D25" i="24" s="1"/>
  <c r="H25" i="24"/>
  <c r="P24" i="24"/>
  <c r="L24" i="27" l="1"/>
  <c r="M24" i="27" s="1"/>
  <c r="N24" i="27"/>
  <c r="AE24" i="27"/>
  <c r="AF24" i="27" s="1"/>
  <c r="Q24" i="27"/>
  <c r="AV24" i="27"/>
  <c r="AP24" i="27"/>
  <c r="AH24" i="27"/>
  <c r="AX23" i="27"/>
  <c r="AU23" i="27"/>
  <c r="X26" i="24"/>
  <c r="S26" i="24"/>
  <c r="T26" i="24" s="1"/>
  <c r="R26" i="24"/>
  <c r="AF25" i="24"/>
  <c r="E25" i="24"/>
  <c r="F25" i="24"/>
  <c r="I25" i="24" s="1"/>
  <c r="AR25" i="24"/>
  <c r="AI24" i="27" l="1"/>
  <c r="T25" i="27"/>
  <c r="AQ24" i="27"/>
  <c r="AR24" i="27" s="1"/>
  <c r="BA24" i="27"/>
  <c r="AG24" i="27"/>
  <c r="A25" i="27"/>
  <c r="U26" i="24"/>
  <c r="J25" i="24"/>
  <c r="K25" i="24"/>
  <c r="G25" i="24"/>
  <c r="AQ25" i="24" s="1"/>
  <c r="AO25" i="24" s="1"/>
  <c r="V26" i="24" s="1"/>
  <c r="AP25" i="24"/>
  <c r="B25" i="27" l="1"/>
  <c r="F25" i="27"/>
  <c r="AK24" i="27"/>
  <c r="AL24" i="27" s="1"/>
  <c r="V25" i="27" s="1"/>
  <c r="W25" i="27" s="1"/>
  <c r="AS24" i="27"/>
  <c r="BB24" i="27" s="1"/>
  <c r="R24" i="27"/>
  <c r="U25" i="27"/>
  <c r="Y25" i="27"/>
  <c r="Z25" i="27" s="1"/>
  <c r="W26" i="24"/>
  <c r="Z26" i="24"/>
  <c r="AA26" i="24"/>
  <c r="Y26" i="24"/>
  <c r="AJ26" i="24"/>
  <c r="L25" i="24"/>
  <c r="M25" i="24" s="1"/>
  <c r="X25" i="27" l="1"/>
  <c r="AB25" i="27"/>
  <c r="AA25" i="27"/>
  <c r="AC25" i="27" s="1"/>
  <c r="AD25" i="27" s="1"/>
  <c r="P24" i="27"/>
  <c r="BC24" i="27"/>
  <c r="BD24" i="27"/>
  <c r="S24" i="27"/>
  <c r="C25" i="27" s="1"/>
  <c r="D25" i="27" s="1"/>
  <c r="AZ25" i="27"/>
  <c r="AT25" i="27"/>
  <c r="AB26" i="24"/>
  <c r="AC26" i="24" s="1"/>
  <c r="AK26" i="24"/>
  <c r="N25" i="24"/>
  <c r="O25" i="24" s="1"/>
  <c r="A26" i="24" s="1"/>
  <c r="AE25" i="27" l="1"/>
  <c r="AF25" i="27" s="1"/>
  <c r="E25" i="27"/>
  <c r="I25" i="27"/>
  <c r="H25" i="27"/>
  <c r="J25" i="27" s="1"/>
  <c r="G25" i="27"/>
  <c r="K25" i="27" s="1"/>
  <c r="AY24" i="27"/>
  <c r="AW24" i="27" s="1"/>
  <c r="O24" i="27"/>
  <c r="AJ25" i="27"/>
  <c r="AV25" i="27"/>
  <c r="AD26" i="24"/>
  <c r="AE26" i="24" s="1"/>
  <c r="Q27" i="24" s="1"/>
  <c r="AF26" i="24"/>
  <c r="P25" i="24"/>
  <c r="H26" i="24"/>
  <c r="B26" i="24"/>
  <c r="C26" i="24"/>
  <c r="D26" i="24" s="1"/>
  <c r="L25" i="27" l="1"/>
  <c r="M25" i="27" s="1"/>
  <c r="AX24" i="27"/>
  <c r="AU24" i="27"/>
  <c r="AP25" i="27"/>
  <c r="AH25" i="27"/>
  <c r="Q25" i="27"/>
  <c r="T26" i="27"/>
  <c r="AG25" i="27"/>
  <c r="R27" i="24"/>
  <c r="S27" i="24"/>
  <c r="T27" i="24"/>
  <c r="X27" i="24"/>
  <c r="E26" i="24"/>
  <c r="F26" i="24"/>
  <c r="I26" i="24" s="1"/>
  <c r="AR26" i="24"/>
  <c r="U26" i="27" l="1"/>
  <c r="Y26" i="27"/>
  <c r="AI25" i="27"/>
  <c r="AQ25" i="27"/>
  <c r="AR25" i="27" s="1"/>
  <c r="BA25" i="27" s="1"/>
  <c r="A26" i="27"/>
  <c r="N25" i="27"/>
  <c r="U27" i="24"/>
  <c r="G26" i="24"/>
  <c r="AQ26" i="24" s="1"/>
  <c r="AO26" i="24" s="1"/>
  <c r="V27" i="24" s="1"/>
  <c r="J26" i="24"/>
  <c r="K26" i="24"/>
  <c r="AP26" i="24"/>
  <c r="AK25" i="27" l="1"/>
  <c r="AL25" i="27" s="1"/>
  <c r="V26" i="27" s="1"/>
  <c r="W26" i="27" s="1"/>
  <c r="AS25" i="27"/>
  <c r="BB25" i="27" s="1"/>
  <c r="R25" i="27"/>
  <c r="B26" i="27"/>
  <c r="F26" i="27"/>
  <c r="W27" i="24"/>
  <c r="AA27" i="24"/>
  <c r="Z27" i="24"/>
  <c r="AB27" i="24" s="1"/>
  <c r="Y27" i="24"/>
  <c r="AC27" i="24" s="1"/>
  <c r="L26" i="24"/>
  <c r="M26" i="24" s="1"/>
  <c r="AJ27" i="24"/>
  <c r="AZ26" i="27" l="1"/>
  <c r="AT26" i="27"/>
  <c r="P25" i="27"/>
  <c r="BC25" i="27"/>
  <c r="BD25" i="27"/>
  <c r="S25" i="27"/>
  <c r="C26" i="27" s="1"/>
  <c r="D26" i="27" s="1"/>
  <c r="X26" i="27"/>
  <c r="AB26" i="27"/>
  <c r="AA26" i="27"/>
  <c r="AC26" i="27" s="1"/>
  <c r="Z26" i="27"/>
  <c r="AD26" i="27" s="1"/>
  <c r="AD27" i="24"/>
  <c r="AE27" i="24" s="1"/>
  <c r="Q28" i="24" s="1"/>
  <c r="AF27" i="24"/>
  <c r="AK27" i="24"/>
  <c r="N26" i="24"/>
  <c r="O26" i="24" s="1"/>
  <c r="A27" i="24" s="1"/>
  <c r="AJ26" i="27" l="1"/>
  <c r="E26" i="27"/>
  <c r="H26" i="27"/>
  <c r="J26" i="27" s="1"/>
  <c r="I26" i="27"/>
  <c r="O25" i="27"/>
  <c r="AY25" i="27"/>
  <c r="AW25" i="27" s="1"/>
  <c r="AE26" i="27"/>
  <c r="AF26" i="27" s="1"/>
  <c r="G26" i="27"/>
  <c r="K26" i="27" s="1"/>
  <c r="R28" i="24"/>
  <c r="S28" i="24"/>
  <c r="T28" i="24" s="1"/>
  <c r="X28" i="24"/>
  <c r="P26" i="24"/>
  <c r="B27" i="24"/>
  <c r="C27" i="24"/>
  <c r="D27" i="24" s="1"/>
  <c r="H27" i="24"/>
  <c r="L26" i="27" l="1"/>
  <c r="M26" i="27" s="1"/>
  <c r="T27" i="27"/>
  <c r="AX25" i="27"/>
  <c r="AU25" i="27"/>
  <c r="AG26" i="27"/>
  <c r="AP26" i="27"/>
  <c r="AH26" i="27"/>
  <c r="Q26" i="27"/>
  <c r="AV26" i="27"/>
  <c r="U28" i="24"/>
  <c r="E27" i="24"/>
  <c r="F27" i="24"/>
  <c r="I27" i="24" s="1"/>
  <c r="AR27" i="24"/>
  <c r="AI26" i="27" l="1"/>
  <c r="AQ26" i="27"/>
  <c r="AR26" i="27" s="1"/>
  <c r="BA26" i="27" s="1"/>
  <c r="U27" i="27"/>
  <c r="Y27" i="27"/>
  <c r="A27" i="27"/>
  <c r="N26" i="27"/>
  <c r="G27" i="24"/>
  <c r="AQ27" i="24" s="1"/>
  <c r="AO27" i="24" s="1"/>
  <c r="V28" i="24" s="1"/>
  <c r="J27" i="24"/>
  <c r="K27" i="24"/>
  <c r="AP27" i="24"/>
  <c r="R26" i="27" l="1"/>
  <c r="AK26" i="27"/>
  <c r="AL26" i="27" s="1"/>
  <c r="V27" i="27" s="1"/>
  <c r="W27" i="27" s="1"/>
  <c r="AS26" i="27"/>
  <c r="BB26" i="27" s="1"/>
  <c r="B27" i="27"/>
  <c r="F27" i="27"/>
  <c r="Z28" i="24"/>
  <c r="AA28" i="24"/>
  <c r="W28" i="24"/>
  <c r="Y28" i="24"/>
  <c r="L27" i="24"/>
  <c r="M27" i="24" s="1"/>
  <c r="AJ28" i="24"/>
  <c r="AT27" i="27" l="1"/>
  <c r="AZ27" i="27"/>
  <c r="X27" i="27"/>
  <c r="AB27" i="27"/>
  <c r="AA27" i="27"/>
  <c r="AC27" i="27" s="1"/>
  <c r="P26" i="27"/>
  <c r="BC26" i="27"/>
  <c r="BD26" i="27"/>
  <c r="S26" i="27"/>
  <c r="C27" i="27" s="1"/>
  <c r="D27" i="27" s="1"/>
  <c r="Z27" i="27"/>
  <c r="AB28" i="24"/>
  <c r="AC28" i="24" s="1"/>
  <c r="AK28" i="24"/>
  <c r="N27" i="24"/>
  <c r="O27" i="24" s="1"/>
  <c r="A28" i="24" s="1"/>
  <c r="O26" i="27" l="1"/>
  <c r="AY26" i="27"/>
  <c r="AW26" i="27" s="1"/>
  <c r="AJ27" i="27"/>
  <c r="E27" i="27"/>
  <c r="H27" i="27"/>
  <c r="I27" i="27"/>
  <c r="AD27" i="27"/>
  <c r="G27" i="27"/>
  <c r="AD28" i="24"/>
  <c r="AE28" i="24" s="1"/>
  <c r="Q29" i="24" s="1"/>
  <c r="AF28" i="24"/>
  <c r="P27" i="24"/>
  <c r="B28" i="24"/>
  <c r="C28" i="24"/>
  <c r="D28" i="24" s="1"/>
  <c r="H28" i="24"/>
  <c r="AE27" i="27" l="1"/>
  <c r="AF27" i="27" s="1"/>
  <c r="Q27" i="27"/>
  <c r="AV27" i="27"/>
  <c r="J27" i="27"/>
  <c r="K27" i="27" s="1"/>
  <c r="AP27" i="27"/>
  <c r="AH27" i="27"/>
  <c r="AX26" i="27"/>
  <c r="AU26" i="27"/>
  <c r="X29" i="24"/>
  <c r="S29" i="24"/>
  <c r="T29" i="24" s="1"/>
  <c r="R29" i="24"/>
  <c r="E28" i="24"/>
  <c r="F28" i="24"/>
  <c r="AR28" i="24"/>
  <c r="I28" i="24"/>
  <c r="L27" i="27" l="1"/>
  <c r="M27" i="27" s="1"/>
  <c r="AI27" i="27"/>
  <c r="AQ27" i="27"/>
  <c r="AR27" i="27" s="1"/>
  <c r="BA27" i="27" s="1"/>
  <c r="T28" i="27"/>
  <c r="AG27" i="27"/>
  <c r="U29" i="24"/>
  <c r="J28" i="24"/>
  <c r="K28" i="24"/>
  <c r="G28" i="24"/>
  <c r="AQ28" i="24" s="1"/>
  <c r="AO28" i="24" s="1"/>
  <c r="V29" i="24" s="1"/>
  <c r="AP28" i="24"/>
  <c r="AS27" i="27" l="1"/>
  <c r="R27" i="27"/>
  <c r="AK27" i="27"/>
  <c r="AL27" i="27" s="1"/>
  <c r="V28" i="27" s="1"/>
  <c r="W28" i="27"/>
  <c r="U28" i="27"/>
  <c r="Y28" i="27"/>
  <c r="Z28" i="27" s="1"/>
  <c r="S27" i="27"/>
  <c r="C28" i="27" s="1"/>
  <c r="A28" i="27"/>
  <c r="N27" i="27"/>
  <c r="W29" i="24"/>
  <c r="Z29" i="24"/>
  <c r="AA29" i="24"/>
  <c r="Y29" i="24"/>
  <c r="L28" i="24"/>
  <c r="M28" i="24" s="1"/>
  <c r="AJ29" i="24"/>
  <c r="P27" i="27" l="1"/>
  <c r="BC27" i="27"/>
  <c r="BD27" i="27"/>
  <c r="D28" i="27"/>
  <c r="B28" i="27"/>
  <c r="F28" i="27"/>
  <c r="G28" i="27" s="1"/>
  <c r="X28" i="27"/>
  <c r="AB28" i="27"/>
  <c r="AA28" i="27"/>
  <c r="AC28" i="27" s="1"/>
  <c r="AD28" i="27" s="1"/>
  <c r="BB27" i="27"/>
  <c r="AB29" i="24"/>
  <c r="AC29" i="24" s="1"/>
  <c r="AK29" i="24"/>
  <c r="N28" i="24"/>
  <c r="O28" i="24" s="1"/>
  <c r="A29" i="24" s="1"/>
  <c r="AE28" i="27" l="1"/>
  <c r="AF28" i="27" s="1"/>
  <c r="AJ28" i="27"/>
  <c r="AT28" i="27"/>
  <c r="AZ28" i="27"/>
  <c r="E28" i="27"/>
  <c r="H28" i="27"/>
  <c r="J28" i="27" s="1"/>
  <c r="K28" i="27" s="1"/>
  <c r="I28" i="27"/>
  <c r="O27" i="27"/>
  <c r="AY27" i="27"/>
  <c r="AW27" i="27" s="1"/>
  <c r="AD29" i="24"/>
  <c r="AE29" i="24" s="1"/>
  <c r="Q30" i="24" s="1"/>
  <c r="P28" i="24"/>
  <c r="H29" i="24"/>
  <c r="B29" i="24"/>
  <c r="C29" i="24"/>
  <c r="D29" i="24" s="1"/>
  <c r="L28" i="27" l="1"/>
  <c r="M28" i="27" s="1"/>
  <c r="N28" i="27"/>
  <c r="AX27" i="27"/>
  <c r="AU27" i="27"/>
  <c r="Q28" i="27"/>
  <c r="T29" i="27"/>
  <c r="AV28" i="27"/>
  <c r="AP28" i="27"/>
  <c r="AH28" i="27"/>
  <c r="AG28" i="27"/>
  <c r="R30" i="24"/>
  <c r="S30" i="24"/>
  <c r="T30" i="24" s="1"/>
  <c r="X30" i="24"/>
  <c r="AF29" i="24"/>
  <c r="E29" i="24"/>
  <c r="F29" i="24"/>
  <c r="I29" i="24" s="1"/>
  <c r="AR29" i="24"/>
  <c r="AI28" i="27" l="1"/>
  <c r="U29" i="27"/>
  <c r="Y29" i="27"/>
  <c r="AQ28" i="27"/>
  <c r="AR28" i="27" s="1"/>
  <c r="BA28" i="27" s="1"/>
  <c r="A29" i="27"/>
  <c r="U30" i="24"/>
  <c r="G29" i="24"/>
  <c r="AQ29" i="24" s="1"/>
  <c r="AO29" i="24" s="1"/>
  <c r="V30" i="24" s="1"/>
  <c r="J29" i="24"/>
  <c r="K29" i="24"/>
  <c r="AP29" i="24"/>
  <c r="AS28" i="27" l="1"/>
  <c r="R28" i="27"/>
  <c r="AK28" i="27"/>
  <c r="AL28" i="27" s="1"/>
  <c r="V29" i="27" s="1"/>
  <c r="W29" i="27" s="1"/>
  <c r="B29" i="27"/>
  <c r="F29" i="27"/>
  <c r="AA30" i="24"/>
  <c r="W30" i="24"/>
  <c r="Z30" i="24"/>
  <c r="AB30" i="24" s="1"/>
  <c r="Y30" i="24"/>
  <c r="AC30" i="24" s="1"/>
  <c r="L29" i="24"/>
  <c r="M29" i="24" s="1"/>
  <c r="AJ30" i="24"/>
  <c r="AT29" i="27" l="1"/>
  <c r="AZ29" i="27"/>
  <c r="P28" i="27"/>
  <c r="BC28" i="27"/>
  <c r="BD28" i="27"/>
  <c r="S28" i="27"/>
  <c r="C29" i="27" s="1"/>
  <c r="D29" i="27" s="1"/>
  <c r="X29" i="27"/>
  <c r="AB29" i="27"/>
  <c r="AA29" i="27"/>
  <c r="AC29" i="27" s="1"/>
  <c r="Z29" i="27"/>
  <c r="BB28" i="27"/>
  <c r="AD30" i="24"/>
  <c r="AE30" i="24" s="1"/>
  <c r="Q31" i="24" s="1"/>
  <c r="AF30" i="24"/>
  <c r="AK30" i="24"/>
  <c r="N29" i="24"/>
  <c r="O29" i="24" s="1"/>
  <c r="A30" i="24" s="1"/>
  <c r="AJ29" i="27" l="1"/>
  <c r="E29" i="27"/>
  <c r="H29" i="27"/>
  <c r="I29" i="27"/>
  <c r="G29" i="27"/>
  <c r="AY28" i="27"/>
  <c r="AW28" i="27" s="1"/>
  <c r="O28" i="27"/>
  <c r="AD29" i="27"/>
  <c r="X31" i="24"/>
  <c r="R31" i="24"/>
  <c r="S31" i="24"/>
  <c r="T31" i="24" s="1"/>
  <c r="B30" i="24"/>
  <c r="C30" i="24"/>
  <c r="D30" i="24" s="1"/>
  <c r="H30" i="24"/>
  <c r="P29" i="24"/>
  <c r="AX28" i="27" l="1"/>
  <c r="AU28" i="27"/>
  <c r="AE29" i="27"/>
  <c r="AF29" i="27" s="1"/>
  <c r="Q29" i="27"/>
  <c r="AP29" i="27"/>
  <c r="AH29" i="27"/>
  <c r="J29" i="27"/>
  <c r="K29" i="27" s="1"/>
  <c r="AV29" i="27"/>
  <c r="U31" i="24"/>
  <c r="E30" i="24"/>
  <c r="F30" i="24"/>
  <c r="I30" i="24" s="1"/>
  <c r="AR30" i="24"/>
  <c r="L29" i="27" l="1"/>
  <c r="M29" i="27" s="1"/>
  <c r="N29" i="27"/>
  <c r="AI29" i="27"/>
  <c r="AQ29" i="27"/>
  <c r="AR29" i="27" s="1"/>
  <c r="BA29" i="27" s="1"/>
  <c r="T30" i="27"/>
  <c r="AG29" i="27"/>
  <c r="G30" i="24"/>
  <c r="AQ30" i="24" s="1"/>
  <c r="AO30" i="24" s="1"/>
  <c r="V31" i="24" s="1"/>
  <c r="J30" i="24"/>
  <c r="K30" i="24"/>
  <c r="AP30" i="24"/>
  <c r="AK29" i="27" l="1"/>
  <c r="AL29" i="27" s="1"/>
  <c r="V30" i="27" s="1"/>
  <c r="AS29" i="27"/>
  <c r="BB29" i="27" s="1"/>
  <c r="R29" i="27"/>
  <c r="W30" i="27"/>
  <c r="U30" i="27"/>
  <c r="Y30" i="27"/>
  <c r="Z30" i="27"/>
  <c r="A30" i="27"/>
  <c r="S29" i="27"/>
  <c r="C30" i="27" s="1"/>
  <c r="W31" i="24"/>
  <c r="Z31" i="24"/>
  <c r="AA31" i="24"/>
  <c r="Y31" i="24"/>
  <c r="L30" i="24"/>
  <c r="M30" i="24" s="1"/>
  <c r="AJ31" i="24"/>
  <c r="B30" i="27" l="1"/>
  <c r="D30" i="27"/>
  <c r="F30" i="27"/>
  <c r="G30" i="27" s="1"/>
  <c r="X30" i="27"/>
  <c r="AB30" i="27"/>
  <c r="AA30" i="27"/>
  <c r="AC30" i="27" s="1"/>
  <c r="AD30" i="27" s="1"/>
  <c r="P29" i="27"/>
  <c r="BC29" i="27"/>
  <c r="BD29" i="27"/>
  <c r="AB31" i="24"/>
  <c r="AC31" i="24" s="1"/>
  <c r="AK31" i="24"/>
  <c r="N30" i="24"/>
  <c r="O30" i="24" s="1"/>
  <c r="A31" i="24" s="1"/>
  <c r="AE30" i="27" l="1"/>
  <c r="AF30" i="27" s="1"/>
  <c r="AY29" i="27"/>
  <c r="AW29" i="27" s="1"/>
  <c r="O29" i="27"/>
  <c r="AJ30" i="27"/>
  <c r="E30" i="27"/>
  <c r="AV30" i="27" s="1"/>
  <c r="H30" i="27"/>
  <c r="J30" i="27" s="1"/>
  <c r="K30" i="27" s="1"/>
  <c r="I30" i="27"/>
  <c r="AZ30" i="27"/>
  <c r="AT30" i="27"/>
  <c r="AD31" i="24"/>
  <c r="AE31" i="24" s="1"/>
  <c r="Q32" i="24" s="1"/>
  <c r="P30" i="24"/>
  <c r="H31" i="24"/>
  <c r="B31" i="24"/>
  <c r="C31" i="24"/>
  <c r="D31" i="24" s="1"/>
  <c r="L30" i="27" l="1"/>
  <c r="M30" i="27" s="1"/>
  <c r="AX29" i="27"/>
  <c r="AU29" i="27"/>
  <c r="Q30" i="27"/>
  <c r="AP30" i="27"/>
  <c r="AH30" i="27"/>
  <c r="T31" i="27"/>
  <c r="AG30" i="27"/>
  <c r="S32" i="24"/>
  <c r="X32" i="24"/>
  <c r="T32" i="24"/>
  <c r="R32" i="24"/>
  <c r="AF31" i="24"/>
  <c r="E31" i="24"/>
  <c r="F31" i="24"/>
  <c r="AR31" i="24"/>
  <c r="AQ30" i="27" l="1"/>
  <c r="AR30" i="27" s="1"/>
  <c r="U31" i="27"/>
  <c r="Y31" i="27"/>
  <c r="AI30" i="27"/>
  <c r="BA30" i="27"/>
  <c r="A31" i="27"/>
  <c r="N30" i="27"/>
  <c r="U32" i="24"/>
  <c r="J31" i="24"/>
  <c r="K31" i="24"/>
  <c r="G31" i="24"/>
  <c r="AQ31" i="24" s="1"/>
  <c r="AO31" i="24" s="1"/>
  <c r="V32" i="24" s="1"/>
  <c r="AP31" i="24"/>
  <c r="I31" i="24"/>
  <c r="AK30" i="27" l="1"/>
  <c r="AL30" i="27" s="1"/>
  <c r="V31" i="27" s="1"/>
  <c r="W31" i="27" s="1"/>
  <c r="AS30" i="27"/>
  <c r="R30" i="27"/>
  <c r="B31" i="27"/>
  <c r="F31" i="27"/>
  <c r="W32" i="24"/>
  <c r="Z32" i="24"/>
  <c r="AB32" i="24" s="1"/>
  <c r="AA32" i="24"/>
  <c r="Y32" i="24"/>
  <c r="AC32" i="24" s="1"/>
  <c r="AJ32" i="24"/>
  <c r="L31" i="24"/>
  <c r="M31" i="24" s="1"/>
  <c r="P30" i="27" l="1"/>
  <c r="BC30" i="27"/>
  <c r="BD30" i="27"/>
  <c r="S30" i="27"/>
  <c r="C31" i="27" s="1"/>
  <c r="D31" i="27" s="1"/>
  <c r="BB30" i="27"/>
  <c r="AZ31" i="27"/>
  <c r="AT31" i="27"/>
  <c r="X31" i="27"/>
  <c r="AB31" i="27"/>
  <c r="AA31" i="27"/>
  <c r="AC31" i="27" s="1"/>
  <c r="Z31" i="27"/>
  <c r="AD32" i="24"/>
  <c r="AE32" i="24" s="1"/>
  <c r="Q33" i="24" s="1"/>
  <c r="N31" i="24"/>
  <c r="O31" i="24" s="1"/>
  <c r="A32" i="24" s="1"/>
  <c r="AK32" i="24"/>
  <c r="E31" i="27" l="1"/>
  <c r="I31" i="27"/>
  <c r="H31" i="27"/>
  <c r="J31" i="27" s="1"/>
  <c r="G31" i="27"/>
  <c r="K31" i="27" s="1"/>
  <c r="AJ31" i="27"/>
  <c r="AV31" i="27"/>
  <c r="AD31" i="27"/>
  <c r="O30" i="27"/>
  <c r="AY30" i="27"/>
  <c r="AW30" i="27" s="1"/>
  <c r="R33" i="24"/>
  <c r="S33" i="24"/>
  <c r="T33" i="24" s="1"/>
  <c r="X33" i="24"/>
  <c r="AF32" i="24"/>
  <c r="P31" i="24"/>
  <c r="H32" i="24"/>
  <c r="B32" i="24"/>
  <c r="C32" i="24"/>
  <c r="D32" i="24" s="1"/>
  <c r="AX30" i="27" l="1"/>
  <c r="AU30" i="27"/>
  <c r="L31" i="27"/>
  <c r="M31" i="27" s="1"/>
  <c r="AP31" i="27"/>
  <c r="AH31" i="27"/>
  <c r="AE31" i="27"/>
  <c r="AF31" i="27" s="1"/>
  <c r="Q31" i="27"/>
  <c r="U33" i="24"/>
  <c r="E32" i="24"/>
  <c r="F32" i="24"/>
  <c r="AR32" i="24"/>
  <c r="AQ31" i="27" l="1"/>
  <c r="AR31" i="27" s="1"/>
  <c r="AI31" i="27"/>
  <c r="N31" i="27"/>
  <c r="BA31" i="27"/>
  <c r="T32" i="27"/>
  <c r="AG31" i="27"/>
  <c r="A32" i="27"/>
  <c r="G32" i="24"/>
  <c r="AQ32" i="24" s="1"/>
  <c r="AO32" i="24" s="1"/>
  <c r="V33" i="24" s="1"/>
  <c r="J32" i="24"/>
  <c r="K32" i="24"/>
  <c r="AP32" i="24"/>
  <c r="I32" i="24"/>
  <c r="B32" i="27" l="1"/>
  <c r="F32" i="27"/>
  <c r="AK31" i="27"/>
  <c r="AL31" i="27" s="1"/>
  <c r="V32" i="27" s="1"/>
  <c r="AS31" i="27"/>
  <c r="BB31" i="27" s="1"/>
  <c r="R31" i="27"/>
  <c r="U32" i="27"/>
  <c r="W32" i="27"/>
  <c r="Y32" i="27"/>
  <c r="AA33" i="24"/>
  <c r="W33" i="24"/>
  <c r="Z33" i="24"/>
  <c r="AB33" i="24" s="1"/>
  <c r="Y33" i="24"/>
  <c r="AC33" i="24" s="1"/>
  <c r="L32" i="24"/>
  <c r="M32" i="24"/>
  <c r="AJ33" i="24"/>
  <c r="AK33" i="24" s="1"/>
  <c r="X32" i="27" l="1"/>
  <c r="AB32" i="27"/>
  <c r="AA32" i="27"/>
  <c r="AC32" i="27" s="1"/>
  <c r="Z32" i="27"/>
  <c r="AD32" i="27" s="1"/>
  <c r="P31" i="27"/>
  <c r="BC31" i="27"/>
  <c r="BD31" i="27"/>
  <c r="S31" i="27"/>
  <c r="C32" i="27" s="1"/>
  <c r="D32" i="27" s="1"/>
  <c r="AT32" i="27"/>
  <c r="AZ32" i="27"/>
  <c r="AD33" i="24"/>
  <c r="AE33" i="24" s="1"/>
  <c r="AF33" i="24"/>
  <c r="N32" i="24"/>
  <c r="O32" i="24" s="1"/>
  <c r="A33" i="24" s="1"/>
  <c r="E32" i="27" l="1"/>
  <c r="I32" i="27"/>
  <c r="H32" i="27"/>
  <c r="J32" i="27" s="1"/>
  <c r="G32" i="27"/>
  <c r="K32" i="27" s="1"/>
  <c r="O31" i="27"/>
  <c r="AY31" i="27"/>
  <c r="AW31" i="27" s="1"/>
  <c r="AE32" i="27"/>
  <c r="AF32" i="27" s="1"/>
  <c r="AJ32" i="27"/>
  <c r="AV32" i="27"/>
  <c r="P32" i="24"/>
  <c r="B33" i="24"/>
  <c r="C33" i="24"/>
  <c r="D33" i="24" s="1"/>
  <c r="H33" i="24"/>
  <c r="AP32" i="27" l="1"/>
  <c r="AH32" i="27"/>
  <c r="L32" i="27"/>
  <c r="M32" i="27" s="1"/>
  <c r="T33" i="27"/>
  <c r="AG32" i="27"/>
  <c r="AX31" i="27"/>
  <c r="AU31" i="27"/>
  <c r="Q32" i="27"/>
  <c r="E33" i="24"/>
  <c r="F33" i="24"/>
  <c r="AR33" i="24"/>
  <c r="N32" i="27" l="1"/>
  <c r="U33" i="27"/>
  <c r="Y33" i="27"/>
  <c r="BA32" i="27"/>
  <c r="A33" i="27"/>
  <c r="AI32" i="27"/>
  <c r="AQ32" i="27"/>
  <c r="AR32" i="27" s="1"/>
  <c r="G33" i="24"/>
  <c r="AQ33" i="24" s="1"/>
  <c r="AO33" i="24" s="1"/>
  <c r="J33" i="24"/>
  <c r="K33" i="24"/>
  <c r="AP33" i="24"/>
  <c r="I33" i="24"/>
  <c r="B33" i="27" l="1"/>
  <c r="F33" i="27"/>
  <c r="AS32" i="27"/>
  <c r="BB32" i="27" s="1"/>
  <c r="R32" i="27"/>
  <c r="AK32" i="27"/>
  <c r="AL32" i="27" s="1"/>
  <c r="V33" i="27" s="1"/>
  <c r="W33" i="27" s="1"/>
  <c r="L33" i="24"/>
  <c r="M33" i="24" s="1"/>
  <c r="X33" i="27" l="1"/>
  <c r="AB33" i="27"/>
  <c r="AA33" i="27"/>
  <c r="AC33" i="27" s="1"/>
  <c r="P32" i="27"/>
  <c r="BC32" i="27"/>
  <c r="BD32" i="27"/>
  <c r="S32" i="27"/>
  <c r="C33" i="27" s="1"/>
  <c r="D33" i="27" s="1"/>
  <c r="AT33" i="27"/>
  <c r="AZ33" i="27"/>
  <c r="Z33" i="27"/>
  <c r="AD33" i="27" s="1"/>
  <c r="N33" i="24"/>
  <c r="O33" i="24" s="1"/>
  <c r="P33" i="24"/>
  <c r="E33" i="27" l="1"/>
  <c r="I33" i="27"/>
  <c r="H33" i="27"/>
  <c r="J33" i="27" s="1"/>
  <c r="G33" i="27"/>
  <c r="K33" i="27" s="1"/>
  <c r="AE33" i="27"/>
  <c r="AF33" i="27" s="1"/>
  <c r="O32" i="27"/>
  <c r="AY32" i="27"/>
  <c r="AW32" i="27" s="1"/>
  <c r="AJ33" i="27"/>
  <c r="AV33" i="27"/>
  <c r="AS4" i="22"/>
  <c r="AX32" i="27" l="1"/>
  <c r="AU32" i="27"/>
  <c r="L33" i="27"/>
  <c r="M33" i="27" s="1"/>
  <c r="N33" i="27"/>
  <c r="AP33" i="27"/>
  <c r="AH33" i="27"/>
  <c r="T34" i="27"/>
  <c r="AG33" i="27"/>
  <c r="Q33" i="27"/>
  <c r="R4" i="22"/>
  <c r="S4" i="22" s="1"/>
  <c r="AQ33" i="27" l="1"/>
  <c r="AR33" i="27" s="1"/>
  <c r="BA33" i="27"/>
  <c r="U34" i="27"/>
  <c r="Y34" i="27"/>
  <c r="AI33" i="27"/>
  <c r="A34" i="27"/>
  <c r="BB4" i="22"/>
  <c r="BD4" i="22"/>
  <c r="BC4" i="22"/>
  <c r="P4" i="22"/>
  <c r="AS33" i="27" l="1"/>
  <c r="R33" i="27"/>
  <c r="AK33" i="27"/>
  <c r="AL33" i="27" s="1"/>
  <c r="V34" i="27" s="1"/>
  <c r="W34" i="27" s="1"/>
  <c r="B34" i="27"/>
  <c r="F34" i="27"/>
  <c r="AY4" i="22"/>
  <c r="AW4" i="22" s="1"/>
  <c r="AH5" i="22" s="1"/>
  <c r="O4" i="22"/>
  <c r="AX4" i="22" s="1"/>
  <c r="J4" i="22"/>
  <c r="AU4" i="22"/>
  <c r="AP5" i="22" l="1"/>
  <c r="AQ5" i="22" s="1"/>
  <c r="AR5" i="22" s="1"/>
  <c r="AI5" i="22"/>
  <c r="AT34" i="27"/>
  <c r="AZ34" i="27"/>
  <c r="P33" i="27"/>
  <c r="BC33" i="27"/>
  <c r="BD33" i="27"/>
  <c r="S33" i="27"/>
  <c r="C34" i="27" s="1"/>
  <c r="D34" i="27" s="1"/>
  <c r="X34" i="27"/>
  <c r="AB34" i="27"/>
  <c r="AA34" i="27"/>
  <c r="AC34" i="27" s="1"/>
  <c r="BB33" i="27"/>
  <c r="Z34" i="27"/>
  <c r="K4" i="22"/>
  <c r="E34" i="27" l="1"/>
  <c r="H34" i="27"/>
  <c r="J34" i="27" s="1"/>
  <c r="I34" i="27"/>
  <c r="O33" i="27"/>
  <c r="AY33" i="27"/>
  <c r="AW33" i="27" s="1"/>
  <c r="AD34" i="27"/>
  <c r="AJ34" i="27"/>
  <c r="AV34" i="27"/>
  <c r="G34" i="27"/>
  <c r="K34" i="27" s="1"/>
  <c r="L4" i="22"/>
  <c r="M4" i="22" s="1"/>
  <c r="C5" i="22" s="1"/>
  <c r="AE34" i="27" l="1"/>
  <c r="AF34" i="27" s="1"/>
  <c r="L34" i="27"/>
  <c r="M34" i="27" s="1"/>
  <c r="AP34" i="27"/>
  <c r="AH34" i="27"/>
  <c r="AX33" i="27"/>
  <c r="AU33" i="27"/>
  <c r="Q34" i="27"/>
  <c r="A5" i="22"/>
  <c r="D5" i="22"/>
  <c r="N4" i="22"/>
  <c r="AQ34" i="27" l="1"/>
  <c r="AR34" i="27" s="1"/>
  <c r="BA34" i="27"/>
  <c r="T35" i="27"/>
  <c r="AI34" i="27"/>
  <c r="A35" i="27"/>
  <c r="N34" i="27"/>
  <c r="AG34" i="27"/>
  <c r="E5" i="22"/>
  <c r="AV5" i="22" s="1"/>
  <c r="I5" i="22"/>
  <c r="H5" i="22"/>
  <c r="B5" i="22"/>
  <c r="F5" i="22"/>
  <c r="G5" i="22" s="1"/>
  <c r="B35" i="27" l="1"/>
  <c r="F35" i="27"/>
  <c r="AK34" i="27"/>
  <c r="AL34" i="27" s="1"/>
  <c r="V35" i="27" s="1"/>
  <c r="AS34" i="27"/>
  <c r="BB34" i="27" s="1"/>
  <c r="R34" i="27"/>
  <c r="W35" i="27"/>
  <c r="Z35" i="27" s="1"/>
  <c r="U35" i="27"/>
  <c r="Y35" i="27"/>
  <c r="Q5" i="22"/>
  <c r="BA5" i="22" s="1"/>
  <c r="AK5" i="22" s="1"/>
  <c r="AZ5" i="22"/>
  <c r="AT5" i="22"/>
  <c r="W6" i="22" l="1"/>
  <c r="X6" i="22" s="1"/>
  <c r="AJ6" i="22" s="1"/>
  <c r="AL5" i="22"/>
  <c r="AA6" i="22"/>
  <c r="Z6" i="22"/>
  <c r="P34" i="27"/>
  <c r="BC34" i="27"/>
  <c r="BD34" i="27"/>
  <c r="S34" i="27"/>
  <c r="C35" i="27" s="1"/>
  <c r="D35" i="27" s="1"/>
  <c r="AZ35" i="27"/>
  <c r="AT35" i="27"/>
  <c r="X35" i="27"/>
  <c r="AB35" i="27"/>
  <c r="AA35" i="27"/>
  <c r="AC35" i="27" s="1"/>
  <c r="AD35" i="27" s="1"/>
  <c r="R5" i="22"/>
  <c r="S5" i="22" s="1"/>
  <c r="AS5" i="22"/>
  <c r="AB6" i="22" l="1"/>
  <c r="AC6" i="22" s="1"/>
  <c r="AD6" i="22" s="1"/>
  <c r="AE6" i="22" s="1"/>
  <c r="AF6" i="22" s="1"/>
  <c r="AE35" i="27"/>
  <c r="AF35" i="27" s="1"/>
  <c r="AG35" i="27"/>
  <c r="AJ35" i="27"/>
  <c r="E35" i="27"/>
  <c r="H35" i="27"/>
  <c r="J35" i="27" s="1"/>
  <c r="I35" i="27"/>
  <c r="G35" i="27"/>
  <c r="K35" i="27" s="1"/>
  <c r="AY34" i="27"/>
  <c r="AW34" i="27" s="1"/>
  <c r="O34" i="27"/>
  <c r="BB5" i="22"/>
  <c r="P5" i="22"/>
  <c r="BC5" i="22"/>
  <c r="BD5" i="22"/>
  <c r="J5" i="22"/>
  <c r="K5" i="22" s="1"/>
  <c r="T7" i="22" l="1"/>
  <c r="V7" i="22"/>
  <c r="Y7" i="22"/>
  <c r="U7" i="22"/>
  <c r="AG6" i="22"/>
  <c r="AP35" i="27"/>
  <c r="AH35" i="27"/>
  <c r="L35" i="27"/>
  <c r="M35" i="27" s="1"/>
  <c r="AX34" i="27"/>
  <c r="AU34" i="27"/>
  <c r="Q35" i="27"/>
  <c r="AV35" i="27"/>
  <c r="T36" i="27"/>
  <c r="AY5" i="22"/>
  <c r="AW5" i="22" s="1"/>
  <c r="AH6" i="22" s="1"/>
  <c r="O5" i="22"/>
  <c r="L5" i="22"/>
  <c r="M5" i="22" s="1"/>
  <c r="A6" i="22" l="1"/>
  <c r="C6" i="22"/>
  <c r="F6" i="22"/>
  <c r="B6" i="22"/>
  <c r="AI6" i="22"/>
  <c r="U36" i="27"/>
  <c r="Y36" i="27"/>
  <c r="AI35" i="27"/>
  <c r="A36" i="27"/>
  <c r="N35" i="27"/>
  <c r="AQ35" i="27"/>
  <c r="AR35" i="27" s="1"/>
  <c r="BA35" i="27" s="1"/>
  <c r="AU5" i="22"/>
  <c r="AX5" i="22"/>
  <c r="AP6" i="22"/>
  <c r="AQ6" i="22" s="1"/>
  <c r="AR6" i="22" s="1"/>
  <c r="N5" i="22"/>
  <c r="D6" i="22"/>
  <c r="E6" i="22" l="1"/>
  <c r="I6" i="22"/>
  <c r="H6" i="22"/>
  <c r="J6" i="22" s="1"/>
  <c r="G6" i="22"/>
  <c r="R35" i="27"/>
  <c r="AK35" i="27"/>
  <c r="AL35" i="27" s="1"/>
  <c r="V36" i="27" s="1"/>
  <c r="W36" i="27" s="1"/>
  <c r="AS35" i="27"/>
  <c r="BB35" i="27" s="1"/>
  <c r="B36" i="27"/>
  <c r="F36" i="27"/>
  <c r="AZ6" i="22"/>
  <c r="AT6" i="22"/>
  <c r="K6" i="22" l="1"/>
  <c r="L6" i="22"/>
  <c r="M6" i="22" s="1"/>
  <c r="X36" i="27"/>
  <c r="AB36" i="27"/>
  <c r="AA36" i="27"/>
  <c r="AC36" i="27" s="1"/>
  <c r="AZ36" i="27"/>
  <c r="AT36" i="27"/>
  <c r="Z36" i="27"/>
  <c r="AD36" i="27" s="1"/>
  <c r="P35" i="27"/>
  <c r="BC35" i="27"/>
  <c r="BD35" i="27"/>
  <c r="S35" i="27"/>
  <c r="C36" i="27" s="1"/>
  <c r="D36" i="27" s="1"/>
  <c r="AV6" i="22"/>
  <c r="N6" i="22" l="1"/>
  <c r="A7" i="22"/>
  <c r="C7" i="22"/>
  <c r="B7" i="22"/>
  <c r="F7" i="22"/>
  <c r="O35" i="27"/>
  <c r="AY35" i="27"/>
  <c r="AW35" i="27" s="1"/>
  <c r="AJ36" i="27"/>
  <c r="AE36" i="27"/>
  <c r="AF36" i="27" s="1"/>
  <c r="E36" i="27"/>
  <c r="I36" i="27"/>
  <c r="H36" i="27"/>
  <c r="J36" i="27" s="1"/>
  <c r="G36" i="27"/>
  <c r="K36" i="27" s="1"/>
  <c r="Q6" i="22"/>
  <c r="BA6" i="22" s="1"/>
  <c r="AK6" i="22" s="1"/>
  <c r="W7" i="22" l="1"/>
  <c r="AL6" i="22"/>
  <c r="AB7" i="22"/>
  <c r="AA7" i="22"/>
  <c r="AC7" i="22" s="1"/>
  <c r="X7" i="22"/>
  <c r="AJ7" i="22" s="1"/>
  <c r="Z7" i="22"/>
  <c r="L36" i="27"/>
  <c r="M36" i="27" s="1"/>
  <c r="N36" i="27"/>
  <c r="Q36" i="27"/>
  <c r="AG36" i="27"/>
  <c r="T37" i="27"/>
  <c r="AV36" i="27"/>
  <c r="AP36" i="27"/>
  <c r="AH36" i="27"/>
  <c r="AX35" i="27"/>
  <c r="AU35" i="27"/>
  <c r="R6" i="22"/>
  <c r="S6" i="22" s="1"/>
  <c r="AS6" i="22"/>
  <c r="AD7" i="22" l="1"/>
  <c r="AI36" i="27"/>
  <c r="AQ36" i="27"/>
  <c r="AR36" i="27" s="1"/>
  <c r="U37" i="27"/>
  <c r="Y37" i="27"/>
  <c r="BA36" i="27"/>
  <c r="A37" i="27"/>
  <c r="BB6" i="22"/>
  <c r="BC6" i="22"/>
  <c r="BD6" i="22"/>
  <c r="P6" i="22"/>
  <c r="AE7" i="22" l="1"/>
  <c r="AF7" i="22" s="1"/>
  <c r="AS36" i="27"/>
  <c r="R36" i="27"/>
  <c r="AK36" i="27"/>
  <c r="AL36" i="27" s="1"/>
  <c r="V37" i="27" s="1"/>
  <c r="W37" i="27" s="1"/>
  <c r="B37" i="27"/>
  <c r="F37" i="27"/>
  <c r="AY6" i="22"/>
  <c r="AW6" i="22" s="1"/>
  <c r="AH7" i="22" s="1"/>
  <c r="O6" i="22"/>
  <c r="T8" i="22" l="1"/>
  <c r="Y8" i="22" s="1"/>
  <c r="V8" i="22"/>
  <c r="AG7" i="22"/>
  <c r="AI7" i="22"/>
  <c r="AT37" i="27"/>
  <c r="AZ37" i="27"/>
  <c r="P36" i="27"/>
  <c r="BC36" i="27"/>
  <c r="BD36" i="27"/>
  <c r="S36" i="27"/>
  <c r="C37" i="27" s="1"/>
  <c r="D37" i="27" s="1"/>
  <c r="X37" i="27"/>
  <c r="AB37" i="27"/>
  <c r="AA37" i="27"/>
  <c r="AC37" i="27" s="1"/>
  <c r="BB36" i="27"/>
  <c r="Z37" i="27"/>
  <c r="AX6" i="22"/>
  <c r="AU6" i="22"/>
  <c r="AP7" i="22"/>
  <c r="AQ7" i="22" s="1"/>
  <c r="AR7" i="22" s="1"/>
  <c r="D7" i="22"/>
  <c r="U8" i="22" l="1"/>
  <c r="E7" i="22"/>
  <c r="H7" i="22"/>
  <c r="I7" i="22"/>
  <c r="G7" i="22"/>
  <c r="E37" i="27"/>
  <c r="H37" i="27"/>
  <c r="J37" i="27" s="1"/>
  <c r="I37" i="27"/>
  <c r="G37" i="27"/>
  <c r="K37" i="27" s="1"/>
  <c r="AJ37" i="27"/>
  <c r="AV37" i="27"/>
  <c r="AD37" i="27"/>
  <c r="AY36" i="27"/>
  <c r="AW36" i="27" s="1"/>
  <c r="O36" i="27"/>
  <c r="AZ7" i="22"/>
  <c r="AT7" i="22"/>
  <c r="J7" i="22" l="1"/>
  <c r="K7" i="22" s="1"/>
  <c r="AE37" i="27"/>
  <c r="AF37" i="27" s="1"/>
  <c r="AP37" i="27"/>
  <c r="AH37" i="27"/>
  <c r="AX36" i="27"/>
  <c r="AU36" i="27"/>
  <c r="L37" i="27"/>
  <c r="M37" i="27" s="1"/>
  <c r="Q37" i="27"/>
  <c r="AV7" i="22"/>
  <c r="L7" i="22" l="1"/>
  <c r="M7" i="22" s="1"/>
  <c r="N37" i="27"/>
  <c r="AQ37" i="27"/>
  <c r="AR37" i="27" s="1"/>
  <c r="BA37" i="27" s="1"/>
  <c r="A38" i="27"/>
  <c r="AI37" i="27"/>
  <c r="T38" i="27"/>
  <c r="AG37" i="27"/>
  <c r="Q7" i="22"/>
  <c r="BA7" i="22" s="1"/>
  <c r="AK7" i="22" s="1"/>
  <c r="W8" i="22" l="1"/>
  <c r="AA8" i="22" s="1"/>
  <c r="AL7" i="22"/>
  <c r="A8" i="22"/>
  <c r="C8" i="22"/>
  <c r="B8" i="22"/>
  <c r="F8" i="22"/>
  <c r="N7" i="22"/>
  <c r="AK37" i="27"/>
  <c r="AL37" i="27" s="1"/>
  <c r="V38" i="27" s="1"/>
  <c r="AS37" i="27"/>
  <c r="R37" i="27"/>
  <c r="W38" i="27"/>
  <c r="U38" i="27"/>
  <c r="Y38" i="27"/>
  <c r="Z38" i="27" s="1"/>
  <c r="B38" i="27"/>
  <c r="F38" i="27"/>
  <c r="AS7" i="22"/>
  <c r="R7" i="22"/>
  <c r="S7" i="22" s="1"/>
  <c r="Z8" i="22" l="1"/>
  <c r="X8" i="22"/>
  <c r="AJ8" i="22" s="1"/>
  <c r="AB8" i="22"/>
  <c r="AC8" i="22"/>
  <c r="AD8" i="22" s="1"/>
  <c r="AZ38" i="27"/>
  <c r="AT38" i="27"/>
  <c r="P37" i="27"/>
  <c r="BC37" i="27"/>
  <c r="BD37" i="27"/>
  <c r="S37" i="27"/>
  <c r="C38" i="27" s="1"/>
  <c r="D38" i="27" s="1"/>
  <c r="BB37" i="27"/>
  <c r="X38" i="27"/>
  <c r="AB38" i="27"/>
  <c r="AA38" i="27"/>
  <c r="BC7" i="22"/>
  <c r="BD7" i="22"/>
  <c r="P7" i="22"/>
  <c r="BB7" i="22"/>
  <c r="AE8" i="22" l="1"/>
  <c r="AF8" i="22" s="1"/>
  <c r="E38" i="27"/>
  <c r="I38" i="27"/>
  <c r="H38" i="27"/>
  <c r="J38" i="27" s="1"/>
  <c r="AY37" i="27"/>
  <c r="AW37" i="27" s="1"/>
  <c r="O37" i="27"/>
  <c r="AJ38" i="27"/>
  <c r="AV38" i="27"/>
  <c r="AC38" i="27"/>
  <c r="AD38" i="27" s="1"/>
  <c r="G38" i="27"/>
  <c r="K38" i="27" s="1"/>
  <c r="O7" i="22"/>
  <c r="AY7" i="22"/>
  <c r="AW7" i="22" s="1"/>
  <c r="AH8" i="22" s="1"/>
  <c r="T9" i="22" l="1"/>
  <c r="V9" i="22"/>
  <c r="Y9" i="22"/>
  <c r="U9" i="22"/>
  <c r="AG8" i="22"/>
  <c r="AI8" i="22"/>
  <c r="L38" i="27"/>
  <c r="M38" i="27" s="1"/>
  <c r="AE38" i="27"/>
  <c r="AF38" i="27" s="1"/>
  <c r="AX37" i="27"/>
  <c r="AU37" i="27"/>
  <c r="AP38" i="27"/>
  <c r="AH38" i="27"/>
  <c r="Q38" i="27"/>
  <c r="AP8" i="22"/>
  <c r="AQ8" i="22" s="1"/>
  <c r="AR8" i="22" s="1"/>
  <c r="AU7" i="22"/>
  <c r="AX7" i="22"/>
  <c r="AI38" i="27" l="1"/>
  <c r="T39" i="27"/>
  <c r="AQ38" i="27"/>
  <c r="AR38" i="27" s="1"/>
  <c r="BA38" i="27" s="1"/>
  <c r="AG38" i="27"/>
  <c r="A39" i="27"/>
  <c r="N38" i="27"/>
  <c r="D8" i="22"/>
  <c r="H8" i="22" l="1"/>
  <c r="E8" i="22"/>
  <c r="AV8" i="22" s="1"/>
  <c r="I8" i="22"/>
  <c r="G8" i="22"/>
  <c r="R38" i="27"/>
  <c r="AK38" i="27"/>
  <c r="AL38" i="27" s="1"/>
  <c r="V39" i="27" s="1"/>
  <c r="AS38" i="27"/>
  <c r="B39" i="27"/>
  <c r="F39" i="27"/>
  <c r="W39" i="27"/>
  <c r="U39" i="27"/>
  <c r="Y39" i="27"/>
  <c r="Z39" i="27" s="1"/>
  <c r="AT8" i="22"/>
  <c r="AZ8" i="22"/>
  <c r="J8" i="22" l="1"/>
  <c r="K8" i="22" s="1"/>
  <c r="X39" i="27"/>
  <c r="AB39" i="27"/>
  <c r="AA39" i="27"/>
  <c r="AC39" i="27" s="1"/>
  <c r="AD39" i="27" s="1"/>
  <c r="AZ39" i="27"/>
  <c r="AT39" i="27"/>
  <c r="BB38" i="27"/>
  <c r="P38" i="27"/>
  <c r="BC38" i="27"/>
  <c r="BD38" i="27"/>
  <c r="S38" i="27"/>
  <c r="C39" i="27" s="1"/>
  <c r="D39" i="27" s="1"/>
  <c r="Q8" i="22"/>
  <c r="BA8" i="22" s="1"/>
  <c r="AK8" i="22" s="1"/>
  <c r="W9" i="22" l="1"/>
  <c r="AL8" i="22"/>
  <c r="AA9" i="22"/>
  <c r="X9" i="22"/>
  <c r="AB9" i="22"/>
  <c r="Z9" i="22"/>
  <c r="L8" i="22"/>
  <c r="M8" i="22" s="1"/>
  <c r="AJ9" i="22"/>
  <c r="R8" i="22"/>
  <c r="AS8" i="22"/>
  <c r="BB8" i="22" s="1"/>
  <c r="AE39" i="27"/>
  <c r="AF39" i="27" s="1"/>
  <c r="AG39" i="27"/>
  <c r="E39" i="27"/>
  <c r="I39" i="27"/>
  <c r="H39" i="27"/>
  <c r="O38" i="27"/>
  <c r="AY38" i="27"/>
  <c r="AW38" i="27" s="1"/>
  <c r="AJ39" i="27"/>
  <c r="AV39" i="27"/>
  <c r="G39" i="27"/>
  <c r="BD8" i="22" l="1"/>
  <c r="S8" i="22"/>
  <c r="A9" i="22"/>
  <c r="C9" i="22"/>
  <c r="AC9" i="22"/>
  <c r="AD9" i="22" s="1"/>
  <c r="P8" i="22"/>
  <c r="AY8" i="22" s="1"/>
  <c r="AW8" i="22" s="1"/>
  <c r="AH9" i="22" s="1"/>
  <c r="B9" i="22"/>
  <c r="F9" i="22"/>
  <c r="N8" i="22"/>
  <c r="BC8" i="22"/>
  <c r="AX38" i="27"/>
  <c r="AU38" i="27"/>
  <c r="AP39" i="27"/>
  <c r="AH39" i="27"/>
  <c r="J39" i="27"/>
  <c r="K39" i="27" s="1"/>
  <c r="Q39" i="27"/>
  <c r="T40" i="27"/>
  <c r="O8" i="22" l="1"/>
  <c r="AE9" i="22"/>
  <c r="AF9" i="22" s="1"/>
  <c r="AI9" i="22"/>
  <c r="L39" i="27"/>
  <c r="M39" i="27" s="1"/>
  <c r="N39" i="27"/>
  <c r="U40" i="27"/>
  <c r="Y40" i="27"/>
  <c r="AQ39" i="27"/>
  <c r="AR39" i="27" s="1"/>
  <c r="BA39" i="27" s="1"/>
  <c r="AI39" i="27"/>
  <c r="AX8" i="22"/>
  <c r="AU8" i="22"/>
  <c r="AP9" i="22"/>
  <c r="T10" i="22" l="1"/>
  <c r="V10" i="22"/>
  <c r="AG9" i="22"/>
  <c r="Y10" i="22"/>
  <c r="U10" i="22"/>
  <c r="AS39" i="27"/>
  <c r="R39" i="27"/>
  <c r="AK39" i="27"/>
  <c r="AL39" i="27" s="1"/>
  <c r="V40" i="27" s="1"/>
  <c r="W40" i="27" s="1"/>
  <c r="Z40" i="27" s="1"/>
  <c r="A40" i="27"/>
  <c r="S39" i="27"/>
  <c r="C40" i="27" s="1"/>
  <c r="AQ9" i="22"/>
  <c r="D40" i="27" l="1"/>
  <c r="B40" i="27"/>
  <c r="F40" i="27"/>
  <c r="G40" i="27" s="1"/>
  <c r="P39" i="27"/>
  <c r="BC39" i="27"/>
  <c r="BD39" i="27"/>
  <c r="X40" i="27"/>
  <c r="AB40" i="27"/>
  <c r="AA40" i="27"/>
  <c r="AC40" i="27" s="1"/>
  <c r="AD40" i="27" s="1"/>
  <c r="BB39" i="27"/>
  <c r="AR9" i="22"/>
  <c r="AE40" i="27" l="1"/>
  <c r="AF40" i="27" s="1"/>
  <c r="O39" i="27"/>
  <c r="AY39" i="27"/>
  <c r="AW39" i="27" s="1"/>
  <c r="AJ40" i="27"/>
  <c r="AZ40" i="27"/>
  <c r="AT40" i="27"/>
  <c r="E40" i="27"/>
  <c r="I40" i="27"/>
  <c r="H40" i="27"/>
  <c r="D9" i="22"/>
  <c r="I9" i="22" l="1"/>
  <c r="H9" i="22"/>
  <c r="J9" i="22" s="1"/>
  <c r="E9" i="22"/>
  <c r="G9" i="22"/>
  <c r="K9" i="22" s="1"/>
  <c r="Q40" i="27"/>
  <c r="AV40" i="27"/>
  <c r="AX39" i="27"/>
  <c r="AU39" i="27"/>
  <c r="AP40" i="27"/>
  <c r="AH40" i="27"/>
  <c r="T41" i="27"/>
  <c r="J40" i="27"/>
  <c r="K40" i="27" s="1"/>
  <c r="AG40" i="27"/>
  <c r="AZ9" i="22"/>
  <c r="AT9" i="22"/>
  <c r="L9" i="22" l="1"/>
  <c r="M9" i="22" s="1"/>
  <c r="N9" i="22"/>
  <c r="U41" i="27"/>
  <c r="Y41" i="27"/>
  <c r="AQ40" i="27"/>
  <c r="AR40" i="27" s="1"/>
  <c r="BA40" i="27" s="1"/>
  <c r="L40" i="27"/>
  <c r="M40" i="27" s="1"/>
  <c r="N40" i="27"/>
  <c r="AI40" i="27"/>
  <c r="AV9" i="22"/>
  <c r="A10" i="22" l="1"/>
  <c r="C10" i="22"/>
  <c r="B10" i="22"/>
  <c r="F10" i="22"/>
  <c r="AK40" i="27"/>
  <c r="AL40" i="27" s="1"/>
  <c r="V41" i="27" s="1"/>
  <c r="W41" i="27" s="1"/>
  <c r="AS40" i="27"/>
  <c r="R40" i="27"/>
  <c r="Z41" i="27"/>
  <c r="A41" i="27"/>
  <c r="S40" i="27"/>
  <c r="C41" i="27" s="1"/>
  <c r="Q9" i="22"/>
  <c r="BA9" i="22" s="1"/>
  <c r="AK9" i="22" s="1"/>
  <c r="W10" i="22" l="1"/>
  <c r="AL9" i="22"/>
  <c r="X10" i="22"/>
  <c r="AB10" i="22"/>
  <c r="AA10" i="22"/>
  <c r="Z10" i="22"/>
  <c r="AJ10" i="22"/>
  <c r="P40" i="27"/>
  <c r="BC40" i="27"/>
  <c r="BD40" i="27"/>
  <c r="BB40" i="27"/>
  <c r="D41" i="27"/>
  <c r="B41" i="27"/>
  <c r="F41" i="27"/>
  <c r="G41" i="27" s="1"/>
  <c r="X41" i="27"/>
  <c r="AB41" i="27"/>
  <c r="AA41" i="27"/>
  <c r="AC41" i="27" s="1"/>
  <c r="AD41" i="27" s="1"/>
  <c r="AS9" i="22"/>
  <c r="R9" i="22"/>
  <c r="BD9" i="22" l="1"/>
  <c r="S9" i="22"/>
  <c r="AC10" i="22"/>
  <c r="AD10" i="22" s="1"/>
  <c r="AE10" i="22" s="1"/>
  <c r="AF10" i="22" s="1"/>
  <c r="AE41" i="27"/>
  <c r="AF41" i="27" s="1"/>
  <c r="AJ41" i="27"/>
  <c r="AT41" i="27"/>
  <c r="AZ41" i="27"/>
  <c r="E41" i="27"/>
  <c r="I41" i="27"/>
  <c r="H41" i="27"/>
  <c r="J41" i="27" s="1"/>
  <c r="K41" i="27" s="1"/>
  <c r="O40" i="27"/>
  <c r="AY40" i="27"/>
  <c r="AW40" i="27" s="1"/>
  <c r="P9" i="22"/>
  <c r="BC9" i="22"/>
  <c r="BB9" i="22"/>
  <c r="T11" i="22" l="1"/>
  <c r="V11" i="22"/>
  <c r="AG10" i="22"/>
  <c r="U11" i="22"/>
  <c r="Y11" i="22"/>
  <c r="L41" i="27"/>
  <c r="M41" i="27" s="1"/>
  <c r="AX40" i="27"/>
  <c r="AU40" i="27"/>
  <c r="Q41" i="27"/>
  <c r="T42" i="27"/>
  <c r="AV41" i="27"/>
  <c r="AP41" i="27"/>
  <c r="AH41" i="27"/>
  <c r="AG41" i="27"/>
  <c r="O9" i="22"/>
  <c r="AY9" i="22"/>
  <c r="AW9" i="22" s="1"/>
  <c r="AH10" i="22" s="1"/>
  <c r="AI10" i="22" l="1"/>
  <c r="AI41" i="27"/>
  <c r="AQ41" i="27"/>
  <c r="AR41" i="27" s="1"/>
  <c r="U42" i="27"/>
  <c r="Y42" i="27"/>
  <c r="BA41" i="27"/>
  <c r="A42" i="27"/>
  <c r="N41" i="27"/>
  <c r="AP10" i="22"/>
  <c r="AQ10" i="22" s="1"/>
  <c r="AR10" i="22" s="1"/>
  <c r="AU9" i="22"/>
  <c r="AX9" i="22"/>
  <c r="AS41" i="27" l="1"/>
  <c r="R41" i="27"/>
  <c r="AK41" i="27"/>
  <c r="AL41" i="27" s="1"/>
  <c r="V42" i="27" s="1"/>
  <c r="W42" i="27" s="1"/>
  <c r="B42" i="27"/>
  <c r="F42" i="27"/>
  <c r="D10" i="22"/>
  <c r="I10" i="22" l="1"/>
  <c r="H10" i="22"/>
  <c r="J10" i="22" s="1"/>
  <c r="E10" i="22"/>
  <c r="G10" i="22"/>
  <c r="AZ42" i="27"/>
  <c r="AT42" i="27"/>
  <c r="P41" i="27"/>
  <c r="BC41" i="27"/>
  <c r="BD41" i="27"/>
  <c r="S41" i="27"/>
  <c r="C42" i="27" s="1"/>
  <c r="D42" i="27" s="1"/>
  <c r="X42" i="27"/>
  <c r="AB42" i="27"/>
  <c r="AA42" i="27"/>
  <c r="AC42" i="27" s="1"/>
  <c r="BB41" i="27"/>
  <c r="Z42" i="27"/>
  <c r="AV10" i="22"/>
  <c r="AT10" i="22"/>
  <c r="AZ10" i="22"/>
  <c r="K10" i="22" l="1"/>
  <c r="L10" i="22"/>
  <c r="M10" i="22" s="1"/>
  <c r="N10" i="22"/>
  <c r="E42" i="27"/>
  <c r="H42" i="27"/>
  <c r="I42" i="27"/>
  <c r="AJ42" i="27"/>
  <c r="AV42" i="27"/>
  <c r="O41" i="27"/>
  <c r="AY41" i="27"/>
  <c r="AW41" i="27" s="1"/>
  <c r="AD42" i="27"/>
  <c r="G42" i="27"/>
  <c r="Q10" i="22"/>
  <c r="BA10" i="22" s="1"/>
  <c r="AK10" i="22" s="1"/>
  <c r="W11" i="22" l="1"/>
  <c r="AL10" i="22"/>
  <c r="A11" i="22"/>
  <c r="C11" i="22"/>
  <c r="AA11" i="22"/>
  <c r="AB11" i="22"/>
  <c r="X11" i="22"/>
  <c r="Z11" i="22"/>
  <c r="F11" i="22"/>
  <c r="B11" i="22"/>
  <c r="AJ11" i="22"/>
  <c r="AE42" i="27"/>
  <c r="AF42" i="27" s="1"/>
  <c r="AP42" i="27"/>
  <c r="AH42" i="27"/>
  <c r="AX41" i="27"/>
  <c r="AU41" i="27"/>
  <c r="J42" i="27"/>
  <c r="K42" i="27" s="1"/>
  <c r="Q42" i="27"/>
  <c r="R10" i="22"/>
  <c r="AS10" i="22"/>
  <c r="P10" i="22" l="1"/>
  <c r="S10" i="22"/>
  <c r="AC11" i="22"/>
  <c r="AD11" i="22" s="1"/>
  <c r="L42" i="27"/>
  <c r="M42" i="27" s="1"/>
  <c r="AI42" i="27"/>
  <c r="T43" i="27"/>
  <c r="AQ42" i="27"/>
  <c r="AR42" i="27" s="1"/>
  <c r="BA42" i="27" s="1"/>
  <c r="AG42" i="27"/>
  <c r="BD10" i="22"/>
  <c r="BB10" i="22"/>
  <c r="BC10" i="22"/>
  <c r="AY10" i="22"/>
  <c r="AW10" i="22" s="1"/>
  <c r="AH11" i="22" s="1"/>
  <c r="O10" i="22"/>
  <c r="AE11" i="22" l="1"/>
  <c r="AF11" i="22" s="1"/>
  <c r="AI11" i="22"/>
  <c r="AK42" i="27"/>
  <c r="AL42" i="27" s="1"/>
  <c r="V43" i="27" s="1"/>
  <c r="AS42" i="27"/>
  <c r="R42" i="27"/>
  <c r="W43" i="27"/>
  <c r="U43" i="27"/>
  <c r="Y43" i="27"/>
  <c r="Z43" i="27" s="1"/>
  <c r="A43" i="27"/>
  <c r="S42" i="27"/>
  <c r="C43" i="27" s="1"/>
  <c r="N42" i="27"/>
  <c r="AX10" i="22"/>
  <c r="AU10" i="22"/>
  <c r="AP11" i="22"/>
  <c r="T12" i="22" l="1"/>
  <c r="V12" i="22"/>
  <c r="U12" i="22"/>
  <c r="Y12" i="22"/>
  <c r="AG11" i="22"/>
  <c r="P42" i="27"/>
  <c r="BC42" i="27"/>
  <c r="BD42" i="27"/>
  <c r="D43" i="27"/>
  <c r="B43" i="27"/>
  <c r="F43" i="27"/>
  <c r="G43" i="27" s="1"/>
  <c r="BB42" i="27"/>
  <c r="X43" i="27"/>
  <c r="AB43" i="27"/>
  <c r="AA43" i="27"/>
  <c r="AQ11" i="22"/>
  <c r="AZ43" i="27" l="1"/>
  <c r="AT43" i="27"/>
  <c r="O42" i="27"/>
  <c r="AY42" i="27"/>
  <c r="AW42" i="27" s="1"/>
  <c r="AJ43" i="27"/>
  <c r="AV43" i="27"/>
  <c r="E43" i="27"/>
  <c r="H43" i="27"/>
  <c r="I43" i="27"/>
  <c r="AC43" i="27"/>
  <c r="AD43" i="27" s="1"/>
  <c r="AR11" i="22"/>
  <c r="AE43" i="27" l="1"/>
  <c r="AF43" i="27" s="1"/>
  <c r="AG43" i="27"/>
  <c r="AX42" i="27"/>
  <c r="AU42" i="27"/>
  <c r="AP43" i="27"/>
  <c r="AH43" i="27"/>
  <c r="J43" i="27"/>
  <c r="K43" i="27" s="1"/>
  <c r="Q43" i="27"/>
  <c r="D11" i="22"/>
  <c r="I11" i="22" l="1"/>
  <c r="H11" i="22"/>
  <c r="E11" i="22"/>
  <c r="G11" i="22"/>
  <c r="AQ43" i="27"/>
  <c r="AR43" i="27" s="1"/>
  <c r="BA43" i="27"/>
  <c r="AI43" i="27"/>
  <c r="L43" i="27"/>
  <c r="M43" i="27" s="1"/>
  <c r="T44" i="27"/>
  <c r="AT11" i="22"/>
  <c r="AZ11" i="22"/>
  <c r="J11" i="22" l="1"/>
  <c r="K11" i="22" s="1"/>
  <c r="A44" i="27"/>
  <c r="N43" i="27"/>
  <c r="U44" i="27"/>
  <c r="Y44" i="27"/>
  <c r="AS43" i="27"/>
  <c r="BB43" i="27" s="1"/>
  <c r="R43" i="27"/>
  <c r="AK43" i="27"/>
  <c r="AL43" i="27" s="1"/>
  <c r="V44" i="27" s="1"/>
  <c r="W44" i="27" s="1"/>
  <c r="AV11" i="22"/>
  <c r="L11" i="22" l="1"/>
  <c r="M11" i="22" s="1"/>
  <c r="X44" i="27"/>
  <c r="AB44" i="27"/>
  <c r="AA44" i="27"/>
  <c r="AC44" i="27" s="1"/>
  <c r="P43" i="27"/>
  <c r="BC43" i="27"/>
  <c r="BD43" i="27"/>
  <c r="Z44" i="27"/>
  <c r="AD44" i="27" s="1"/>
  <c r="S43" i="27"/>
  <c r="C44" i="27" s="1"/>
  <c r="D44" i="27" s="1"/>
  <c r="B44" i="27"/>
  <c r="F44" i="27"/>
  <c r="Q11" i="22"/>
  <c r="BA11" i="22" s="1"/>
  <c r="AK11" i="22" s="1"/>
  <c r="W12" i="22" l="1"/>
  <c r="AL11" i="22"/>
  <c r="A12" i="22"/>
  <c r="C12" i="22"/>
  <c r="AB12" i="22"/>
  <c r="AA12" i="22"/>
  <c r="AC12" i="22" s="1"/>
  <c r="X12" i="22"/>
  <c r="AJ12" i="22" s="1"/>
  <c r="Z12" i="22"/>
  <c r="F12" i="22"/>
  <c r="B12" i="22"/>
  <c r="N11" i="22"/>
  <c r="E44" i="27"/>
  <c r="H44" i="27"/>
  <c r="J44" i="27" s="1"/>
  <c r="I44" i="27"/>
  <c r="G44" i="27"/>
  <c r="K44" i="27" s="1"/>
  <c r="AE44" i="27"/>
  <c r="AF44" i="27" s="1"/>
  <c r="O43" i="27"/>
  <c r="AY43" i="27"/>
  <c r="AW43" i="27" s="1"/>
  <c r="AT44" i="27"/>
  <c r="AZ44" i="27"/>
  <c r="AJ44" i="27"/>
  <c r="AV44" i="27"/>
  <c r="AS11" i="22"/>
  <c r="R11" i="22"/>
  <c r="S11" i="22" s="1"/>
  <c r="AD12" i="22" l="1"/>
  <c r="AX43" i="27"/>
  <c r="AU43" i="27"/>
  <c r="T45" i="27"/>
  <c r="AG44" i="27"/>
  <c r="AP44" i="27"/>
  <c r="AH44" i="27"/>
  <c r="L44" i="27"/>
  <c r="M44" i="27" s="1"/>
  <c r="N44" i="27"/>
  <c r="Q44" i="27"/>
  <c r="BC11" i="22"/>
  <c r="BD11" i="22"/>
  <c r="P11" i="22"/>
  <c r="BB11" i="22"/>
  <c r="AE12" i="22" l="1"/>
  <c r="AF12" i="22" s="1"/>
  <c r="AI44" i="27"/>
  <c r="A45" i="27"/>
  <c r="AQ44" i="27"/>
  <c r="AR44" i="27" s="1"/>
  <c r="BA44" i="27" s="1"/>
  <c r="U45" i="27"/>
  <c r="Y45" i="27"/>
  <c r="O11" i="22"/>
  <c r="AY11" i="22"/>
  <c r="AW11" i="22" s="1"/>
  <c r="AH12" i="22" s="1"/>
  <c r="T13" i="22" l="1"/>
  <c r="V13" i="22"/>
  <c r="Y13" i="22"/>
  <c r="U13" i="22"/>
  <c r="AG12" i="22"/>
  <c r="AI12" i="22"/>
  <c r="AK44" i="27"/>
  <c r="AL44" i="27" s="1"/>
  <c r="V45" i="27" s="1"/>
  <c r="W45" i="27" s="1"/>
  <c r="AS44" i="27"/>
  <c r="R44" i="27"/>
  <c r="B45" i="27"/>
  <c r="F45" i="27"/>
  <c r="AP12" i="22"/>
  <c r="AQ12" i="22" s="1"/>
  <c r="AR12" i="22" s="1"/>
  <c r="AX11" i="22"/>
  <c r="AU11" i="22"/>
  <c r="P44" i="27" l="1"/>
  <c r="BC44" i="27"/>
  <c r="BD44" i="27"/>
  <c r="S44" i="27"/>
  <c r="C45" i="27" s="1"/>
  <c r="D45" i="27" s="1"/>
  <c r="BB44" i="27"/>
  <c r="AZ45" i="27"/>
  <c r="AT45" i="27"/>
  <c r="X45" i="27"/>
  <c r="AB45" i="27"/>
  <c r="AA45" i="27"/>
  <c r="AC45" i="27" s="1"/>
  <c r="Z45" i="27"/>
  <c r="D12" i="22"/>
  <c r="H12" i="22" l="1"/>
  <c r="I12" i="22"/>
  <c r="E12" i="22"/>
  <c r="AV12" i="22" s="1"/>
  <c r="G12" i="22"/>
  <c r="AJ45" i="27"/>
  <c r="AD45" i="27"/>
  <c r="E45" i="27"/>
  <c r="H45" i="27"/>
  <c r="I45" i="27"/>
  <c r="AY44" i="27"/>
  <c r="AW44" i="27" s="1"/>
  <c r="O44" i="27"/>
  <c r="G45" i="27"/>
  <c r="J12" i="22" l="1"/>
  <c r="K12" i="22" s="1"/>
  <c r="Q12" i="22"/>
  <c r="BA12" i="22" s="1"/>
  <c r="AK12" i="22" s="1"/>
  <c r="AP45" i="27"/>
  <c r="AH45" i="27"/>
  <c r="AX44" i="27"/>
  <c r="AU44" i="27"/>
  <c r="Q45" i="27"/>
  <c r="J45" i="27"/>
  <c r="K45" i="27" s="1"/>
  <c r="AE45" i="27"/>
  <c r="AF45" i="27" s="1"/>
  <c r="AV45" i="27"/>
  <c r="AT12" i="22"/>
  <c r="AZ12" i="22"/>
  <c r="W13" i="22" l="1"/>
  <c r="AL12" i="22"/>
  <c r="AS12" i="22"/>
  <c r="AB13" i="22"/>
  <c r="AA13" i="22"/>
  <c r="X13" i="22"/>
  <c r="AJ13" i="22" s="1"/>
  <c r="Z13" i="22"/>
  <c r="L12" i="22"/>
  <c r="M12" i="22" s="1"/>
  <c r="R12" i="22"/>
  <c r="L45" i="27"/>
  <c r="M45" i="27" s="1"/>
  <c r="T46" i="27"/>
  <c r="AI45" i="27"/>
  <c r="AG45" i="27"/>
  <c r="AQ45" i="27"/>
  <c r="AR45" i="27" s="1"/>
  <c r="BA45" i="27" s="1"/>
  <c r="BB12" i="22" l="1"/>
  <c r="S12" i="22"/>
  <c r="AC13" i="22"/>
  <c r="AD13" i="22" s="1"/>
  <c r="AE13" i="22" s="1"/>
  <c r="AF13" i="22" s="1"/>
  <c r="A13" i="22"/>
  <c r="C13" i="22"/>
  <c r="F13" i="22"/>
  <c r="B13" i="22"/>
  <c r="P12" i="22"/>
  <c r="AY12" i="22" s="1"/>
  <c r="AW12" i="22" s="1"/>
  <c r="AH13" i="22" s="1"/>
  <c r="AI13" i="22" s="1"/>
  <c r="BD12" i="22"/>
  <c r="BC12" i="22"/>
  <c r="N12" i="22"/>
  <c r="R45" i="27"/>
  <c r="AK45" i="27"/>
  <c r="AL45" i="27" s="1"/>
  <c r="V46" i="27" s="1"/>
  <c r="W46" i="27" s="1"/>
  <c r="AS45" i="27"/>
  <c r="BB45" i="27" s="1"/>
  <c r="U46" i="27"/>
  <c r="Y46" i="27"/>
  <c r="Z46" i="27" s="1"/>
  <c r="S45" i="27"/>
  <c r="C46" i="27" s="1"/>
  <c r="A46" i="27"/>
  <c r="N45" i="27"/>
  <c r="T14" i="22" l="1"/>
  <c r="V14" i="22"/>
  <c r="AG13" i="22"/>
  <c r="AP13" i="22"/>
  <c r="AQ13" i="22" s="1"/>
  <c r="O12" i="22"/>
  <c r="AX12" i="22" s="1"/>
  <c r="U14" i="22"/>
  <c r="Y14" i="22"/>
  <c r="AU12" i="22"/>
  <c r="X46" i="27"/>
  <c r="AB46" i="27"/>
  <c r="AA46" i="27"/>
  <c r="AC46" i="27" s="1"/>
  <c r="AD46" i="27" s="1"/>
  <c r="D46" i="27"/>
  <c r="B46" i="27"/>
  <c r="F46" i="27"/>
  <c r="G46" i="27" s="1"/>
  <c r="P45" i="27"/>
  <c r="BC45" i="27"/>
  <c r="BD45" i="27"/>
  <c r="AE46" i="27" l="1"/>
  <c r="AF46" i="27" s="1"/>
  <c r="O45" i="27"/>
  <c r="AY45" i="27"/>
  <c r="AW45" i="27" s="1"/>
  <c r="E46" i="27"/>
  <c r="I46" i="27"/>
  <c r="H46" i="27"/>
  <c r="J46" i="27" s="1"/>
  <c r="K46" i="27" s="1"/>
  <c r="AJ46" i="27"/>
  <c r="AV46" i="27"/>
  <c r="AT46" i="27"/>
  <c r="AZ46" i="27"/>
  <c r="AR13" i="22"/>
  <c r="L46" i="27" l="1"/>
  <c r="M46" i="27" s="1"/>
  <c r="T47" i="27"/>
  <c r="Q46" i="27"/>
  <c r="AX45" i="27"/>
  <c r="AU45" i="27"/>
  <c r="AG46" i="27"/>
  <c r="AP46" i="27"/>
  <c r="AH46" i="27"/>
  <c r="D13" i="22"/>
  <c r="E13" i="22" l="1"/>
  <c r="I13" i="22"/>
  <c r="H13" i="22"/>
  <c r="J13" i="22" s="1"/>
  <c r="G13" i="22"/>
  <c r="AQ46" i="27"/>
  <c r="AR46" i="27" s="1"/>
  <c r="U47" i="27"/>
  <c r="Y47" i="27"/>
  <c r="AI46" i="27"/>
  <c r="BA46" i="27"/>
  <c r="A47" i="27"/>
  <c r="N46" i="27"/>
  <c r="AV13" i="22"/>
  <c r="AZ13" i="22"/>
  <c r="AT13" i="22"/>
  <c r="K13" i="22" l="1"/>
  <c r="L13" i="22" s="1"/>
  <c r="M13" i="22" s="1"/>
  <c r="B47" i="27"/>
  <c r="F47" i="27"/>
  <c r="AS46" i="27"/>
  <c r="R46" i="27"/>
  <c r="AK46" i="27"/>
  <c r="AL46" i="27" s="1"/>
  <c r="V47" i="27" s="1"/>
  <c r="W47" i="27" s="1"/>
  <c r="Q13" i="22"/>
  <c r="BA13" i="22" s="1"/>
  <c r="AK13" i="22" s="1"/>
  <c r="W14" i="22" l="1"/>
  <c r="AL13" i="22"/>
  <c r="A14" i="22"/>
  <c r="C14" i="22"/>
  <c r="AB14" i="22"/>
  <c r="AA14" i="22"/>
  <c r="AC14" i="22" s="1"/>
  <c r="X14" i="22"/>
  <c r="AJ14" i="22" s="1"/>
  <c r="Z14" i="22"/>
  <c r="R13" i="22"/>
  <c r="AS13" i="22"/>
  <c r="BB13" i="22" s="1"/>
  <c r="B14" i="22"/>
  <c r="F14" i="22"/>
  <c r="N13" i="22"/>
  <c r="X47" i="27"/>
  <c r="AB47" i="27"/>
  <c r="AA47" i="27"/>
  <c r="AC47" i="27" s="1"/>
  <c r="Z47" i="27"/>
  <c r="AD47" i="27" s="1"/>
  <c r="P46" i="27"/>
  <c r="BC46" i="27"/>
  <c r="BD46" i="27"/>
  <c r="S46" i="27"/>
  <c r="C47" i="27" s="1"/>
  <c r="D47" i="27" s="1"/>
  <c r="BB46" i="27"/>
  <c r="AZ47" i="27"/>
  <c r="AT47" i="27"/>
  <c r="P13" i="22" l="1"/>
  <c r="S13" i="22"/>
  <c r="AD14" i="22"/>
  <c r="BD13" i="22"/>
  <c r="BC13" i="22"/>
  <c r="AE14" i="22"/>
  <c r="AF14" i="22" s="1"/>
  <c r="E47" i="27"/>
  <c r="H47" i="27"/>
  <c r="I47" i="27"/>
  <c r="G47" i="27"/>
  <c r="AY46" i="27"/>
  <c r="AW46" i="27" s="1"/>
  <c r="O46" i="27"/>
  <c r="AE47" i="27"/>
  <c r="AF47" i="27" s="1"/>
  <c r="AJ47" i="27"/>
  <c r="AV47" i="27"/>
  <c r="O13" i="22"/>
  <c r="AY13" i="22"/>
  <c r="AW13" i="22" s="1"/>
  <c r="AH14" i="22" s="1"/>
  <c r="T15" i="22" l="1"/>
  <c r="V15" i="22"/>
  <c r="Y15" i="22"/>
  <c r="U15" i="22"/>
  <c r="AG14" i="22"/>
  <c r="AI14" i="22"/>
  <c r="T48" i="27"/>
  <c r="AG47" i="27"/>
  <c r="AX46" i="27"/>
  <c r="AU46" i="27"/>
  <c r="AP47" i="27"/>
  <c r="AH47" i="27"/>
  <c r="J47" i="27"/>
  <c r="K47" i="27" s="1"/>
  <c r="Q47" i="27"/>
  <c r="AP14" i="22"/>
  <c r="AX13" i="22"/>
  <c r="AU13" i="22"/>
  <c r="L47" i="27" l="1"/>
  <c r="M47" i="27" s="1"/>
  <c r="AI47" i="27"/>
  <c r="AQ47" i="27"/>
  <c r="AR47" i="27" s="1"/>
  <c r="BA47" i="27" s="1"/>
  <c r="U48" i="27"/>
  <c r="Y48" i="27"/>
  <c r="AQ14" i="22"/>
  <c r="AK47" i="27" l="1"/>
  <c r="AL47" i="27" s="1"/>
  <c r="V48" i="27" s="1"/>
  <c r="W48" i="27" s="1"/>
  <c r="AS47" i="27"/>
  <c r="R47" i="27"/>
  <c r="A48" i="27"/>
  <c r="N47" i="27"/>
  <c r="D14" i="22"/>
  <c r="AR14" i="22"/>
  <c r="H14" i="22" l="1"/>
  <c r="E14" i="22"/>
  <c r="I14" i="22"/>
  <c r="G14" i="22"/>
  <c r="P47" i="27"/>
  <c r="BC47" i="27"/>
  <c r="BD47" i="27"/>
  <c r="BB47" i="27"/>
  <c r="S47" i="27"/>
  <c r="C48" i="27" s="1"/>
  <c r="D48" i="27" s="1"/>
  <c r="B48" i="27"/>
  <c r="F48" i="27"/>
  <c r="G48" i="27" s="1"/>
  <c r="X48" i="27"/>
  <c r="AB48" i="27"/>
  <c r="AA48" i="27"/>
  <c r="Z48" i="27"/>
  <c r="AV14" i="22"/>
  <c r="AT14" i="22"/>
  <c r="AZ14" i="22"/>
  <c r="J14" i="22" l="1"/>
  <c r="K14" i="22" s="1"/>
  <c r="E48" i="27"/>
  <c r="H48" i="27"/>
  <c r="I48" i="27"/>
  <c r="AT48" i="27"/>
  <c r="AZ48" i="27"/>
  <c r="AJ48" i="27"/>
  <c r="AV48" i="27"/>
  <c r="AC48" i="27"/>
  <c r="AD48" i="27" s="1"/>
  <c r="O47" i="27"/>
  <c r="AY47" i="27"/>
  <c r="AW47" i="27" s="1"/>
  <c r="Q14" i="22"/>
  <c r="BA14" i="22" s="1"/>
  <c r="AK14" i="22" s="1"/>
  <c r="W15" i="22" l="1"/>
  <c r="AL14" i="22"/>
  <c r="AA15" i="22"/>
  <c r="X15" i="22"/>
  <c r="AB15" i="22"/>
  <c r="Z15" i="22"/>
  <c r="L14" i="22"/>
  <c r="M14" i="22" s="1"/>
  <c r="AJ15" i="22"/>
  <c r="AE48" i="27"/>
  <c r="AF48" i="27" s="1"/>
  <c r="AX47" i="27"/>
  <c r="AU47" i="27"/>
  <c r="Q48" i="27"/>
  <c r="J48" i="27"/>
  <c r="K48" i="27" s="1"/>
  <c r="AP48" i="27"/>
  <c r="AH48" i="27"/>
  <c r="AS14" i="22"/>
  <c r="R14" i="22"/>
  <c r="BC14" i="22" l="1"/>
  <c r="S14" i="22"/>
  <c r="A15" i="22"/>
  <c r="C15" i="22"/>
  <c r="AC15" i="22"/>
  <c r="AD15" i="22" s="1"/>
  <c r="F15" i="22"/>
  <c r="B15" i="22"/>
  <c r="BB14" i="22"/>
  <c r="N14" i="22"/>
  <c r="BD14" i="22"/>
  <c r="P14" i="22"/>
  <c r="O14" i="22" s="1"/>
  <c r="AI48" i="27"/>
  <c r="AQ48" i="27"/>
  <c r="AR48" i="27" s="1"/>
  <c r="L48" i="27"/>
  <c r="M48" i="27" s="1"/>
  <c r="BA48" i="27"/>
  <c r="T49" i="27"/>
  <c r="AG48" i="27"/>
  <c r="AE15" i="22" l="1"/>
  <c r="AF15" i="22" s="1"/>
  <c r="AY14" i="22"/>
  <c r="AW14" i="22" s="1"/>
  <c r="AH15" i="22" s="1"/>
  <c r="AI15" i="22" s="1"/>
  <c r="U49" i="27"/>
  <c r="Y49" i="27"/>
  <c r="N48" i="27"/>
  <c r="A49" i="27"/>
  <c r="AS48" i="27"/>
  <c r="R48" i="27"/>
  <c r="S48" i="27" s="1"/>
  <c r="C49" i="27" s="1"/>
  <c r="AK48" i="27"/>
  <c r="AL48" i="27" s="1"/>
  <c r="V49" i="27" s="1"/>
  <c r="W49" i="27" s="1"/>
  <c r="AX14" i="22"/>
  <c r="AU14" i="22"/>
  <c r="AG15" i="22" l="1"/>
  <c r="T16" i="22"/>
  <c r="V16" i="22"/>
  <c r="AP15" i="22"/>
  <c r="AQ15" i="22" s="1"/>
  <c r="Y16" i="22"/>
  <c r="U16" i="22"/>
  <c r="X49" i="27"/>
  <c r="AB49" i="27"/>
  <c r="AA49" i="27"/>
  <c r="AC49" i="27" s="1"/>
  <c r="Z49" i="27"/>
  <c r="AD49" i="27" s="1"/>
  <c r="BB48" i="27"/>
  <c r="P48" i="27"/>
  <c r="BC48" i="27"/>
  <c r="BD48" i="27"/>
  <c r="B49" i="27"/>
  <c r="D49" i="27"/>
  <c r="F49" i="27"/>
  <c r="O48" i="27" l="1"/>
  <c r="AY48" i="27"/>
  <c r="AW48" i="27" s="1"/>
  <c r="E49" i="27"/>
  <c r="H49" i="27"/>
  <c r="I49" i="27"/>
  <c r="AT49" i="27"/>
  <c r="AZ49" i="27"/>
  <c r="AE49" i="27"/>
  <c r="AF49" i="27" s="1"/>
  <c r="G49" i="27"/>
  <c r="AJ49" i="27"/>
  <c r="D15" i="22"/>
  <c r="AR15" i="22"/>
  <c r="I15" i="22" l="1"/>
  <c r="H15" i="22"/>
  <c r="J15" i="22" s="1"/>
  <c r="E15" i="22"/>
  <c r="AV15" i="22" s="1"/>
  <c r="G15" i="22"/>
  <c r="K15" i="22" s="1"/>
  <c r="T50" i="27"/>
  <c r="AP49" i="27"/>
  <c r="AH49" i="27"/>
  <c r="AG49" i="27"/>
  <c r="J49" i="27"/>
  <c r="K49" i="27" s="1"/>
  <c r="Q49" i="27"/>
  <c r="AV49" i="27"/>
  <c r="AX48" i="27"/>
  <c r="AU48" i="27"/>
  <c r="AT15" i="22"/>
  <c r="AZ15" i="22"/>
  <c r="L15" i="22" l="1"/>
  <c r="M15" i="22" s="1"/>
  <c r="N15" i="22"/>
  <c r="L49" i="27"/>
  <c r="M49" i="27" s="1"/>
  <c r="AI49" i="27"/>
  <c r="U50" i="27"/>
  <c r="Y50" i="27"/>
  <c r="BA49" i="27"/>
  <c r="AQ49" i="27"/>
  <c r="AR49" i="27" s="1"/>
  <c r="Q15" i="22"/>
  <c r="BA15" i="22" s="1"/>
  <c r="AK15" i="22" s="1"/>
  <c r="W16" i="22" l="1"/>
  <c r="AL15" i="22"/>
  <c r="A16" i="22"/>
  <c r="C16" i="22"/>
  <c r="X16" i="22"/>
  <c r="AB16" i="22"/>
  <c r="AA16" i="22"/>
  <c r="AC16" i="22" s="1"/>
  <c r="Z16" i="22"/>
  <c r="F16" i="22"/>
  <c r="B16" i="22"/>
  <c r="AJ16" i="22"/>
  <c r="AK49" i="27"/>
  <c r="AL49" i="27" s="1"/>
  <c r="V50" i="27" s="1"/>
  <c r="W50" i="27" s="1"/>
  <c r="AS49" i="27"/>
  <c r="R49" i="27"/>
  <c r="A50" i="27"/>
  <c r="S49" i="27"/>
  <c r="C50" i="27" s="1"/>
  <c r="N49" i="27"/>
  <c r="R15" i="22"/>
  <c r="AS15" i="22"/>
  <c r="AD16" i="22" l="1"/>
  <c r="BD15" i="22"/>
  <c r="S15" i="22"/>
  <c r="AE16" i="22"/>
  <c r="AF16" i="22" s="1"/>
  <c r="BB15" i="22"/>
  <c r="BC15" i="22"/>
  <c r="P15" i="22"/>
  <c r="AY15" i="22" s="1"/>
  <c r="AW15" i="22" s="1"/>
  <c r="AH16" i="22" s="1"/>
  <c r="D50" i="27"/>
  <c r="B50" i="27"/>
  <c r="F50" i="27"/>
  <c r="BB49" i="27"/>
  <c r="G50" i="27"/>
  <c r="P49" i="27"/>
  <c r="BC49" i="27"/>
  <c r="BD49" i="27"/>
  <c r="X50" i="27"/>
  <c r="AB50" i="27"/>
  <c r="AA50" i="27"/>
  <c r="AC50" i="27" s="1"/>
  <c r="Z50" i="27"/>
  <c r="T17" i="22" l="1"/>
  <c r="V17" i="22"/>
  <c r="O15" i="22"/>
  <c r="U17" i="22"/>
  <c r="Y17" i="22"/>
  <c r="AG16" i="22"/>
  <c r="AI16" i="22"/>
  <c r="AJ50" i="27"/>
  <c r="AY49" i="27"/>
  <c r="AW49" i="27" s="1"/>
  <c r="O49" i="27"/>
  <c r="AZ50" i="27"/>
  <c r="AT50" i="27"/>
  <c r="AD50" i="27"/>
  <c r="E50" i="27"/>
  <c r="I50" i="27"/>
  <c r="H50" i="27"/>
  <c r="J50" i="27" s="1"/>
  <c r="K50" i="27" s="1"/>
  <c r="AU15" i="22"/>
  <c r="AX15" i="22"/>
  <c r="AP16" i="22"/>
  <c r="AQ16" i="22" s="1"/>
  <c r="AR16" i="22" s="1"/>
  <c r="D16" i="22"/>
  <c r="I16" i="22" l="1"/>
  <c r="H16" i="22"/>
  <c r="J16" i="22" s="1"/>
  <c r="E16" i="22"/>
  <c r="AV16" i="22" s="1"/>
  <c r="G16" i="22"/>
  <c r="K16" i="22" s="1"/>
  <c r="L50" i="27"/>
  <c r="M50" i="27" s="1"/>
  <c r="Q50" i="27"/>
  <c r="AX49" i="27"/>
  <c r="AU49" i="27"/>
  <c r="AE50" i="27"/>
  <c r="AF50" i="27" s="1"/>
  <c r="AG50" i="27"/>
  <c r="AP50" i="27"/>
  <c r="AH50" i="27"/>
  <c r="AV50" i="27"/>
  <c r="AT16" i="22"/>
  <c r="AZ16" i="22"/>
  <c r="L16" i="22" l="1"/>
  <c r="M16" i="22" s="1"/>
  <c r="N16" i="22"/>
  <c r="AQ50" i="27"/>
  <c r="AR50" i="27" s="1"/>
  <c r="AI50" i="27"/>
  <c r="T51" i="27"/>
  <c r="BA50" i="27"/>
  <c r="A51" i="27"/>
  <c r="N50" i="27"/>
  <c r="Q16" i="22"/>
  <c r="BA16" i="22" s="1"/>
  <c r="AK16" i="22" s="1"/>
  <c r="W17" i="22" l="1"/>
  <c r="AL16" i="22"/>
  <c r="A17" i="22"/>
  <c r="C17" i="22"/>
  <c r="AA17" i="22"/>
  <c r="AB17" i="22"/>
  <c r="X17" i="22"/>
  <c r="Z17" i="22"/>
  <c r="B17" i="22"/>
  <c r="F17" i="22"/>
  <c r="AJ17" i="22"/>
  <c r="R50" i="27"/>
  <c r="AK50" i="27"/>
  <c r="AL50" i="27" s="1"/>
  <c r="V51" i="27" s="1"/>
  <c r="AS50" i="27"/>
  <c r="BB50" i="27" s="1"/>
  <c r="B51" i="27"/>
  <c r="F51" i="27"/>
  <c r="W51" i="27"/>
  <c r="U51" i="27"/>
  <c r="Y51" i="27"/>
  <c r="AS16" i="22"/>
  <c r="R16" i="22"/>
  <c r="S16" i="22" s="1"/>
  <c r="AC17" i="22" l="1"/>
  <c r="AD17" i="22" s="1"/>
  <c r="X51" i="27"/>
  <c r="AB51" i="27"/>
  <c r="AA51" i="27"/>
  <c r="AC51" i="27" s="1"/>
  <c r="AT51" i="27"/>
  <c r="AZ51" i="27"/>
  <c r="Z51" i="27"/>
  <c r="AD51" i="27" s="1"/>
  <c r="P50" i="27"/>
  <c r="BC50" i="27"/>
  <c r="BD50" i="27"/>
  <c r="S50" i="27"/>
  <c r="C51" i="27" s="1"/>
  <c r="D51" i="27" s="1"/>
  <c r="P16" i="22"/>
  <c r="BC16" i="22"/>
  <c r="BD16" i="22"/>
  <c r="BB16" i="22"/>
  <c r="AE17" i="22" l="1"/>
  <c r="AF17" i="22" s="1"/>
  <c r="AE51" i="27"/>
  <c r="AF51" i="27" s="1"/>
  <c r="O50" i="27"/>
  <c r="AY50" i="27"/>
  <c r="AW50" i="27" s="1"/>
  <c r="AJ51" i="27"/>
  <c r="E51" i="27"/>
  <c r="I51" i="27"/>
  <c r="H51" i="27"/>
  <c r="J51" i="27" s="1"/>
  <c r="G51" i="27"/>
  <c r="K51" i="27" s="1"/>
  <c r="O16" i="22"/>
  <c r="AY16" i="22"/>
  <c r="AW16" i="22" s="1"/>
  <c r="AH17" i="22" s="1"/>
  <c r="D17" i="22"/>
  <c r="T18" i="22" l="1"/>
  <c r="V18" i="22"/>
  <c r="U18" i="22"/>
  <c r="Y18" i="22"/>
  <c r="AG17" i="22"/>
  <c r="I17" i="22"/>
  <c r="H17" i="22"/>
  <c r="J17" i="22" s="1"/>
  <c r="E17" i="22"/>
  <c r="G17" i="22"/>
  <c r="K17" i="22" s="1"/>
  <c r="AI17" i="22"/>
  <c r="L51" i="27"/>
  <c r="M51" i="27" s="1"/>
  <c r="N51" i="27"/>
  <c r="Q51" i="27"/>
  <c r="AP51" i="27"/>
  <c r="AH51" i="27"/>
  <c r="AV51" i="27"/>
  <c r="AX50" i="27"/>
  <c r="AU50" i="27"/>
  <c r="T52" i="27"/>
  <c r="AG51" i="27"/>
  <c r="AP17" i="22"/>
  <c r="AQ17" i="22" s="1"/>
  <c r="AR17" i="22" s="1"/>
  <c r="AU16" i="22"/>
  <c r="AX16" i="22"/>
  <c r="AV17" i="22"/>
  <c r="AZ17" i="22"/>
  <c r="AT17" i="22"/>
  <c r="L17" i="22" l="1"/>
  <c r="M17" i="22" s="1"/>
  <c r="AQ51" i="27"/>
  <c r="AR51" i="27" s="1"/>
  <c r="U52" i="27"/>
  <c r="Y52" i="27"/>
  <c r="AI51" i="27"/>
  <c r="BA51" i="27"/>
  <c r="A52" i="27"/>
  <c r="Q17" i="22"/>
  <c r="BA17" i="22" s="1"/>
  <c r="AK17" i="22" s="1"/>
  <c r="W18" i="22" l="1"/>
  <c r="AB18" i="22" s="1"/>
  <c r="AL17" i="22"/>
  <c r="A18" i="22"/>
  <c r="C18" i="22"/>
  <c r="AA18" i="22"/>
  <c r="X18" i="22"/>
  <c r="AJ18" i="22" s="1"/>
  <c r="Z18" i="22"/>
  <c r="F18" i="22"/>
  <c r="B18" i="22"/>
  <c r="N17" i="22"/>
  <c r="R17" i="22"/>
  <c r="AS51" i="27"/>
  <c r="R51" i="27"/>
  <c r="AK51" i="27"/>
  <c r="AL51" i="27" s="1"/>
  <c r="V52" i="27" s="1"/>
  <c r="W52" i="27" s="1"/>
  <c r="B52" i="27"/>
  <c r="F52" i="27"/>
  <c r="AS17" i="22"/>
  <c r="AC18" i="22" l="1"/>
  <c r="AD18" i="22"/>
  <c r="BC17" i="22"/>
  <c r="S17" i="22"/>
  <c r="AE18" i="22"/>
  <c r="AF18" i="22" s="1"/>
  <c r="P17" i="22"/>
  <c r="BD17" i="22"/>
  <c r="BB17" i="22"/>
  <c r="AZ52" i="27"/>
  <c r="AT52" i="27"/>
  <c r="X52" i="27"/>
  <c r="AB52" i="27"/>
  <c r="AA52" i="27"/>
  <c r="AC52" i="27" s="1"/>
  <c r="P51" i="27"/>
  <c r="BC51" i="27"/>
  <c r="BD51" i="27"/>
  <c r="S51" i="27"/>
  <c r="C52" i="27" s="1"/>
  <c r="D52" i="27" s="1"/>
  <c r="BB51" i="27"/>
  <c r="Z52" i="27"/>
  <c r="AY17" i="22"/>
  <c r="AW17" i="22" s="1"/>
  <c r="AH18" i="22" s="1"/>
  <c r="O17" i="22"/>
  <c r="T19" i="22" l="1"/>
  <c r="V19" i="22"/>
  <c r="Y19" i="22"/>
  <c r="U19" i="22"/>
  <c r="AG18" i="22"/>
  <c r="AI18" i="22"/>
  <c r="E52" i="27"/>
  <c r="H52" i="27"/>
  <c r="I52" i="27"/>
  <c r="O51" i="27"/>
  <c r="AY51" i="27"/>
  <c r="AW51" i="27" s="1"/>
  <c r="G52" i="27"/>
  <c r="AD52" i="27"/>
  <c r="AJ52" i="27"/>
  <c r="AV52" i="27"/>
  <c r="AX17" i="22"/>
  <c r="AU17" i="22"/>
  <c r="AP18" i="22"/>
  <c r="AE52" i="27" l="1"/>
  <c r="AF52" i="27" s="1"/>
  <c r="AX51" i="27"/>
  <c r="AU51" i="27"/>
  <c r="AP52" i="27"/>
  <c r="AH52" i="27"/>
  <c r="J52" i="27"/>
  <c r="K52" i="27" s="1"/>
  <c r="Q52" i="27"/>
  <c r="AQ18" i="22"/>
  <c r="L52" i="27" l="1"/>
  <c r="M52" i="27" s="1"/>
  <c r="AQ52" i="27"/>
  <c r="AR52" i="27" s="1"/>
  <c r="AI52" i="27"/>
  <c r="BA52" i="27"/>
  <c r="T53" i="27"/>
  <c r="AG52" i="27"/>
  <c r="AR18" i="22"/>
  <c r="U53" i="27" l="1"/>
  <c r="Y53" i="27"/>
  <c r="AK52" i="27"/>
  <c r="AL52" i="27" s="1"/>
  <c r="V53" i="27" s="1"/>
  <c r="W53" i="27" s="1"/>
  <c r="AS52" i="27"/>
  <c r="BB52" i="27" s="1"/>
  <c r="R52" i="27"/>
  <c r="A53" i="27"/>
  <c r="S52" i="27"/>
  <c r="C53" i="27" s="1"/>
  <c r="N52" i="27"/>
  <c r="D18" i="22"/>
  <c r="I18" i="22" l="1"/>
  <c r="E18" i="22"/>
  <c r="H18" i="22"/>
  <c r="J18" i="22" s="1"/>
  <c r="G18" i="22"/>
  <c r="K18" i="22" s="1"/>
  <c r="X53" i="27"/>
  <c r="AB53" i="27"/>
  <c r="AA53" i="27"/>
  <c r="AC53" i="27" s="1"/>
  <c r="Z53" i="27"/>
  <c r="AD53" i="27" s="1"/>
  <c r="D53" i="27"/>
  <c r="B53" i="27"/>
  <c r="F53" i="27"/>
  <c r="G53" i="27" s="1"/>
  <c r="P52" i="27"/>
  <c r="BC52" i="27"/>
  <c r="BD52" i="27"/>
  <c r="AV18" i="22"/>
  <c r="AZ18" i="22"/>
  <c r="AT18" i="22"/>
  <c r="L18" i="22" l="1"/>
  <c r="M18" i="22" s="1"/>
  <c r="E53" i="27"/>
  <c r="I53" i="27"/>
  <c r="H53" i="27"/>
  <c r="J53" i="27" s="1"/>
  <c r="K53" i="27" s="1"/>
  <c r="AT53" i="27"/>
  <c r="AZ53" i="27"/>
  <c r="O52" i="27"/>
  <c r="AY52" i="27"/>
  <c r="AW52" i="27" s="1"/>
  <c r="AE53" i="27"/>
  <c r="AF53" i="27" s="1"/>
  <c r="AJ53" i="27"/>
  <c r="Q18" i="22"/>
  <c r="BA18" i="22" s="1"/>
  <c r="AK18" i="22" s="1"/>
  <c r="W19" i="22" l="1"/>
  <c r="AL18" i="22"/>
  <c r="A19" i="22"/>
  <c r="C19" i="22"/>
  <c r="AB19" i="22"/>
  <c r="AA19" i="22"/>
  <c r="AC19" i="22" s="1"/>
  <c r="X19" i="22"/>
  <c r="Z19" i="22"/>
  <c r="F19" i="22"/>
  <c r="B19" i="22"/>
  <c r="N18" i="22"/>
  <c r="AJ19" i="22"/>
  <c r="L53" i="27"/>
  <c r="M53" i="27" s="1"/>
  <c r="T54" i="27"/>
  <c r="AP53" i="27"/>
  <c r="AH53" i="27"/>
  <c r="Q53" i="27"/>
  <c r="AG53" i="27"/>
  <c r="AX52" i="27"/>
  <c r="AU52" i="27"/>
  <c r="AV53" i="27"/>
  <c r="R18" i="22"/>
  <c r="S18" i="22" s="1"/>
  <c r="AS18" i="22"/>
  <c r="BB18" i="22" s="1"/>
  <c r="AD19" i="22" l="1"/>
  <c r="AE19" i="22"/>
  <c r="AF19" i="22" s="1"/>
  <c r="AI53" i="27"/>
  <c r="U54" i="27"/>
  <c r="Y54" i="27"/>
  <c r="A54" i="27"/>
  <c r="AQ53" i="27"/>
  <c r="AR53" i="27" s="1"/>
  <c r="BA53" i="27" s="1"/>
  <c r="N53" i="27"/>
  <c r="P18" i="22"/>
  <c r="BC18" i="22"/>
  <c r="BD18" i="22"/>
  <c r="AG19" i="22" l="1"/>
  <c r="T20" i="22"/>
  <c r="V20" i="22"/>
  <c r="Y20" i="22"/>
  <c r="U20" i="22"/>
  <c r="AS53" i="27"/>
  <c r="R53" i="27"/>
  <c r="AK53" i="27"/>
  <c r="AL53" i="27" s="1"/>
  <c r="V54" i="27" s="1"/>
  <c r="W54" i="27" s="1"/>
  <c r="B54" i="27"/>
  <c r="F54" i="27"/>
  <c r="AY18" i="22"/>
  <c r="AW18" i="22" s="1"/>
  <c r="AH19" i="22" s="1"/>
  <c r="O18" i="22"/>
  <c r="AI19" i="22" l="1"/>
  <c r="AZ54" i="27"/>
  <c r="AT54" i="27"/>
  <c r="X54" i="27"/>
  <c r="AB54" i="27"/>
  <c r="AA54" i="27"/>
  <c r="AC54" i="27" s="1"/>
  <c r="Z54" i="27"/>
  <c r="AD54" i="27" s="1"/>
  <c r="P53" i="27"/>
  <c r="BC53" i="27"/>
  <c r="BD53" i="27"/>
  <c r="S53" i="27"/>
  <c r="C54" i="27" s="1"/>
  <c r="D54" i="27" s="1"/>
  <c r="BB53" i="27"/>
  <c r="AX18" i="22"/>
  <c r="AU18" i="22"/>
  <c r="AP19" i="22"/>
  <c r="AQ19" i="22" s="1"/>
  <c r="AR19" i="22" s="1"/>
  <c r="D19" i="22"/>
  <c r="E19" i="22" l="1"/>
  <c r="H19" i="22"/>
  <c r="I19" i="22"/>
  <c r="G19" i="22"/>
  <c r="O53" i="27"/>
  <c r="AY53" i="27"/>
  <c r="AW53" i="27" s="1"/>
  <c r="E54" i="27"/>
  <c r="H54" i="27"/>
  <c r="J54" i="27" s="1"/>
  <c r="I54" i="27"/>
  <c r="G54" i="27"/>
  <c r="K54" i="27" s="1"/>
  <c r="AE54" i="27"/>
  <c r="AF54" i="27" s="1"/>
  <c r="AJ54" i="27"/>
  <c r="AV54" i="27"/>
  <c r="AV19" i="22"/>
  <c r="AZ19" i="22"/>
  <c r="AT19" i="22"/>
  <c r="J19" i="22" l="1"/>
  <c r="K19" i="22" s="1"/>
  <c r="L54" i="27"/>
  <c r="M54" i="27" s="1"/>
  <c r="Q54" i="27"/>
  <c r="AP54" i="27"/>
  <c r="AH54" i="27"/>
  <c r="AI54" i="27" s="1"/>
  <c r="AG54" i="27"/>
  <c r="AX53" i="27"/>
  <c r="AU53" i="27"/>
  <c r="Q19" i="22"/>
  <c r="BA19" i="22" s="1"/>
  <c r="AK19" i="22" s="1"/>
  <c r="W20" i="22" l="1"/>
  <c r="AL19" i="22"/>
  <c r="AB20" i="22"/>
  <c r="AA20" i="22"/>
  <c r="X20" i="22"/>
  <c r="AJ20" i="22" s="1"/>
  <c r="Z20" i="22"/>
  <c r="L19" i="22"/>
  <c r="M19" i="22" s="1"/>
  <c r="AQ54" i="27"/>
  <c r="AR54" i="27" s="1"/>
  <c r="BA54" i="27" s="1"/>
  <c r="N54" i="27"/>
  <c r="R19" i="22"/>
  <c r="S19" i="22" s="1"/>
  <c r="AS19" i="22"/>
  <c r="BB19" i="22" s="1"/>
  <c r="AC20" i="22" l="1"/>
  <c r="AD20" i="22" s="1"/>
  <c r="AE20" i="22" s="1"/>
  <c r="AF20" i="22" s="1"/>
  <c r="A20" i="22"/>
  <c r="C20" i="22"/>
  <c r="B20" i="22"/>
  <c r="F20" i="22"/>
  <c r="N19" i="22"/>
  <c r="AK54" i="27"/>
  <c r="AL54" i="27" s="1"/>
  <c r="AS54" i="27"/>
  <c r="BB54" i="27" s="1"/>
  <c r="R54" i="27"/>
  <c r="P19" i="22"/>
  <c r="BC19" i="22"/>
  <c r="BD19" i="22"/>
  <c r="T21" i="22" l="1"/>
  <c r="V21" i="22"/>
  <c r="Y21" i="22"/>
  <c r="U21" i="22"/>
  <c r="AG20" i="22"/>
  <c r="P54" i="27"/>
  <c r="BC54" i="27"/>
  <c r="BD54" i="27"/>
  <c r="S54" i="27"/>
  <c r="AY19" i="22"/>
  <c r="AW19" i="22" s="1"/>
  <c r="AH20" i="22" s="1"/>
  <c r="O19" i="22"/>
  <c r="D20" i="22"/>
  <c r="I20" i="22" l="1"/>
  <c r="H20" i="22"/>
  <c r="J20" i="22" s="1"/>
  <c r="E20" i="22"/>
  <c r="G20" i="22"/>
  <c r="AI20" i="22"/>
  <c r="O54" i="27"/>
  <c r="AY54" i="27"/>
  <c r="AW54" i="27" s="1"/>
  <c r="AU19" i="22"/>
  <c r="AX19" i="22"/>
  <c r="AP20" i="22"/>
  <c r="AQ20" i="22" s="1"/>
  <c r="AR20" i="22" s="1"/>
  <c r="AZ20" i="22"/>
  <c r="AT20" i="22"/>
  <c r="K20" i="22" l="1"/>
  <c r="L20" i="22"/>
  <c r="M20" i="22" s="1"/>
  <c r="AX54" i="27"/>
  <c r="AU54" i="27"/>
  <c r="AV20" i="22"/>
  <c r="A21" i="22" l="1"/>
  <c r="C21" i="22"/>
  <c r="F21" i="22"/>
  <c r="B21" i="22"/>
  <c r="N20" i="22"/>
  <c r="Q20" i="22"/>
  <c r="BA20" i="22" s="1"/>
  <c r="AK20" i="22" s="1"/>
  <c r="W21" i="22" l="1"/>
  <c r="AL20" i="22"/>
  <c r="AA21" i="22"/>
  <c r="X21" i="22"/>
  <c r="AJ21" i="22" s="1"/>
  <c r="AB21" i="22"/>
  <c r="Z21" i="22"/>
  <c r="R20" i="22"/>
  <c r="S20" i="22" s="1"/>
  <c r="AS20" i="22"/>
  <c r="BB20" i="22" l="1"/>
  <c r="AC21" i="22"/>
  <c r="AD21" i="22" s="1"/>
  <c r="BC20" i="22"/>
  <c r="BD20" i="22"/>
  <c r="P20" i="22"/>
  <c r="AE21" i="22" l="1"/>
  <c r="AF21" i="22" s="1"/>
  <c r="O20" i="22"/>
  <c r="AY20" i="22"/>
  <c r="AW20" i="22" s="1"/>
  <c r="AH21" i="22" s="1"/>
  <c r="AG21" i="22" l="1"/>
  <c r="T22" i="22"/>
  <c r="V22" i="22"/>
  <c r="Y22" i="22"/>
  <c r="U22" i="22"/>
  <c r="AI21" i="22"/>
  <c r="AP21" i="22"/>
  <c r="AQ21" i="22" s="1"/>
  <c r="AR21" i="22" s="1"/>
  <c r="AX20" i="22"/>
  <c r="AU20" i="22"/>
  <c r="D21" i="22" l="1"/>
  <c r="I21" i="22" l="1"/>
  <c r="H21" i="22"/>
  <c r="J21" i="22" s="1"/>
  <c r="E21" i="22"/>
  <c r="G21" i="22"/>
  <c r="K21" i="22" s="1"/>
  <c r="AV21" i="22"/>
  <c r="L21" i="22" l="1"/>
  <c r="M21" i="22" s="1"/>
  <c r="N21" i="22"/>
  <c r="Q21" i="22"/>
  <c r="BA21" i="22" s="1"/>
  <c r="AK21" i="22" s="1"/>
  <c r="AT21" i="22"/>
  <c r="AZ21" i="22"/>
  <c r="W22" i="22" l="1"/>
  <c r="AL21" i="22"/>
  <c r="A22" i="22"/>
  <c r="C22" i="22"/>
  <c r="AS21" i="22"/>
  <c r="R21" i="22"/>
  <c r="X22" i="22"/>
  <c r="AJ22" i="22" s="1"/>
  <c r="AB22" i="22"/>
  <c r="AA22" i="22"/>
  <c r="Z22" i="22"/>
  <c r="B22" i="22"/>
  <c r="F22" i="22"/>
  <c r="P21" i="22" l="1"/>
  <c r="O21" i="22" s="1"/>
  <c r="S21" i="22"/>
  <c r="BC21" i="22"/>
  <c r="AC22" i="22"/>
  <c r="AD22" i="22" s="1"/>
  <c r="AE22" i="22" s="1"/>
  <c r="AF22" i="22" s="1"/>
  <c r="AY21" i="22"/>
  <c r="AW21" i="22" s="1"/>
  <c r="AH22" i="22" s="1"/>
  <c r="BD21" i="22"/>
  <c r="BB21" i="22"/>
  <c r="AX21" i="22"/>
  <c r="AU21" i="22"/>
  <c r="AP22" i="22" l="1"/>
  <c r="AI22" i="22"/>
  <c r="T23" i="22"/>
  <c r="V23" i="22"/>
  <c r="W23" i="22" s="1"/>
  <c r="AG22" i="22"/>
  <c r="AQ22" i="22"/>
  <c r="X23" i="22" l="1"/>
  <c r="AJ23" i="22" s="1"/>
  <c r="AA23" i="22"/>
  <c r="AB23" i="22"/>
  <c r="U23" i="22"/>
  <c r="Y23" i="22"/>
  <c r="Z23" i="22" s="1"/>
  <c r="D22" i="22"/>
  <c r="AR22" i="22"/>
  <c r="AC23" i="22" l="1"/>
  <c r="AD23" i="22" s="1"/>
  <c r="I22" i="22"/>
  <c r="H22" i="22"/>
  <c r="J22" i="22" s="1"/>
  <c r="E22" i="22"/>
  <c r="G22" i="22"/>
  <c r="AV22" i="22"/>
  <c r="AZ22" i="22"/>
  <c r="AT22" i="22"/>
  <c r="AE23" i="22" l="1"/>
  <c r="AF23" i="22" s="1"/>
  <c r="T24" i="22" s="1"/>
  <c r="V24" i="22"/>
  <c r="K22" i="22"/>
  <c r="L22" i="22"/>
  <c r="M22" i="22" s="1"/>
  <c r="Q22" i="22"/>
  <c r="BA22" i="22" s="1"/>
  <c r="AK22" i="22" s="1"/>
  <c r="AL22" i="22" s="1"/>
  <c r="AG23" i="22" l="1"/>
  <c r="Y24" i="22"/>
  <c r="U24" i="22"/>
  <c r="W24" i="22"/>
  <c r="A23" i="22"/>
  <c r="C23" i="22"/>
  <c r="R22" i="22"/>
  <c r="AS22" i="22"/>
  <c r="F23" i="22"/>
  <c r="B23" i="22"/>
  <c r="N22" i="22"/>
  <c r="AA24" i="22" l="1"/>
  <c r="X24" i="22"/>
  <c r="AJ24" i="22" s="1"/>
  <c r="AB24" i="22"/>
  <c r="P22" i="22"/>
  <c r="S22" i="22"/>
  <c r="Z24" i="22"/>
  <c r="BB22" i="22"/>
  <c r="BC22" i="22"/>
  <c r="BD22" i="22"/>
  <c r="O22" i="22"/>
  <c r="AY22" i="22"/>
  <c r="AW22" i="22" s="1"/>
  <c r="AH23" i="22" s="1"/>
  <c r="AI23" i="22" s="1"/>
  <c r="AC24" i="22" l="1"/>
  <c r="AD24" i="22" s="1"/>
  <c r="AP23" i="22"/>
  <c r="AX22" i="22"/>
  <c r="AU22" i="22"/>
  <c r="AE24" i="22" l="1"/>
  <c r="AF24" i="22" s="1"/>
  <c r="AQ23" i="22"/>
  <c r="AG24" i="22" l="1"/>
  <c r="V25" i="22"/>
  <c r="T25" i="22"/>
  <c r="D23" i="22"/>
  <c r="AR23" i="22"/>
  <c r="U25" i="22" l="1"/>
  <c r="W25" i="22"/>
  <c r="Y25" i="22"/>
  <c r="Z25" i="22" s="1"/>
  <c r="I23" i="22"/>
  <c r="H23" i="22"/>
  <c r="J23" i="22" s="1"/>
  <c r="E23" i="22"/>
  <c r="G23" i="22"/>
  <c r="AV23" i="22"/>
  <c r="AZ23" i="22"/>
  <c r="AT23" i="22"/>
  <c r="X25" i="22" l="1"/>
  <c r="AJ25" i="22" s="1"/>
  <c r="AB25" i="22"/>
  <c r="AA25" i="22"/>
  <c r="K23" i="22"/>
  <c r="Q23" i="22"/>
  <c r="BA23" i="22" s="1"/>
  <c r="AK23" i="22" s="1"/>
  <c r="AL23" i="22" s="1"/>
  <c r="AC25" i="22" l="1"/>
  <c r="AD25" i="22" s="1"/>
  <c r="AE25" i="22" s="1"/>
  <c r="L23" i="22"/>
  <c r="M23" i="22" s="1"/>
  <c r="R23" i="22"/>
  <c r="AS23" i="22"/>
  <c r="AF25" i="22" l="1"/>
  <c r="AG25" i="22"/>
  <c r="V26" i="22"/>
  <c r="T26" i="22"/>
  <c r="BC23" i="22"/>
  <c r="S23" i="22"/>
  <c r="A24" i="22"/>
  <c r="C24" i="22"/>
  <c r="BB23" i="22"/>
  <c r="P23" i="22"/>
  <c r="O23" i="22" s="1"/>
  <c r="F24" i="22"/>
  <c r="B24" i="22"/>
  <c r="N23" i="22"/>
  <c r="BD23" i="22"/>
  <c r="W26" i="22" l="1"/>
  <c r="Y26" i="22"/>
  <c r="Z26" i="22" s="1"/>
  <c r="U26" i="22"/>
  <c r="AY23" i="22"/>
  <c r="AW23" i="22" s="1"/>
  <c r="AH24" i="22" s="1"/>
  <c r="AX23" i="22"/>
  <c r="AU23" i="22"/>
  <c r="X26" i="22" l="1"/>
  <c r="AJ26" i="22" s="1"/>
  <c r="AA26" i="22"/>
  <c r="AB26" i="22"/>
  <c r="AI24" i="22"/>
  <c r="AP24" i="22"/>
  <c r="AQ24" i="22" s="1"/>
  <c r="AC26" i="22" l="1"/>
  <c r="AD26" i="22" s="1"/>
  <c r="AE26" i="22" s="1"/>
  <c r="AF26" i="22" s="1"/>
  <c r="D24" i="22"/>
  <c r="AR24" i="22"/>
  <c r="AG26" i="22" l="1"/>
  <c r="T27" i="22"/>
  <c r="V27" i="22"/>
  <c r="E24" i="22"/>
  <c r="I24" i="22"/>
  <c r="H24" i="22"/>
  <c r="J24" i="22" s="1"/>
  <c r="G24" i="22"/>
  <c r="AZ24" i="22"/>
  <c r="AT24" i="22"/>
  <c r="K24" i="22" l="1"/>
  <c r="Y27" i="22"/>
  <c r="U27" i="22"/>
  <c r="W27" i="22"/>
  <c r="L24" i="22"/>
  <c r="M24" i="22" s="1"/>
  <c r="Q24" i="22"/>
  <c r="BA24" i="22" s="1"/>
  <c r="AK24" i="22" s="1"/>
  <c r="AL24" i="22" s="1"/>
  <c r="AV24" i="22"/>
  <c r="AS24" i="22"/>
  <c r="AB27" i="22" l="1"/>
  <c r="AA27" i="22"/>
  <c r="AC27" i="22" s="1"/>
  <c r="X27" i="22"/>
  <c r="AJ27" i="22" s="1"/>
  <c r="Z27" i="22"/>
  <c r="AD27" i="22" s="1"/>
  <c r="A25" i="22"/>
  <c r="C25" i="22"/>
  <c r="D25" i="22" s="1"/>
  <c r="R24" i="22"/>
  <c r="N24" i="22"/>
  <c r="AE27" i="22" l="1"/>
  <c r="AF27" i="22" s="1"/>
  <c r="BB24" i="22"/>
  <c r="S24" i="22"/>
  <c r="E25" i="22"/>
  <c r="Q25" i="22" s="1"/>
  <c r="I25" i="22"/>
  <c r="H25" i="22"/>
  <c r="J25" i="22" s="1"/>
  <c r="F25" i="22"/>
  <c r="G25" i="22" s="1"/>
  <c r="K25" i="22" s="1"/>
  <c r="B25" i="22"/>
  <c r="BC24" i="22"/>
  <c r="P24" i="22"/>
  <c r="O24" i="22" s="1"/>
  <c r="BD24" i="22"/>
  <c r="AG27" i="22" l="1"/>
  <c r="AY24" i="22"/>
  <c r="AW24" i="22" s="1"/>
  <c r="AH25" i="22" s="1"/>
  <c r="AI25" i="22" s="1"/>
  <c r="V28" i="22"/>
  <c r="T28" i="22"/>
  <c r="L25" i="22"/>
  <c r="M25" i="22" s="1"/>
  <c r="AX24" i="22"/>
  <c r="AU24" i="22"/>
  <c r="AP25" i="22" l="1"/>
  <c r="U28" i="22"/>
  <c r="Y28" i="22"/>
  <c r="W28" i="22"/>
  <c r="A26" i="22"/>
  <c r="C26" i="22"/>
  <c r="N25" i="22"/>
  <c r="AQ25" i="22"/>
  <c r="X28" i="22" l="1"/>
  <c r="AJ28" i="22" s="1"/>
  <c r="AA28" i="22"/>
  <c r="AB28" i="22"/>
  <c r="Z28" i="22"/>
  <c r="B26" i="22"/>
  <c r="F26" i="22"/>
  <c r="D26" i="22"/>
  <c r="AR25" i="22"/>
  <c r="G26" i="22" l="1"/>
  <c r="AC28" i="22"/>
  <c r="AD28" i="22" s="1"/>
  <c r="AE28" i="22" s="1"/>
  <c r="E26" i="22"/>
  <c r="Q26" i="22" s="1"/>
  <c r="I26" i="22"/>
  <c r="H26" i="22"/>
  <c r="J26" i="22" s="1"/>
  <c r="K26" i="22" s="1"/>
  <c r="AV25" i="22"/>
  <c r="AT25" i="22"/>
  <c r="AZ25" i="22"/>
  <c r="AF28" i="22" l="1"/>
  <c r="AG28" i="22"/>
  <c r="T29" i="22"/>
  <c r="V29" i="22"/>
  <c r="L26" i="22"/>
  <c r="M26" i="22" s="1"/>
  <c r="N26" i="22"/>
  <c r="BA25" i="22"/>
  <c r="AK25" i="22" s="1"/>
  <c r="AL25" i="22" s="1"/>
  <c r="U29" i="22" l="1"/>
  <c r="W29" i="22"/>
  <c r="Y29" i="22"/>
  <c r="Z29" i="22" s="1"/>
  <c r="A27" i="22"/>
  <c r="C27" i="22"/>
  <c r="R25" i="22"/>
  <c r="S25" i="22" s="1"/>
  <c r="AS25" i="22"/>
  <c r="BB25" i="22" s="1"/>
  <c r="AB29" i="22" l="1"/>
  <c r="AA29" i="22"/>
  <c r="X29" i="22"/>
  <c r="AJ29" i="22" s="1"/>
  <c r="B27" i="22"/>
  <c r="F27" i="22"/>
  <c r="D27" i="22"/>
  <c r="BD25" i="22"/>
  <c r="P25" i="22"/>
  <c r="O25" i="22" s="1"/>
  <c r="BC25" i="22"/>
  <c r="AC29" i="22" l="1"/>
  <c r="AD29" i="22" s="1"/>
  <c r="AE29" i="22"/>
  <c r="AF29" i="22" s="1"/>
  <c r="AG29" i="22"/>
  <c r="E27" i="22"/>
  <c r="Q27" i="22" s="1"/>
  <c r="I27" i="22"/>
  <c r="H27" i="22"/>
  <c r="J27" i="22" s="1"/>
  <c r="K27" i="22" s="1"/>
  <c r="G27" i="22"/>
  <c r="AY25" i="22"/>
  <c r="AW25" i="22" s="1"/>
  <c r="AX25" i="22"/>
  <c r="AU25" i="22"/>
  <c r="T30" i="22" l="1"/>
  <c r="V30" i="22"/>
  <c r="AP26" i="22"/>
  <c r="AQ26" i="22" s="1"/>
  <c r="AR26" i="22" s="1"/>
  <c r="AH26" i="22"/>
  <c r="L27" i="22"/>
  <c r="M27" i="22" s="1"/>
  <c r="AV26" i="22"/>
  <c r="AT26" i="22"/>
  <c r="AZ26" i="22"/>
  <c r="N27" i="22" l="1"/>
  <c r="U30" i="22"/>
  <c r="W30" i="22"/>
  <c r="Y30" i="22"/>
  <c r="AI26" i="22"/>
  <c r="A28" i="22"/>
  <c r="C28" i="22"/>
  <c r="BA26" i="22"/>
  <c r="AK26" i="22" s="1"/>
  <c r="AL26" i="22" s="1"/>
  <c r="X30" i="22" l="1"/>
  <c r="AJ30" i="22" s="1"/>
  <c r="AB30" i="22"/>
  <c r="AA30" i="22"/>
  <c r="Z30" i="22"/>
  <c r="D28" i="22"/>
  <c r="F28" i="22"/>
  <c r="G28" i="22" s="1"/>
  <c r="B28" i="22"/>
  <c r="R26" i="22"/>
  <c r="S26" i="22" s="1"/>
  <c r="AS26" i="22"/>
  <c r="AC30" i="22" l="1"/>
  <c r="AD30" i="22"/>
  <c r="H28" i="22"/>
  <c r="I28" i="22"/>
  <c r="E28" i="22"/>
  <c r="Q28" i="22" s="1"/>
  <c r="BB26" i="22"/>
  <c r="BC26" i="22"/>
  <c r="P26" i="22"/>
  <c r="O26" i="22" s="1"/>
  <c r="BD26" i="22"/>
  <c r="AE30" i="22" l="1"/>
  <c r="AF30" i="22" s="1"/>
  <c r="J28" i="22"/>
  <c r="K28" i="22" s="1"/>
  <c r="AY26" i="22"/>
  <c r="AW26" i="22" s="1"/>
  <c r="AG30" i="22" l="1"/>
  <c r="T31" i="22"/>
  <c r="V31" i="22"/>
  <c r="AP27" i="22"/>
  <c r="AQ27" i="22" s="1"/>
  <c r="AR27" i="22" s="1"/>
  <c r="AH27" i="22"/>
  <c r="L28" i="22"/>
  <c r="M28" i="22" s="1"/>
  <c r="AU26" i="22"/>
  <c r="AX26" i="22"/>
  <c r="AZ27" i="22"/>
  <c r="AT27" i="22"/>
  <c r="Y31" i="22" l="1"/>
  <c r="W31" i="22"/>
  <c r="U31" i="22"/>
  <c r="AI27" i="22"/>
  <c r="A29" i="22"/>
  <c r="C29" i="22"/>
  <c r="N28" i="22"/>
  <c r="AV27" i="22"/>
  <c r="X31" i="22" l="1"/>
  <c r="AJ31" i="22" s="1"/>
  <c r="AA31" i="22"/>
  <c r="AB31" i="22"/>
  <c r="Z31" i="22"/>
  <c r="B29" i="22"/>
  <c r="D29" i="22"/>
  <c r="F29" i="22"/>
  <c r="G29" i="22" s="1"/>
  <c r="BA27" i="22"/>
  <c r="AK27" i="22" s="1"/>
  <c r="AL27" i="22" s="1"/>
  <c r="AC31" i="22" l="1"/>
  <c r="AD31" i="22" s="1"/>
  <c r="I29" i="22"/>
  <c r="E29" i="22"/>
  <c r="Q29" i="22" s="1"/>
  <c r="H29" i="22"/>
  <c r="J29" i="22" s="1"/>
  <c r="K29" i="22" s="1"/>
  <c r="R27" i="22"/>
  <c r="S27" i="22" s="1"/>
  <c r="AS27" i="22"/>
  <c r="AE31" i="22" l="1"/>
  <c r="AF31" i="22" s="1"/>
  <c r="AG31" i="22"/>
  <c r="L29" i="22"/>
  <c r="M29" i="22" s="1"/>
  <c r="N29" i="22"/>
  <c r="BB27" i="22"/>
  <c r="P27" i="22"/>
  <c r="O27" i="22" s="1"/>
  <c r="AX27" i="22" s="1"/>
  <c r="BD27" i="22"/>
  <c r="BC27" i="22"/>
  <c r="AU27" i="22" l="1"/>
  <c r="T32" i="22"/>
  <c r="V32" i="22"/>
  <c r="C30" i="22"/>
  <c r="A30" i="22"/>
  <c r="AY27" i="22"/>
  <c r="AW27" i="22" s="1"/>
  <c r="AH28" i="22" s="1"/>
  <c r="U32" i="22" l="1"/>
  <c r="W32" i="22"/>
  <c r="Y32" i="22"/>
  <c r="AI28" i="22"/>
  <c r="F30" i="22"/>
  <c r="D30" i="22"/>
  <c r="B30" i="22"/>
  <c r="AP28" i="22"/>
  <c r="AQ28" i="22" s="1"/>
  <c r="AR28" i="22" s="1"/>
  <c r="AV28" i="22"/>
  <c r="AZ28" i="22"/>
  <c r="AT28" i="22"/>
  <c r="X32" i="22" l="1"/>
  <c r="AJ32" i="22" s="1"/>
  <c r="AA32" i="22"/>
  <c r="AB32" i="22"/>
  <c r="Z32" i="22"/>
  <c r="E30" i="22"/>
  <c r="Q30" i="22" s="1"/>
  <c r="H30" i="22"/>
  <c r="I30" i="22"/>
  <c r="G30" i="22"/>
  <c r="BA28" i="22"/>
  <c r="AK28" i="22" s="1"/>
  <c r="AL28" i="22" s="1"/>
  <c r="AC32" i="22" l="1"/>
  <c r="AD32" i="22" s="1"/>
  <c r="AE32" i="22" s="1"/>
  <c r="AF32" i="22" s="1"/>
  <c r="J30" i="22"/>
  <c r="K30" i="22" s="1"/>
  <c r="R28" i="22"/>
  <c r="S28" i="22" s="1"/>
  <c r="AS28" i="22"/>
  <c r="AG32" i="22" l="1"/>
  <c r="V33" i="22"/>
  <c r="T33" i="22"/>
  <c r="L30" i="22"/>
  <c r="M30" i="22" s="1"/>
  <c r="N30" i="22"/>
  <c r="BD28" i="22"/>
  <c r="P28" i="22"/>
  <c r="O28" i="22" s="1"/>
  <c r="BB28" i="22"/>
  <c r="BC28" i="22"/>
  <c r="AY28" i="22" l="1"/>
  <c r="AW28" i="22" s="1"/>
  <c r="AH29" i="22" s="1"/>
  <c r="AI29" i="22" s="1"/>
  <c r="W33" i="22"/>
  <c r="Y33" i="22"/>
  <c r="Z33" i="22" s="1"/>
  <c r="U33" i="22"/>
  <c r="A31" i="22"/>
  <c r="C31" i="22"/>
  <c r="AX28" i="22"/>
  <c r="AU28" i="22"/>
  <c r="AP29" i="22"/>
  <c r="X33" i="22" l="1"/>
  <c r="AJ33" i="22" s="1"/>
  <c r="AA33" i="22"/>
  <c r="AB33" i="22"/>
  <c r="B31" i="22"/>
  <c r="F31" i="22"/>
  <c r="D31" i="22"/>
  <c r="AQ29" i="22"/>
  <c r="AC33" i="22" l="1"/>
  <c r="AD33" i="22" s="1"/>
  <c r="AE33" i="22" s="1"/>
  <c r="AF33" i="22" s="1"/>
  <c r="H31" i="22"/>
  <c r="I31" i="22"/>
  <c r="E31" i="22"/>
  <c r="Q31" i="22" s="1"/>
  <c r="G31" i="22"/>
  <c r="AR29" i="22"/>
  <c r="T34" i="22" l="1"/>
  <c r="V34" i="22"/>
  <c r="AG33" i="22"/>
  <c r="J31" i="22"/>
  <c r="K31" i="22" s="1"/>
  <c r="AT29" i="22"/>
  <c r="AZ29" i="22"/>
  <c r="U34" i="22" l="1"/>
  <c r="W34" i="22"/>
  <c r="Y34" i="22"/>
  <c r="L31" i="22"/>
  <c r="M31" i="22" s="1"/>
  <c r="N31" i="22"/>
  <c r="AV29" i="22"/>
  <c r="Z34" i="22" l="1"/>
  <c r="AA34" i="22"/>
  <c r="AB34" i="22"/>
  <c r="X34" i="22"/>
  <c r="AJ34" i="22" s="1"/>
  <c r="C32" i="22"/>
  <c r="A32" i="22"/>
  <c r="BA29" i="22"/>
  <c r="AK29" i="22" s="1"/>
  <c r="AL29" i="22" s="1"/>
  <c r="AC34" i="22" l="1"/>
  <c r="AD34" i="22" s="1"/>
  <c r="B32" i="22"/>
  <c r="F32" i="22"/>
  <c r="D32" i="22"/>
  <c r="R29" i="22"/>
  <c r="S29" i="22" s="1"/>
  <c r="AS29" i="22"/>
  <c r="AE34" i="22" l="1"/>
  <c r="AF34" i="22" s="1"/>
  <c r="E32" i="22"/>
  <c r="Q32" i="22" s="1"/>
  <c r="H32" i="22"/>
  <c r="I32" i="22"/>
  <c r="G32" i="22"/>
  <c r="P29" i="22"/>
  <c r="O29" i="22" s="1"/>
  <c r="BB29" i="22"/>
  <c r="BC29" i="22"/>
  <c r="BD29" i="22"/>
  <c r="AG34" i="22" l="1"/>
  <c r="T35" i="22"/>
  <c r="V35" i="22"/>
  <c r="J32" i="22"/>
  <c r="K32" i="22" s="1"/>
  <c r="AY29" i="22"/>
  <c r="AW29" i="22" s="1"/>
  <c r="AH30" i="22" s="1"/>
  <c r="U35" i="22" l="1"/>
  <c r="Y35" i="22"/>
  <c r="W35" i="22"/>
  <c r="AI30" i="22"/>
  <c r="L32" i="22"/>
  <c r="M32" i="22" s="1"/>
  <c r="N32" i="22"/>
  <c r="AP30" i="22"/>
  <c r="AQ30" i="22" s="1"/>
  <c r="AR30" i="22" s="1"/>
  <c r="AX29" i="22"/>
  <c r="AU29" i="22"/>
  <c r="Z35" i="22" l="1"/>
  <c r="X35" i="22"/>
  <c r="AJ35" i="22" s="1"/>
  <c r="AA35" i="22"/>
  <c r="AB35" i="22"/>
  <c r="A33" i="22"/>
  <c r="C33" i="22"/>
  <c r="AV30" i="22"/>
  <c r="AC35" i="22" l="1"/>
  <c r="AD35" i="22" s="1"/>
  <c r="B33" i="22"/>
  <c r="F33" i="22"/>
  <c r="D33" i="22"/>
  <c r="BA30" i="22"/>
  <c r="AK30" i="22" s="1"/>
  <c r="AL30" i="22" s="1"/>
  <c r="AT30" i="22"/>
  <c r="AZ30" i="22"/>
  <c r="AE35" i="22" l="1"/>
  <c r="AF35" i="22" s="1"/>
  <c r="H33" i="22"/>
  <c r="E33" i="22"/>
  <c r="Q33" i="22" s="1"/>
  <c r="I33" i="22"/>
  <c r="G33" i="22"/>
  <c r="R30" i="22"/>
  <c r="S30" i="22" s="1"/>
  <c r="AS30" i="22"/>
  <c r="AG35" i="22" l="1"/>
  <c r="BB30" i="22"/>
  <c r="T36" i="22"/>
  <c r="V36" i="22"/>
  <c r="J33" i="22"/>
  <c r="K33" i="22" s="1"/>
  <c r="P30" i="22"/>
  <c r="O30" i="22" s="1"/>
  <c r="AX30" i="22" s="1"/>
  <c r="BD30" i="22"/>
  <c r="BC30" i="22"/>
  <c r="AU30" i="22"/>
  <c r="AY30" i="22" l="1"/>
  <c r="AW30" i="22" s="1"/>
  <c r="AH31" i="22" s="1"/>
  <c r="AI31" i="22" s="1"/>
  <c r="Y36" i="22"/>
  <c r="U36" i="22"/>
  <c r="W36" i="22"/>
  <c r="L33" i="22"/>
  <c r="M33" i="22" s="1"/>
  <c r="AP31" i="22" l="1"/>
  <c r="AQ31" i="22" s="1"/>
  <c r="N33" i="22"/>
  <c r="AA36" i="22"/>
  <c r="AB36" i="22"/>
  <c r="X36" i="22"/>
  <c r="AJ36" i="22" s="1"/>
  <c r="Z36" i="22"/>
  <c r="A34" i="22"/>
  <c r="C34" i="22"/>
  <c r="AR31" i="22"/>
  <c r="AC36" i="22" l="1"/>
  <c r="AD36" i="22" s="1"/>
  <c r="B34" i="22"/>
  <c r="D34" i="22"/>
  <c r="F34" i="22"/>
  <c r="G34" i="22" s="1"/>
  <c r="AZ31" i="22"/>
  <c r="AT31" i="22"/>
  <c r="AE36" i="22" l="1"/>
  <c r="AF36" i="22" s="1"/>
  <c r="AG36" i="22"/>
  <c r="E34" i="22"/>
  <c r="Q34" i="22" s="1"/>
  <c r="H34" i="22"/>
  <c r="I34" i="22"/>
  <c r="AV31" i="22"/>
  <c r="J34" i="22" l="1"/>
  <c r="K34" i="22" s="1"/>
  <c r="T37" i="22"/>
  <c r="V37" i="22"/>
  <c r="L34" i="22"/>
  <c r="M34" i="22" s="1"/>
  <c r="BA31" i="22"/>
  <c r="AK31" i="22" s="1"/>
  <c r="AL31" i="22" s="1"/>
  <c r="N34" i="22" l="1"/>
  <c r="U37" i="22"/>
  <c r="W37" i="22"/>
  <c r="Y37" i="22"/>
  <c r="C35" i="22"/>
  <c r="A35" i="22"/>
  <c r="R31" i="22"/>
  <c r="S31" i="22" s="1"/>
  <c r="AS31" i="22"/>
  <c r="AB37" i="22" l="1"/>
  <c r="AA37" i="22"/>
  <c r="X37" i="22"/>
  <c r="AJ37" i="22" s="1"/>
  <c r="Z37" i="22"/>
  <c r="F35" i="22"/>
  <c r="B35" i="22"/>
  <c r="D35" i="22"/>
  <c r="P31" i="22"/>
  <c r="O31" i="22" s="1"/>
  <c r="AX31" i="22" s="1"/>
  <c r="BB31" i="22"/>
  <c r="BD31" i="22"/>
  <c r="BC31" i="22"/>
  <c r="AY31" i="22"/>
  <c r="AW31" i="22" s="1"/>
  <c r="AH32" i="22" s="1"/>
  <c r="AC37" i="22" l="1"/>
  <c r="AD37" i="22" s="1"/>
  <c r="AU31" i="22"/>
  <c r="AI32" i="22"/>
  <c r="H35" i="22"/>
  <c r="E35" i="22"/>
  <c r="Q35" i="22" s="1"/>
  <c r="I35" i="22"/>
  <c r="G35" i="22"/>
  <c r="AP32" i="22"/>
  <c r="AQ32" i="22" s="1"/>
  <c r="AR32" i="22" s="1"/>
  <c r="AE37" i="22" l="1"/>
  <c r="AF37" i="22" s="1"/>
  <c r="T38" i="22" s="1"/>
  <c r="J35" i="22"/>
  <c r="K35" i="22" s="1"/>
  <c r="AV32" i="22"/>
  <c r="AZ32" i="22"/>
  <c r="AT32" i="22"/>
  <c r="V38" i="22" l="1"/>
  <c r="AG37" i="22"/>
  <c r="W38" i="22"/>
  <c r="Y38" i="22"/>
  <c r="Z38" i="22" s="1"/>
  <c r="U38" i="22"/>
  <c r="L35" i="22"/>
  <c r="M35" i="22" s="1"/>
  <c r="N35" i="22"/>
  <c r="BA32" i="22"/>
  <c r="AK32" i="22" s="1"/>
  <c r="AL32" i="22" s="1"/>
  <c r="X38" i="22" l="1"/>
  <c r="AJ38" i="22" s="1"/>
  <c r="AA38" i="22"/>
  <c r="AB38" i="22"/>
  <c r="A36" i="22"/>
  <c r="C36" i="22"/>
  <c r="R32" i="22"/>
  <c r="S32" i="22" s="1"/>
  <c r="AS32" i="22"/>
  <c r="AC38" i="22" l="1"/>
  <c r="AD38" i="22" s="1"/>
  <c r="AE38" i="22" s="1"/>
  <c r="AF38" i="22" s="1"/>
  <c r="B36" i="22"/>
  <c r="F36" i="22"/>
  <c r="D36" i="22"/>
  <c r="BB32" i="22"/>
  <c r="BC32" i="22"/>
  <c r="P32" i="22"/>
  <c r="O32" i="22" s="1"/>
  <c r="BD32" i="22"/>
  <c r="G36" i="22" l="1"/>
  <c r="AY32" i="22"/>
  <c r="AW32" i="22" s="1"/>
  <c r="AH33" i="22" s="1"/>
  <c r="AI33" i="22" s="1"/>
  <c r="AG38" i="22"/>
  <c r="T39" i="22"/>
  <c r="V39" i="22"/>
  <c r="H36" i="22"/>
  <c r="I36" i="22"/>
  <c r="E36" i="22"/>
  <c r="Q36" i="22" s="1"/>
  <c r="AX32" i="22"/>
  <c r="AU32" i="22"/>
  <c r="AP33" i="22" l="1"/>
  <c r="U39" i="22"/>
  <c r="Y39" i="22"/>
  <c r="W39" i="22"/>
  <c r="J36" i="22"/>
  <c r="K36" i="22" s="1"/>
  <c r="AQ33" i="22"/>
  <c r="Z39" i="22" l="1"/>
  <c r="AB39" i="22"/>
  <c r="AA39" i="22"/>
  <c r="AC39" i="22" s="1"/>
  <c r="AD39" i="22" s="1"/>
  <c r="X39" i="22"/>
  <c r="AJ39" i="22" s="1"/>
  <c r="L36" i="22"/>
  <c r="M36" i="22" s="1"/>
  <c r="AR33" i="22"/>
  <c r="N36" i="22" l="1"/>
  <c r="AE39" i="22"/>
  <c r="AF39" i="22" s="1"/>
  <c r="C37" i="22"/>
  <c r="A37" i="22"/>
  <c r="AV33" i="22"/>
  <c r="AT33" i="22"/>
  <c r="AZ33" i="22"/>
  <c r="AG39" i="22" l="1"/>
  <c r="V40" i="22"/>
  <c r="T40" i="22"/>
  <c r="D37" i="22"/>
  <c r="F37" i="22"/>
  <c r="G37" i="22" s="1"/>
  <c r="B37" i="22"/>
  <c r="BA33" i="22"/>
  <c r="AK33" i="22" s="1"/>
  <c r="AL33" i="22" s="1"/>
  <c r="U40" i="22" l="1"/>
  <c r="W40" i="22"/>
  <c r="Y40" i="22"/>
  <c r="Z40" i="22" s="1"/>
  <c r="H37" i="22"/>
  <c r="I37" i="22"/>
  <c r="E37" i="22"/>
  <c r="Q37" i="22" s="1"/>
  <c r="R33" i="22"/>
  <c r="AS33" i="22"/>
  <c r="X40" i="22" l="1"/>
  <c r="AJ40" i="22" s="1"/>
  <c r="AA40" i="22"/>
  <c r="AB40" i="22"/>
  <c r="BC33" i="22"/>
  <c r="S33" i="22"/>
  <c r="J37" i="22"/>
  <c r="K37" i="22" s="1"/>
  <c r="P33" i="22"/>
  <c r="O33" i="22" s="1"/>
  <c r="BB33" i="22"/>
  <c r="BD33" i="22"/>
  <c r="AY33" i="22" l="1"/>
  <c r="AW33" i="22" s="1"/>
  <c r="AH34" i="22" s="1"/>
  <c r="AI34" i="22" s="1"/>
  <c r="AC40" i="22"/>
  <c r="AD40" i="22" s="1"/>
  <c r="AE40" i="22"/>
  <c r="AF40" i="22" s="1"/>
  <c r="L37" i="22"/>
  <c r="M37" i="22" s="1"/>
  <c r="AZ34" i="22"/>
  <c r="AT34" i="22"/>
  <c r="AP34" i="22"/>
  <c r="AX33" i="22"/>
  <c r="AU33" i="22"/>
  <c r="N37" i="22" l="1"/>
  <c r="AG40" i="22"/>
  <c r="T41" i="22"/>
  <c r="V41" i="22"/>
  <c r="A38" i="22"/>
  <c r="C38" i="22"/>
  <c r="AQ34" i="22"/>
  <c r="AR34" i="22" s="1"/>
  <c r="Y41" i="22" l="1"/>
  <c r="U41" i="22"/>
  <c r="W41" i="22"/>
  <c r="F38" i="22"/>
  <c r="B38" i="22"/>
  <c r="D38" i="22"/>
  <c r="AV34" i="22"/>
  <c r="AA41" i="22" l="1"/>
  <c r="AB41" i="22"/>
  <c r="X41" i="22"/>
  <c r="AJ41" i="22" s="1"/>
  <c r="Z41" i="22"/>
  <c r="I38" i="22"/>
  <c r="H38" i="22"/>
  <c r="J38" i="22" s="1"/>
  <c r="E38" i="22"/>
  <c r="Q38" i="22" s="1"/>
  <c r="G38" i="22"/>
  <c r="BA34" i="22"/>
  <c r="AK34" i="22" s="1"/>
  <c r="AL34" i="22" s="1"/>
  <c r="AC41" i="22" l="1"/>
  <c r="AD41" i="22" s="1"/>
  <c r="K38" i="22"/>
  <c r="R34" i="22"/>
  <c r="S34" i="22" s="1"/>
  <c r="AS34" i="22"/>
  <c r="AE41" i="22" l="1"/>
  <c r="AF41" i="22" s="1"/>
  <c r="AG41" i="22"/>
  <c r="L38" i="22"/>
  <c r="M38" i="22" s="1"/>
  <c r="N38" i="22"/>
  <c r="P34" i="22"/>
  <c r="O34" i="22" s="1"/>
  <c r="BB34" i="22"/>
  <c r="BD34" i="22"/>
  <c r="BC34" i="22"/>
  <c r="T42" i="22" l="1"/>
  <c r="V42" i="22"/>
  <c r="A39" i="22"/>
  <c r="C39" i="22"/>
  <c r="AT35" i="22"/>
  <c r="AZ35" i="22"/>
  <c r="AY34" i="22"/>
  <c r="AW34" i="22" s="1"/>
  <c r="AH35" i="22" s="1"/>
  <c r="U42" i="22" l="1"/>
  <c r="Y42" i="22"/>
  <c r="W42" i="22"/>
  <c r="AI35" i="22"/>
  <c r="B39" i="22"/>
  <c r="F39" i="22"/>
  <c r="D39" i="22"/>
  <c r="AP35" i="22"/>
  <c r="AQ35" i="22" s="1"/>
  <c r="AV35" i="22"/>
  <c r="AX34" i="22"/>
  <c r="AU34" i="22"/>
  <c r="Z42" i="22" l="1"/>
  <c r="AB42" i="22"/>
  <c r="X42" i="22"/>
  <c r="AJ42" i="22" s="1"/>
  <c r="AA42" i="22"/>
  <c r="AC42" i="22" s="1"/>
  <c r="AD42" i="22" s="1"/>
  <c r="E39" i="22"/>
  <c r="Q39" i="22" s="1"/>
  <c r="H39" i="22"/>
  <c r="I39" i="22"/>
  <c r="G39" i="22"/>
  <c r="AR35" i="22"/>
  <c r="BA35" i="22" s="1"/>
  <c r="AK35" i="22" s="1"/>
  <c r="AL35" i="22" s="1"/>
  <c r="AE42" i="22" l="1"/>
  <c r="AF42" i="22" s="1"/>
  <c r="AG42" i="22"/>
  <c r="J39" i="22"/>
  <c r="K39" i="22" s="1"/>
  <c r="R35" i="22"/>
  <c r="S35" i="22" s="1"/>
  <c r="AS35" i="22"/>
  <c r="T43" i="22" l="1"/>
  <c r="V43" i="22"/>
  <c r="L39" i="22"/>
  <c r="M39" i="22" s="1"/>
  <c r="P35" i="22"/>
  <c r="O35" i="22" s="1"/>
  <c r="BB35" i="22"/>
  <c r="BC35" i="22"/>
  <c r="BD35" i="22"/>
  <c r="N39" i="22" l="1"/>
  <c r="Y43" i="22"/>
  <c r="W43" i="22"/>
  <c r="U43" i="22"/>
  <c r="A40" i="22"/>
  <c r="C40" i="22"/>
  <c r="AV36" i="22"/>
  <c r="AT36" i="22"/>
  <c r="AZ36" i="22"/>
  <c r="AY35" i="22"/>
  <c r="AW35" i="22" s="1"/>
  <c r="AH36" i="22" s="1"/>
  <c r="X43" i="22" l="1"/>
  <c r="AJ43" i="22" s="1"/>
  <c r="AA43" i="22"/>
  <c r="AB43" i="22"/>
  <c r="Z43" i="22"/>
  <c r="AI36" i="22"/>
  <c r="D40" i="22"/>
  <c r="B40" i="22"/>
  <c r="F40" i="22"/>
  <c r="G40" i="22" s="1"/>
  <c r="AP36" i="22"/>
  <c r="AX35" i="22"/>
  <c r="AU35" i="22"/>
  <c r="AC43" i="22" l="1"/>
  <c r="AD43" i="22"/>
  <c r="AE43" i="22" s="1"/>
  <c r="I40" i="22"/>
  <c r="H40" i="22"/>
  <c r="J40" i="22" s="1"/>
  <c r="K40" i="22" s="1"/>
  <c r="E40" i="22"/>
  <c r="Q40" i="22" s="1"/>
  <c r="AQ36" i="22"/>
  <c r="AF43" i="22" l="1"/>
  <c r="AG43" i="22"/>
  <c r="T44" i="22"/>
  <c r="V44" i="22"/>
  <c r="L40" i="22"/>
  <c r="M40" i="22" s="1"/>
  <c r="N40" i="22"/>
  <c r="AR36" i="22"/>
  <c r="BA36" i="22" s="1"/>
  <c r="AK36" i="22" s="1"/>
  <c r="AL36" i="22" s="1"/>
  <c r="U44" i="22" l="1"/>
  <c r="W44" i="22"/>
  <c r="Y44" i="22"/>
  <c r="C41" i="22"/>
  <c r="A41" i="22"/>
  <c r="R36" i="22"/>
  <c r="S36" i="22" s="1"/>
  <c r="AS36" i="22"/>
  <c r="BB36" i="22" s="1"/>
  <c r="X44" i="22" l="1"/>
  <c r="AJ44" i="22" s="1"/>
  <c r="AB44" i="22"/>
  <c r="AA44" i="22"/>
  <c r="AC44" i="22" s="1"/>
  <c r="Z44" i="22"/>
  <c r="B41" i="22"/>
  <c r="D41" i="22"/>
  <c r="F41" i="22"/>
  <c r="G41" i="22" s="1"/>
  <c r="P36" i="22"/>
  <c r="O36" i="22" s="1"/>
  <c r="BC36" i="22"/>
  <c r="BD36" i="22"/>
  <c r="AZ37" i="22"/>
  <c r="AT37" i="22"/>
  <c r="AD44" i="22" l="1"/>
  <c r="I41" i="22"/>
  <c r="E41" i="22"/>
  <c r="Q41" i="22" s="1"/>
  <c r="H41" i="22"/>
  <c r="J41" i="22" s="1"/>
  <c r="K41" i="22" s="1"/>
  <c r="AV37" i="22"/>
  <c r="AY36" i="22"/>
  <c r="AW36" i="22" s="1"/>
  <c r="AH37" i="22" s="1"/>
  <c r="AE44" i="22" l="1"/>
  <c r="AF44" i="22" s="1"/>
  <c r="AG44" i="22"/>
  <c r="AI37" i="22"/>
  <c r="L41" i="22"/>
  <c r="M41" i="22" s="1"/>
  <c r="AX36" i="22"/>
  <c r="AU36" i="22"/>
  <c r="AP37" i="22"/>
  <c r="N41" i="22" l="1"/>
  <c r="V45" i="22"/>
  <c r="T45" i="22"/>
  <c r="C42" i="22"/>
  <c r="A42" i="22"/>
  <c r="AQ37" i="22"/>
  <c r="W45" i="22" l="1"/>
  <c r="U45" i="22"/>
  <c r="Y45" i="22"/>
  <c r="Z45" i="22" s="1"/>
  <c r="B42" i="22"/>
  <c r="D42" i="22"/>
  <c r="F42" i="22"/>
  <c r="AR37" i="22"/>
  <c r="BA37" i="22" s="1"/>
  <c r="AK37" i="22" s="1"/>
  <c r="AL37" i="22" s="1"/>
  <c r="G42" i="22" l="1"/>
  <c r="X45" i="22"/>
  <c r="AJ45" i="22" s="1"/>
  <c r="AB45" i="22"/>
  <c r="AA45" i="22"/>
  <c r="E42" i="22"/>
  <c r="Q42" i="22" s="1"/>
  <c r="I42" i="22"/>
  <c r="H42" i="22"/>
  <c r="J42" i="22" s="1"/>
  <c r="K42" i="22" s="1"/>
  <c r="R37" i="22"/>
  <c r="S37" i="22" s="1"/>
  <c r="AS37" i="22"/>
  <c r="AT38" i="22"/>
  <c r="AZ38" i="22"/>
  <c r="AC45" i="22" l="1"/>
  <c r="AD45" i="22" s="1"/>
  <c r="AE45" i="22" s="1"/>
  <c r="AF45" i="22" s="1"/>
  <c r="L42" i="22"/>
  <c r="M42" i="22" s="1"/>
  <c r="N42" i="22"/>
  <c r="P37" i="22"/>
  <c r="O37" i="22" s="1"/>
  <c r="BC37" i="22"/>
  <c r="BD37" i="22"/>
  <c r="BB37" i="22"/>
  <c r="T46" i="22" l="1"/>
  <c r="V46" i="22"/>
  <c r="AG45" i="22"/>
  <c r="A43" i="22"/>
  <c r="C43" i="22"/>
  <c r="AV38" i="22"/>
  <c r="AY37" i="22"/>
  <c r="AW37" i="22" s="1"/>
  <c r="AH38" i="22" s="1"/>
  <c r="Y46" i="22" l="1"/>
  <c r="U46" i="22"/>
  <c r="W46" i="22"/>
  <c r="AI38" i="22"/>
  <c r="B43" i="22"/>
  <c r="D43" i="22"/>
  <c r="F43" i="22"/>
  <c r="G43" i="22" s="1"/>
  <c r="AP38" i="22"/>
  <c r="AX37" i="22"/>
  <c r="AU37" i="22"/>
  <c r="Z46" i="22" l="1"/>
  <c r="AA46" i="22"/>
  <c r="X46" i="22"/>
  <c r="AJ46" i="22" s="1"/>
  <c r="AB46" i="22"/>
  <c r="I43" i="22"/>
  <c r="E43" i="22"/>
  <c r="Q43" i="22" s="1"/>
  <c r="H43" i="22"/>
  <c r="J43" i="22" s="1"/>
  <c r="K43" i="22" s="1"/>
  <c r="AQ38" i="22"/>
  <c r="AC46" i="22" l="1"/>
  <c r="AD46" i="22" s="1"/>
  <c r="L43" i="22"/>
  <c r="M43" i="22" s="1"/>
  <c r="N43" i="22"/>
  <c r="AR38" i="22"/>
  <c r="BA38" i="22" s="1"/>
  <c r="AK38" i="22" s="1"/>
  <c r="AL38" i="22" s="1"/>
  <c r="AE46" i="22" l="1"/>
  <c r="AF46" i="22" s="1"/>
  <c r="AG46" i="22"/>
  <c r="C44" i="22"/>
  <c r="A44" i="22"/>
  <c r="R38" i="22"/>
  <c r="S38" i="22" s="1"/>
  <c r="AS38" i="22"/>
  <c r="T47" i="22" l="1"/>
  <c r="V47" i="22"/>
  <c r="F44" i="22"/>
  <c r="B44" i="22"/>
  <c r="D44" i="22"/>
  <c r="P38" i="22"/>
  <c r="O38" i="22" s="1"/>
  <c r="BC38" i="22"/>
  <c r="BD38" i="22"/>
  <c r="BB38" i="22"/>
  <c r="AZ39" i="22"/>
  <c r="AT39" i="22"/>
  <c r="U47" i="22" l="1"/>
  <c r="W47" i="22"/>
  <c r="Y47" i="22"/>
  <c r="Z47" i="22" s="1"/>
  <c r="E44" i="22"/>
  <c r="Q44" i="22" s="1"/>
  <c r="H44" i="22"/>
  <c r="I44" i="22"/>
  <c r="G44" i="22"/>
  <c r="AV39" i="22"/>
  <c r="AY38" i="22"/>
  <c r="AW38" i="22" s="1"/>
  <c r="AH39" i="22" s="1"/>
  <c r="J44" i="22" l="1"/>
  <c r="X47" i="22"/>
  <c r="AJ47" i="22" s="1"/>
  <c r="AB47" i="22"/>
  <c r="AA47" i="22"/>
  <c r="AI39" i="22"/>
  <c r="K44" i="22"/>
  <c r="AP39" i="22"/>
  <c r="AX38" i="22"/>
  <c r="AU38" i="22"/>
  <c r="AC47" i="22" l="1"/>
  <c r="AD47" i="22" s="1"/>
  <c r="AE47" i="22"/>
  <c r="AF47" i="22" s="1"/>
  <c r="AG47" i="22"/>
  <c r="L44" i="22"/>
  <c r="M44" i="22" s="1"/>
  <c r="N44" i="22"/>
  <c r="AQ39" i="22"/>
  <c r="T48" i="22" l="1"/>
  <c r="V48" i="22"/>
  <c r="A45" i="22"/>
  <c r="C45" i="22"/>
  <c r="AR39" i="22"/>
  <c r="BA39" i="22" s="1"/>
  <c r="AK39" i="22" s="1"/>
  <c r="AL39" i="22" s="1"/>
  <c r="Y48" i="22" l="1"/>
  <c r="W48" i="22"/>
  <c r="U48" i="22"/>
  <c r="B45" i="22"/>
  <c r="F45" i="22"/>
  <c r="D45" i="22"/>
  <c r="R39" i="22"/>
  <c r="S39" i="22" s="1"/>
  <c r="AS39" i="22"/>
  <c r="AA48" i="22" l="1"/>
  <c r="AB48" i="22"/>
  <c r="X48" i="22"/>
  <c r="AJ48" i="22" s="1"/>
  <c r="Z48" i="22"/>
  <c r="H45" i="22"/>
  <c r="E45" i="22"/>
  <c r="Q45" i="22" s="1"/>
  <c r="I45" i="22"/>
  <c r="G45" i="22"/>
  <c r="P39" i="22"/>
  <c r="O39" i="22" s="1"/>
  <c r="BC39" i="22"/>
  <c r="BD39" i="22"/>
  <c r="BB39" i="22"/>
  <c r="AT40" i="22"/>
  <c r="AZ40" i="22"/>
  <c r="AC48" i="22" l="1"/>
  <c r="AD48" i="22" s="1"/>
  <c r="J45" i="22"/>
  <c r="K45" i="22" s="1"/>
  <c r="AV40" i="22"/>
  <c r="AY39" i="22"/>
  <c r="AW39" i="22" s="1"/>
  <c r="AH40" i="22" s="1"/>
  <c r="AE48" i="22" l="1"/>
  <c r="AF48" i="22" s="1"/>
  <c r="AG48" i="22"/>
  <c r="AI40" i="22"/>
  <c r="L45" i="22"/>
  <c r="M45" i="22" s="1"/>
  <c r="AX39" i="22"/>
  <c r="AU39" i="22"/>
  <c r="AP40" i="22"/>
  <c r="N45" i="22" l="1"/>
  <c r="T49" i="22"/>
  <c r="V49" i="22"/>
  <c r="A46" i="22"/>
  <c r="C46" i="22"/>
  <c r="AQ40" i="22"/>
  <c r="U49" i="22" l="1"/>
  <c r="Y49" i="22"/>
  <c r="W49" i="22"/>
  <c r="B46" i="22"/>
  <c r="D46" i="22"/>
  <c r="F46" i="22"/>
  <c r="G46" i="22" s="1"/>
  <c r="AR40" i="22"/>
  <c r="BA40" i="22" s="1"/>
  <c r="AK40" i="22" s="1"/>
  <c r="AL40" i="22" s="1"/>
  <c r="Z49" i="22" l="1"/>
  <c r="X49" i="22"/>
  <c r="AJ49" i="22" s="1"/>
  <c r="AB49" i="22"/>
  <c r="AA49" i="22"/>
  <c r="E46" i="22"/>
  <c r="Q46" i="22" s="1"/>
  <c r="H46" i="22"/>
  <c r="I46" i="22"/>
  <c r="R40" i="22"/>
  <c r="S40" i="22" s="1"/>
  <c r="AS40" i="22"/>
  <c r="AC49" i="22" l="1"/>
  <c r="AD49" i="22" s="1"/>
  <c r="J46" i="22"/>
  <c r="K46" i="22" s="1"/>
  <c r="P40" i="22"/>
  <c r="O40" i="22" s="1"/>
  <c r="BC40" i="22"/>
  <c r="BD40" i="22"/>
  <c r="AT41" i="22"/>
  <c r="AZ41" i="22"/>
  <c r="BB40" i="22"/>
  <c r="AE49" i="22" l="1"/>
  <c r="AF49" i="22" s="1"/>
  <c r="AG49" i="22"/>
  <c r="L46" i="22"/>
  <c r="M46" i="22" s="1"/>
  <c r="AV41" i="22"/>
  <c r="AY40" i="22"/>
  <c r="AW40" i="22" s="1"/>
  <c r="AH41" i="22" s="1"/>
  <c r="N46" i="22" l="1"/>
  <c r="V50" i="22"/>
  <c r="T50" i="22"/>
  <c r="AI41" i="22"/>
  <c r="A47" i="22"/>
  <c r="C47" i="22"/>
  <c r="AP41" i="22"/>
  <c r="AX40" i="22"/>
  <c r="AU40" i="22"/>
  <c r="W50" i="22" l="1"/>
  <c r="U50" i="22"/>
  <c r="Y50" i="22"/>
  <c r="Z50" i="22" s="1"/>
  <c r="F47" i="22"/>
  <c r="B47" i="22"/>
  <c r="D47" i="22"/>
  <c r="AQ41" i="22"/>
  <c r="X50" i="22" l="1"/>
  <c r="AJ50" i="22" s="1"/>
  <c r="AA50" i="22"/>
  <c r="AB50" i="22"/>
  <c r="H47" i="22"/>
  <c r="E47" i="22"/>
  <c r="Q47" i="22" s="1"/>
  <c r="I47" i="22"/>
  <c r="G47" i="22"/>
  <c r="AR41" i="22"/>
  <c r="BA41" i="22" s="1"/>
  <c r="AK41" i="22" s="1"/>
  <c r="AL41" i="22" s="1"/>
  <c r="AC50" i="22" l="1"/>
  <c r="AD50" i="22" s="1"/>
  <c r="AE50" i="22" s="1"/>
  <c r="AF50" i="22" s="1"/>
  <c r="J47" i="22"/>
  <c r="K47" i="22" s="1"/>
  <c r="R41" i="22"/>
  <c r="S41" i="22" s="1"/>
  <c r="AT42" i="22"/>
  <c r="AZ42" i="22"/>
  <c r="AS41" i="22"/>
  <c r="AG50" i="22" l="1"/>
  <c r="T51" i="22"/>
  <c r="V51" i="22"/>
  <c r="L47" i="22"/>
  <c r="M47" i="22" s="1"/>
  <c r="N47" i="22"/>
  <c r="P41" i="22"/>
  <c r="O41" i="22" s="1"/>
  <c r="BB41" i="22"/>
  <c r="BC41" i="22"/>
  <c r="BD41" i="22"/>
  <c r="U51" i="22" l="1"/>
  <c r="W51" i="22"/>
  <c r="Y51" i="22"/>
  <c r="Z51" i="22" s="1"/>
  <c r="A48" i="22"/>
  <c r="C48" i="22"/>
  <c r="AV42" i="22"/>
  <c r="AY41" i="22"/>
  <c r="AW41" i="22" s="1"/>
  <c r="AH42" i="22" s="1"/>
  <c r="AB51" i="22" l="1"/>
  <c r="AA51" i="22"/>
  <c r="AC51" i="22" s="1"/>
  <c r="AD51" i="22" s="1"/>
  <c r="X51" i="22"/>
  <c r="AJ51" i="22" s="1"/>
  <c r="AI42" i="22"/>
  <c r="B48" i="22"/>
  <c r="D48" i="22"/>
  <c r="F48" i="22"/>
  <c r="G48" i="22" s="1"/>
  <c r="AX41" i="22"/>
  <c r="AU41" i="22"/>
  <c r="AP42" i="22"/>
  <c r="AE51" i="22" l="1"/>
  <c r="AF51" i="22" s="1"/>
  <c r="AG51" i="22"/>
  <c r="I48" i="22"/>
  <c r="E48" i="22"/>
  <c r="Q48" i="22" s="1"/>
  <c r="H48" i="22"/>
  <c r="J48" i="22" s="1"/>
  <c r="K48" i="22" s="1"/>
  <c r="AQ42" i="22"/>
  <c r="V52" i="22" l="1"/>
  <c r="T52" i="22"/>
  <c r="L48" i="22"/>
  <c r="M48" i="22" s="1"/>
  <c r="AR42" i="22"/>
  <c r="BA42" i="22" s="1"/>
  <c r="AK42" i="22" s="1"/>
  <c r="AL42" i="22" s="1"/>
  <c r="N48" i="22" l="1"/>
  <c r="U52" i="22"/>
  <c r="Y52" i="22"/>
  <c r="W52" i="22"/>
  <c r="A49" i="22"/>
  <c r="C49" i="22"/>
  <c r="R42" i="22"/>
  <c r="S42" i="22" s="1"/>
  <c r="AZ43" i="22"/>
  <c r="AT43" i="22"/>
  <c r="AS42" i="22"/>
  <c r="Z52" i="22" l="1"/>
  <c r="AA52" i="22"/>
  <c r="X52" i="22"/>
  <c r="AJ52" i="22" s="1"/>
  <c r="AB52" i="22"/>
  <c r="D49" i="22"/>
  <c r="F49" i="22"/>
  <c r="G49" i="22" s="1"/>
  <c r="B49" i="22"/>
  <c r="P42" i="22"/>
  <c r="O42" i="22" s="1"/>
  <c r="BB42" i="22"/>
  <c r="BC42" i="22"/>
  <c r="BD42" i="22"/>
  <c r="AC52" i="22" l="1"/>
  <c r="AD52" i="22" s="1"/>
  <c r="H49" i="22"/>
  <c r="E49" i="22"/>
  <c r="Q49" i="22" s="1"/>
  <c r="I49" i="22"/>
  <c r="AV43" i="22"/>
  <c r="AY42" i="22"/>
  <c r="AW42" i="22" s="1"/>
  <c r="AH43" i="22" s="1"/>
  <c r="AE52" i="22" l="1"/>
  <c r="AF52" i="22" s="1"/>
  <c r="AG52" i="22"/>
  <c r="AI43" i="22"/>
  <c r="J49" i="22"/>
  <c r="K49" i="22" s="1"/>
  <c r="AP43" i="22"/>
  <c r="AX42" i="22"/>
  <c r="AU42" i="22"/>
  <c r="T53" i="22" l="1"/>
  <c r="V53" i="22"/>
  <c r="L49" i="22"/>
  <c r="M49" i="22" s="1"/>
  <c r="AQ43" i="22"/>
  <c r="N49" i="22" l="1"/>
  <c r="U53" i="22"/>
  <c r="W53" i="22"/>
  <c r="Y53" i="22"/>
  <c r="Z53" i="22" s="1"/>
  <c r="A50" i="22"/>
  <c r="C50" i="22"/>
  <c r="AR43" i="22"/>
  <c r="BA43" i="22" s="1"/>
  <c r="AK43" i="22" s="1"/>
  <c r="AL43" i="22" s="1"/>
  <c r="AA53" i="22" l="1"/>
  <c r="X53" i="22"/>
  <c r="AJ53" i="22" s="1"/>
  <c r="AB53" i="22"/>
  <c r="F50" i="22"/>
  <c r="B50" i="22"/>
  <c r="D50" i="22"/>
  <c r="R43" i="22"/>
  <c r="S43" i="22" s="1"/>
  <c r="AS43" i="22"/>
  <c r="AC53" i="22" l="1"/>
  <c r="AD53" i="22" s="1"/>
  <c r="I50" i="22"/>
  <c r="E50" i="22"/>
  <c r="Q50" i="22" s="1"/>
  <c r="H50" i="22"/>
  <c r="J50" i="22" s="1"/>
  <c r="G50" i="22"/>
  <c r="P43" i="22"/>
  <c r="O43" i="22" s="1"/>
  <c r="BC43" i="22"/>
  <c r="BD43" i="22"/>
  <c r="BB43" i="22"/>
  <c r="AT44" i="22"/>
  <c r="AZ44" i="22"/>
  <c r="K50" i="22" l="1"/>
  <c r="AE53" i="22"/>
  <c r="AF53" i="22" s="1"/>
  <c r="AG53" i="22"/>
  <c r="L50" i="22"/>
  <c r="M50" i="22" s="1"/>
  <c r="AV44" i="22"/>
  <c r="AY43" i="22"/>
  <c r="AW43" i="22" s="1"/>
  <c r="AH44" i="22" s="1"/>
  <c r="N50" i="22" l="1"/>
  <c r="T54" i="22"/>
  <c r="V54" i="22"/>
  <c r="AI44" i="22"/>
  <c r="C51" i="22"/>
  <c r="A51" i="22"/>
  <c r="AX43" i="22"/>
  <c r="AU43" i="22"/>
  <c r="AP44" i="22"/>
  <c r="U54" i="22" l="1"/>
  <c r="Y54" i="22"/>
  <c r="W54" i="22"/>
  <c r="B51" i="22"/>
  <c r="F51" i="22"/>
  <c r="D51" i="22"/>
  <c r="AQ44" i="22"/>
  <c r="Z54" i="22" l="1"/>
  <c r="AB54" i="22"/>
  <c r="X54" i="22"/>
  <c r="AJ54" i="22" s="1"/>
  <c r="AA54" i="22"/>
  <c r="E51" i="22"/>
  <c r="Q51" i="22" s="1"/>
  <c r="H51" i="22"/>
  <c r="I51" i="22"/>
  <c r="G51" i="22"/>
  <c r="AR44" i="22"/>
  <c r="BA44" i="22" s="1"/>
  <c r="AK44" i="22" s="1"/>
  <c r="AL44" i="22" s="1"/>
  <c r="AC54" i="22" l="1"/>
  <c r="AD54" i="22" s="1"/>
  <c r="J51" i="22"/>
  <c r="K51" i="22" s="1"/>
  <c r="R44" i="22"/>
  <c r="S44" i="22" s="1"/>
  <c r="AS44" i="22"/>
  <c r="AE54" i="22" l="1"/>
  <c r="AF54" i="22" s="1"/>
  <c r="AG54" i="22"/>
  <c r="L51" i="22"/>
  <c r="M51" i="22" s="1"/>
  <c r="N51" i="22"/>
  <c r="P44" i="22"/>
  <c r="O44" i="22" s="1"/>
  <c r="AZ45" i="22"/>
  <c r="AT45" i="22"/>
  <c r="BC44" i="22"/>
  <c r="BD44" i="22"/>
  <c r="BB44" i="22"/>
  <c r="A52" i="22" l="1"/>
  <c r="C52" i="22"/>
  <c r="AY44" i="22"/>
  <c r="AW44" i="22" s="1"/>
  <c r="AH45" i="22" s="1"/>
  <c r="AV45" i="22"/>
  <c r="AI45" i="22" l="1"/>
  <c r="F52" i="22"/>
  <c r="B52" i="22"/>
  <c r="D52" i="22"/>
  <c r="AP45" i="22"/>
  <c r="AX44" i="22"/>
  <c r="AU44" i="22"/>
  <c r="I52" i="22" l="1"/>
  <c r="H52" i="22"/>
  <c r="J52" i="22" s="1"/>
  <c r="E52" i="22"/>
  <c r="Q52" i="22" s="1"/>
  <c r="G52" i="22"/>
  <c r="AQ45" i="22"/>
  <c r="K52" i="22" l="1"/>
  <c r="AR45" i="22"/>
  <c r="BA45" i="22" s="1"/>
  <c r="AK45" i="22" s="1"/>
  <c r="AL45" i="22" s="1"/>
  <c r="L52" i="22" l="1"/>
  <c r="M52" i="22" s="1"/>
  <c r="N52" i="22"/>
  <c r="R45" i="22"/>
  <c r="S45" i="22" s="1"/>
  <c r="AS45" i="22"/>
  <c r="C53" i="22" l="1"/>
  <c r="A53" i="22"/>
  <c r="P45" i="22"/>
  <c r="O45" i="22" s="1"/>
  <c r="BC45" i="22"/>
  <c r="BD45" i="22"/>
  <c r="BB45" i="22"/>
  <c r="AT46" i="22"/>
  <c r="AZ46" i="22"/>
  <c r="B53" i="22" l="1"/>
  <c r="D53" i="22"/>
  <c r="F53" i="22"/>
  <c r="G53" i="22" s="1"/>
  <c r="AV46" i="22"/>
  <c r="AY45" i="22"/>
  <c r="AW45" i="22" s="1"/>
  <c r="AH46" i="22" s="1"/>
  <c r="AI46" i="22" l="1"/>
  <c r="E53" i="22"/>
  <c r="Q53" i="22" s="1"/>
  <c r="H53" i="22"/>
  <c r="I53" i="22"/>
  <c r="AX45" i="22"/>
  <c r="AU45" i="22"/>
  <c r="AP46" i="22"/>
  <c r="J53" i="22" l="1"/>
  <c r="K53" i="22" s="1"/>
  <c r="AQ46" i="22"/>
  <c r="L53" i="22" l="1"/>
  <c r="M53" i="22" s="1"/>
  <c r="N53" i="22"/>
  <c r="AR46" i="22"/>
  <c r="BA46" i="22" s="1"/>
  <c r="AK46" i="22" s="1"/>
  <c r="AL46" i="22" s="1"/>
  <c r="C54" i="22" l="1"/>
  <c r="A54" i="22"/>
  <c r="R46" i="22"/>
  <c r="S46" i="22" s="1"/>
  <c r="AS46" i="22"/>
  <c r="D54" i="22" l="1"/>
  <c r="F54" i="22"/>
  <c r="G54" i="22" s="1"/>
  <c r="B54" i="22"/>
  <c r="P46" i="22"/>
  <c r="O46" i="22" s="1"/>
  <c r="BC46" i="22"/>
  <c r="BD46" i="22"/>
  <c r="AT47" i="22"/>
  <c r="AZ47" i="22"/>
  <c r="BB46" i="22"/>
  <c r="E54" i="22" l="1"/>
  <c r="Q54" i="22" s="1"/>
  <c r="H54" i="22"/>
  <c r="I54" i="22"/>
  <c r="AY46" i="22"/>
  <c r="AW46" i="22" s="1"/>
  <c r="AH47" i="22" s="1"/>
  <c r="AV47" i="22"/>
  <c r="J54" i="22" l="1"/>
  <c r="K54" i="22" s="1"/>
  <c r="AI47" i="22"/>
  <c r="L54" i="22"/>
  <c r="M54" i="22" s="1"/>
  <c r="N54" i="22"/>
  <c r="AP47" i="22"/>
  <c r="AX46" i="22"/>
  <c r="AU46" i="22"/>
  <c r="AQ47" i="22" l="1"/>
  <c r="AR47" i="22" l="1"/>
  <c r="BA47" i="22" s="1"/>
  <c r="AK47" i="22" s="1"/>
  <c r="AL47" i="22" s="1"/>
  <c r="R47" i="22" l="1"/>
  <c r="S47" i="22" s="1"/>
  <c r="AS47" i="22"/>
  <c r="P47" i="22" l="1"/>
  <c r="O47" i="22" s="1"/>
  <c r="AZ48" i="22"/>
  <c r="AT48" i="22"/>
  <c r="BC47" i="22"/>
  <c r="BD47" i="22"/>
  <c r="BB47" i="22"/>
  <c r="AY47" i="22" l="1"/>
  <c r="AW47" i="22" s="1"/>
  <c r="AH48" i="22" s="1"/>
  <c r="AV48" i="22"/>
  <c r="AI48" i="22" l="1"/>
  <c r="AP48" i="22"/>
  <c r="AX47" i="22"/>
  <c r="AU47" i="22"/>
  <c r="AQ48" i="22" l="1"/>
  <c r="AR48" i="22" l="1"/>
  <c r="BA48" i="22" s="1"/>
  <c r="AK48" i="22" s="1"/>
  <c r="AL48" i="22" s="1"/>
  <c r="R48" i="22" l="1"/>
  <c r="S48" i="22" s="1"/>
  <c r="AS48" i="22"/>
  <c r="P48" i="22" l="1"/>
  <c r="O48" i="22" s="1"/>
  <c r="AT49" i="22"/>
  <c r="AZ49" i="22"/>
  <c r="BC48" i="22"/>
  <c r="BD48" i="22"/>
  <c r="BB48" i="22"/>
  <c r="AV49" i="22" l="1"/>
  <c r="AY48" i="22"/>
  <c r="AW48" i="22" s="1"/>
  <c r="AH49" i="22" s="1"/>
  <c r="AI49" i="22" l="1"/>
  <c r="AP49" i="22"/>
  <c r="AX48" i="22"/>
  <c r="AU48" i="22"/>
  <c r="AQ49" i="22" l="1"/>
  <c r="AR49" i="22" l="1"/>
  <c r="BA49" i="22" s="1"/>
  <c r="AK49" i="22" s="1"/>
  <c r="AL49" i="22" s="1"/>
  <c r="R49" i="22" l="1"/>
  <c r="S49" i="22" s="1"/>
  <c r="AS49" i="22"/>
  <c r="P49" i="22" l="1"/>
  <c r="O49" i="22" s="1"/>
  <c r="BC49" i="22"/>
  <c r="BD49" i="22"/>
  <c r="BB49" i="22"/>
  <c r="AT50" i="22"/>
  <c r="AZ50" i="22"/>
  <c r="AV50" i="22" l="1"/>
  <c r="AY49" i="22"/>
  <c r="AW49" i="22" s="1"/>
  <c r="AH50" i="22" s="1"/>
  <c r="AI50" i="22" l="1"/>
  <c r="AX49" i="22"/>
  <c r="AU49" i="22"/>
  <c r="AP50" i="22"/>
  <c r="AQ50" i="22" l="1"/>
  <c r="AR50" i="22" l="1"/>
  <c r="BA50" i="22" s="1"/>
  <c r="AK50" i="22" s="1"/>
  <c r="AL50" i="22" s="1"/>
  <c r="R50" i="22" l="1"/>
  <c r="S50" i="22" s="1"/>
  <c r="AT51" i="22"/>
  <c r="AZ51" i="22"/>
  <c r="AS50" i="22"/>
  <c r="P50" i="22" l="1"/>
  <c r="O50" i="22" s="1"/>
  <c r="BB50" i="22"/>
  <c r="BC50" i="22"/>
  <c r="BD50" i="22"/>
  <c r="AV51" i="22" l="1"/>
  <c r="AY50" i="22"/>
  <c r="AW50" i="22" s="1"/>
  <c r="AH51" i="22" s="1"/>
  <c r="AI51" i="22" l="1"/>
  <c r="AP51" i="22"/>
  <c r="AX50" i="22"/>
  <c r="AU50" i="22"/>
  <c r="AQ51" i="22" l="1"/>
  <c r="AR51" i="22" l="1"/>
  <c r="BA51" i="22" s="1"/>
  <c r="AK51" i="22" s="1"/>
  <c r="AL51" i="22" s="1"/>
  <c r="R51" i="22" l="1"/>
  <c r="S51" i="22" s="1"/>
  <c r="AT52" i="22"/>
  <c r="AZ52" i="22"/>
  <c r="AS51" i="22"/>
  <c r="P51" i="22" l="1"/>
  <c r="O51" i="22" s="1"/>
  <c r="BB51" i="22"/>
  <c r="BC51" i="22"/>
  <c r="BD51" i="22"/>
  <c r="AV52" i="22" l="1"/>
  <c r="AY51" i="22"/>
  <c r="AW51" i="22" s="1"/>
  <c r="AH52" i="22" s="1"/>
  <c r="AI52" i="22" l="1"/>
  <c r="AP52" i="22"/>
  <c r="AX51" i="22"/>
  <c r="AU51" i="22"/>
  <c r="AQ52" i="22" l="1"/>
  <c r="AR52" i="22" l="1"/>
  <c r="BA52" i="22" s="1"/>
  <c r="AK52" i="22" s="1"/>
  <c r="AL52" i="22" s="1"/>
  <c r="R52" i="22" l="1"/>
  <c r="S52" i="22" s="1"/>
  <c r="AS52" i="22"/>
  <c r="P52" i="22" l="1"/>
  <c r="O52" i="22" s="1"/>
  <c r="BB52" i="22"/>
  <c r="BC52" i="22"/>
  <c r="BD52" i="22"/>
  <c r="AT53" i="22"/>
  <c r="AZ53" i="22"/>
  <c r="AV53" i="22" l="1"/>
  <c r="AY52" i="22"/>
  <c r="AW52" i="22" s="1"/>
  <c r="AH53" i="22" s="1"/>
  <c r="AI53" i="22" l="1"/>
  <c r="AX52" i="22"/>
  <c r="AU52" i="22"/>
  <c r="AP53" i="22"/>
  <c r="AQ53" i="22" l="1"/>
  <c r="AR53" i="22" l="1"/>
  <c r="BA53" i="22" s="1"/>
  <c r="AK53" i="22" s="1"/>
  <c r="AL53" i="22" s="1"/>
  <c r="R53" i="22" l="1"/>
  <c r="S53" i="22" s="1"/>
  <c r="AS53" i="22"/>
  <c r="P53" i="22" l="1"/>
  <c r="O53" i="22" s="1"/>
  <c r="AT54" i="22"/>
  <c r="AZ54" i="22"/>
  <c r="BC53" i="22"/>
  <c r="BD53" i="22"/>
  <c r="BB53" i="22"/>
  <c r="AY53" i="22" l="1"/>
  <c r="AW53" i="22" s="1"/>
  <c r="AH54" i="22" s="1"/>
  <c r="AI54" i="22" s="1"/>
  <c r="AV54" i="22"/>
  <c r="AP54" i="22" l="1"/>
  <c r="AX53" i="22"/>
  <c r="AU53" i="22"/>
  <c r="AQ54" i="22" l="1"/>
  <c r="AR54" i="22" l="1"/>
  <c r="BA54" i="22" s="1"/>
  <c r="AK54" i="22" s="1"/>
  <c r="AL54" i="22" s="1"/>
  <c r="R54" i="22" l="1"/>
  <c r="S54" i="22" s="1"/>
  <c r="AS54" i="22"/>
  <c r="P54" i="22" l="1"/>
  <c r="O54" i="22" s="1"/>
  <c r="BC54" i="22"/>
  <c r="BD54" i="22"/>
  <c r="BB54" i="22"/>
  <c r="AY54" i="22" l="1"/>
  <c r="AW54" i="22" s="1"/>
  <c r="AX54" i="22" l="1"/>
  <c r="AU5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AB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tc={19269EC9-95C4-4749-9F22-F728D1E0E5AD}</author>
  </authors>
  <commentList>
    <comment ref="BE5" authorId="0" shapeId="0" xr:uid="{19269EC9-95C4-4749-9F22-F728D1E0E5AD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tc={79D618D7-061F-47AC-B597-6B583644DAF7}</author>
  </authors>
  <commentList>
    <comment ref="BE5" authorId="0" shapeId="0" xr:uid="{79D618D7-061F-47AC-B597-6B583644DAF7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tc={E89CFD6E-E2BC-4790-B2B0-8F825172C37C}</author>
  </authors>
  <commentList>
    <comment ref="AT5" authorId="0" shapeId="0" xr:uid="{E89CFD6E-E2BC-4790-B2B0-8F825172C37C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sharedStrings.xml><?xml version="1.0" encoding="utf-8"?>
<sst xmlns="http://schemas.openxmlformats.org/spreadsheetml/2006/main" count="837" uniqueCount="390">
  <si>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</si>
  <si>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</si>
  <si>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</si>
  <si>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</si>
  <si>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</si>
  <si>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</si>
  <si>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</si>
  <si>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</si>
  <si>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</si>
  <si>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</si>
  <si>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</si>
  <si>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</si>
  <si>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</si>
  <si>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</si>
  <si>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</si>
  <si>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</si>
  <si>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</si>
  <si>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</si>
  <si>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</si>
  <si>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</si>
  <si>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</si>
  <si>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</si>
  <si>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</si>
  <si>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</si>
  <si>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</si>
  <si>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</si>
  <si>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</si>
  <si>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</si>
  <si>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</si>
  <si>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</si>
  <si>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</si>
  <si>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</si>
  <si>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</si>
  <si>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</si>
  <si>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</si>
  <si>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</si>
  <si>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</si>
  <si>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</si>
  <si>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</si>
  <si>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</si>
  <si>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</si>
  <si>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</si>
  <si>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</si>
  <si>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</si>
  <si>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</si>
  <si>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</si>
  <si>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</si>
  <si>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</si>
  <si>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</si>
  <si>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</si>
  <si>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</si>
  <si>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</si>
  <si>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</si>
  <si>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</si>
  <si>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</si>
  <si>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</si>
  <si>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</si>
  <si>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</si>
  <si>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</si>
  <si>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</si>
  <si>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</si>
  <si>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</si>
  <si>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</si>
  <si>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</si>
  <si>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</si>
  <si>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</si>
  <si>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</si>
  <si>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</si>
  <si>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</si>
  <si>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</si>
  <si>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</si>
  <si>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</si>
  <si>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</si>
  <si>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</si>
  <si>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</si>
  <si>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</si>
  <si>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</si>
  <si>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</si>
  <si>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</si>
  <si>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</si>
  <si>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</si>
  <si>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</si>
  <si>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</si>
  <si>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</si>
  <si>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</si>
  <si>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</si>
  <si>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</si>
  <si>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</si>
  <si>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</si>
  <si>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</si>
  <si>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</si>
  <si>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</si>
  <si>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</si>
  <si>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</si>
  <si>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</si>
  <si>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</si>
  <si>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</si>
  <si>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</si>
  <si>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</si>
  <si>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</si>
  <si>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</si>
  <si>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</si>
  <si>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</si>
  <si>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</si>
  <si>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</si>
  <si>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</si>
  <si>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</si>
  <si>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</si>
  <si>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</si>
  <si>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</si>
  <si>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</si>
  <si>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</si>
  <si>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</si>
  <si>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</si>
  <si>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</si>
  <si>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</si>
  <si>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</si>
  <si>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</si>
  <si>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</si>
  <si>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</si>
  <si>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</si>
  <si>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</si>
  <si>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</si>
  <si>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</si>
  <si>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</si>
  <si>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</si>
  <si>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</si>
  <si>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</si>
  <si>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</si>
  <si>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</si>
  <si>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</si>
  <si>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</si>
  <si>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</si>
  <si>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</si>
  <si>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</si>
  <si>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</si>
  <si>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</si>
  <si>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</si>
  <si>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</si>
  <si>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</si>
  <si>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</si>
  <si>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</si>
  <si>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</si>
  <si>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</si>
  <si>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</si>
  <si>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</si>
  <si>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</si>
  <si>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</si>
  <si>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</si>
  <si>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</si>
  <si>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</si>
  <si>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</si>
  <si>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</si>
  <si>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</si>
  <si>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</si>
  <si>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Unmodified</t>
  </si>
  <si>
    <t>Modified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</si>
  <si>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</si>
  <si>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</si>
  <si>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</si>
  <si>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</si>
  <si>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</si>
  <si>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</si>
  <si>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</si>
  <si>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</si>
  <si>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</si>
  <si>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</si>
  <si>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</si>
  <si>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</si>
  <si>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</si>
  <si>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</si>
  <si>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</si>
  <si>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</si>
  <si>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</si>
  <si>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</si>
  <si>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</si>
  <si>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</si>
  <si>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</si>
  <si>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</si>
  <si>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</si>
  <si>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</si>
  <si>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</si>
  <si>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</si>
  <si>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</si>
  <si>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</si>
  <si>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</si>
  <si>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</si>
  <si>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CO2HalfSatEff</t>
  </si>
  <si>
    <t>AdjHalfSat</t>
  </si>
  <si>
    <t>frad</t>
  </si>
  <si>
    <t>FrActWd</t>
  </si>
  <si>
    <t>Total Biomass</t>
  </si>
  <si>
    <t>NOTE</t>
  </si>
  <si>
    <t>DelAmax was used in PnET-Succession v1.2</t>
  </si>
  <si>
    <t>Fraction Active Biomass</t>
  </si>
  <si>
    <t>CO2 (ppm)</t>
  </si>
  <si>
    <t>AdjFracFol</t>
  </si>
  <si>
    <t>MaxFolN</t>
  </si>
  <si>
    <t>Mult</t>
  </si>
  <si>
    <t>ModAdjFolN</t>
  </si>
  <si>
    <t>Modif Mult</t>
  </si>
  <si>
    <t>FracFol</t>
  </si>
  <si>
    <t>target</t>
  </si>
  <si>
    <t>HalfSat@ref:</t>
  </si>
  <si>
    <t>Species 3</t>
  </si>
  <si>
    <t>Species 4</t>
  </si>
  <si>
    <t>Species 5</t>
  </si>
  <si>
    <t>shade intol</t>
  </si>
  <si>
    <t>Shade tolerant</t>
  </si>
  <si>
    <t>interm tol</t>
  </si>
  <si>
    <t>tolerant</t>
  </si>
  <si>
    <t>MaxFracFol</t>
  </si>
  <si>
    <t>HalfSat at your reference CO2 concentration</t>
  </si>
  <si>
    <t>ref CO2</t>
  </si>
  <si>
    <t>Pressure head</t>
  </si>
  <si>
    <t>H1</t>
  </si>
  <si>
    <t>H2</t>
  </si>
  <si>
    <t>H3</t>
  </si>
  <si>
    <t>H4</t>
  </si>
  <si>
    <t>EstMoist</t>
  </si>
  <si>
    <t>EstRad</t>
  </si>
  <si>
    <t>Pest</t>
  </si>
  <si>
    <t>Nominal</t>
  </si>
  <si>
    <t>Timestep length</t>
  </si>
  <si>
    <t>Parameters</t>
  </si>
  <si>
    <t xml:space="preserve">Wythers correction for  respiration acclmation </t>
  </si>
  <si>
    <t>decid</t>
  </si>
  <si>
    <t>evergreen</t>
  </si>
  <si>
    <t>PsnTMaxestimate</t>
  </si>
  <si>
    <t>PsnTMinestimate</t>
  </si>
  <si>
    <t>NOTE: Dtemp is computed based on Tday, which is avg DAYTIME temperature</t>
  </si>
  <si>
    <t>Default upland</t>
  </si>
  <si>
    <t>fairly tol</t>
  </si>
  <si>
    <t>Waterlog tol</t>
  </si>
  <si>
    <t>Range</t>
  </si>
  <si>
    <t>Lowest HalfSat</t>
  </si>
  <si>
    <t>Highest HalfSat</t>
  </si>
  <si>
    <t>HalfSat calculator</t>
  </si>
  <si>
    <t>Shade tolerance index value</t>
  </si>
  <si>
    <t>HalfSat value</t>
  </si>
  <si>
    <t>Shade tolerance index</t>
  </si>
  <si>
    <t>Set these values =&gt;</t>
  </si>
  <si>
    <t>&lt;=computed</t>
  </si>
  <si>
    <t xml:space="preserve">e.g., Niinemets and Valladares (2015) </t>
  </si>
  <si>
    <t>Default=&gt;</t>
  </si>
  <si>
    <t>fwater@ph=0</t>
  </si>
  <si>
    <t>somewh  intol</t>
  </si>
  <si>
    <t>intermediate</t>
  </si>
  <si>
    <t>super tol</t>
  </si>
  <si>
    <t>Combined</t>
  </si>
  <si>
    <t>Aber et al Oecologia 1996</t>
  </si>
  <si>
    <t>Old Dtemp</t>
  </si>
  <si>
    <t>Computed for OldDtemp</t>
  </si>
  <si>
    <t>NominalHalfSat</t>
  </si>
  <si>
    <t>modified exponential</t>
  </si>
  <si>
    <t>Ad hoc worksheet</t>
  </si>
  <si>
    <t>Worksheet used to estimate HalfSat from a shade tolerance index value</t>
  </si>
  <si>
    <t>Enter the highest and lowest HalfSat values of all species occuring within the range of the shade tolerance index</t>
  </si>
  <si>
    <t>Turn effect off by setting to 0.0</t>
  </si>
  <si>
    <t>UnModified</t>
  </si>
  <si>
    <t>Scaling factor applied to fWater when computing Pest-can be computed w a different value, depending on H2 [Enter fWater that equates to optimal water for establishment]</t>
  </si>
  <si>
    <t>OldDefaults</t>
  </si>
  <si>
    <t>UnmodifiedPest</t>
  </si>
  <si>
    <t>MaxPest</t>
  </si>
  <si>
    <t>Pest tuning parameter (0-1.0) [Enter max realized establishment probability under optimal fWater and fRad]</t>
  </si>
  <si>
    <t>&lt;=Computed values</t>
  </si>
  <si>
    <t>Given=&gt;</t>
  </si>
  <si>
    <t xml:space="preserve"> in D2 &amp; E2</t>
  </si>
  <si>
    <t>set these values</t>
  </si>
  <si>
    <t>read this value</t>
  </si>
  <si>
    <t>in M14</t>
  </si>
  <si>
    <t>Plot is below</t>
  </si>
  <si>
    <t>Across all species</t>
  </si>
  <si>
    <t>computed</t>
  </si>
  <si>
    <t>&lt;=These can be modified to explore effects</t>
  </si>
  <si>
    <t>&lt;=modify</t>
  </si>
  <si>
    <t>modify</t>
  </si>
  <si>
    <t>&lt;=computed value</t>
  </si>
  <si>
    <t>DelAmax' is used in PnET-Succession v2.0 and later</t>
  </si>
  <si>
    <t>Amax-decid</t>
  </si>
  <si>
    <t>Amax-evergreen</t>
  </si>
  <si>
    <t>Parameters should be set relative to Tday, not Tmax</t>
  </si>
  <si>
    <t>&lt;=Step 1: set reference CO2 concentration here</t>
  </si>
  <si>
    <t xml:space="preserve">&lt;=Step2: enter proposed CO2HalfSatEff parameter setting </t>
  </si>
  <si>
    <t>Scaling factor applied to fRad when computing Pest [Enter EstRad that equates to maximal light possible given PAR inputs]</t>
  </si>
  <si>
    <t>Note: this worksheet only includes modifications of fRad.</t>
  </si>
  <si>
    <t>It does not account for the new HalfSat effects on establishment.</t>
  </si>
  <si>
    <t>See section 1.3.1 in user guide.</t>
  </si>
  <si>
    <t>FracFolShape</t>
  </si>
  <si>
    <t>FolNShape</t>
  </si>
  <si>
    <t xml:space="preserve">This is no longer used in PnET-Succession </t>
  </si>
  <si>
    <t>&lt;=uses old DTEMP</t>
  </si>
  <si>
    <t xml:space="preserve">No longer used in PnET-Succession </t>
  </si>
  <si>
    <t>Pest calculator to test specific values of fRad and fWater</t>
  </si>
  <si>
    <t>&lt;=Step 3: tune here to produce the desired HalfSat at your reference CO2 concentration (in red)</t>
  </si>
  <si>
    <t xml:space="preserve">350 is the nominal CO2 reference concentration in PnET-II and PnET-Succession </t>
  </si>
  <si>
    <t>No effect-&gt;</t>
  </si>
  <si>
    <t>Modify-&gt;</t>
  </si>
  <si>
    <t>Green values can be changed</t>
  </si>
  <si>
    <t>&lt;=no longer used in PnET-Succession</t>
  </si>
  <si>
    <t>No effect (all)</t>
  </si>
  <si>
    <t>fol (gC/m2)</t>
  </si>
  <si>
    <t>PH</t>
  </si>
  <si>
    <t>fWater calculator</t>
  </si>
  <si>
    <t>NOTE: FTempPsn is no longer an option</t>
  </si>
  <si>
    <t>DTEMP computes PsnMaxT, or user can input it</t>
  </si>
  <si>
    <t>See DTEMP tab</t>
  </si>
  <si>
    <t>SiteLAI</t>
  </si>
  <si>
    <t>MaxLAI</t>
  </si>
  <si>
    <t>Cohort1</t>
  </si>
  <si>
    <t>Biomass</t>
  </si>
  <si>
    <t>Cohort 1</t>
  </si>
  <si>
    <t>Cohort 2</t>
  </si>
  <si>
    <t>Cohort 3</t>
  </si>
  <si>
    <t>Site</t>
  </si>
  <si>
    <t>TOFol</t>
  </si>
  <si>
    <t>SLWMax</t>
  </si>
  <si>
    <t>Foliage</t>
  </si>
  <si>
    <t>LAI</t>
  </si>
  <si>
    <t>Cohort2</t>
  </si>
  <si>
    <t>Cohort3</t>
  </si>
  <si>
    <t>fLAI</t>
  </si>
  <si>
    <t>LAIShape</t>
  </si>
  <si>
    <t>Generic parameters</t>
  </si>
  <si>
    <t>AdjFoliage</t>
  </si>
  <si>
    <t>AdjLAI</t>
  </si>
  <si>
    <t>OptBM</t>
  </si>
  <si>
    <t>Activ BM</t>
  </si>
  <si>
    <t>Active biomass</t>
  </si>
  <si>
    <t>PeakBiomass</t>
  </si>
  <si>
    <t>OptBM-estim</t>
  </si>
  <si>
    <t>Red=formula; do not edit</t>
  </si>
  <si>
    <t>s maple</t>
  </si>
  <si>
    <t>q aspen</t>
  </si>
  <si>
    <t>w pine</t>
  </si>
  <si>
    <t>see FrActWd tab for equation</t>
  </si>
  <si>
    <t>Predicted peak BM</t>
  </si>
  <si>
    <t>FrActWd=.00004</t>
  </si>
  <si>
    <t>Site (sum cohorts)</t>
  </si>
  <si>
    <t>padding</t>
  </si>
  <si>
    <t>maybe need to pad this to get AdjLAI to maych target MaxLAI</t>
  </si>
  <si>
    <t>add padding in col S to get AdLAI to match target MaxLAI.  Actual padding needs to be worked out somehow because this does not work for all FrActWd values.</t>
  </si>
  <si>
    <t>MaxLAI(computed)</t>
  </si>
  <si>
    <t>cFracBio</t>
  </si>
  <si>
    <t>DNSC</t>
  </si>
  <si>
    <t>InitialNSC</t>
  </si>
  <si>
    <t>InitialBiomass</t>
  </si>
  <si>
    <t>Fage</t>
  </si>
  <si>
    <t>CiCaRatio</t>
  </si>
  <si>
    <t>delamaxCi</t>
  </si>
  <si>
    <t>CO2</t>
  </si>
  <si>
    <t>BFolResp</t>
  </si>
  <si>
    <t>AmxAdj</t>
  </si>
  <si>
    <t>RefGrossPsn</t>
  </si>
  <si>
    <t>GrossPsn</t>
  </si>
  <si>
    <t>NetPsn</t>
  </si>
  <si>
    <t>RefFolResp</t>
  </si>
  <si>
    <t>FracBelowG</t>
  </si>
  <si>
    <t>BaseFolREspFrac</t>
  </si>
  <si>
    <t>DaySpan</t>
  </si>
  <si>
    <t>Q10base</t>
  </si>
  <si>
    <t>NSC</t>
  </si>
  <si>
    <t>Allocation</t>
  </si>
  <si>
    <t>TotalBiomass</t>
  </si>
  <si>
    <t>FActiveBiom</t>
  </si>
  <si>
    <t>GrowMonths</t>
  </si>
  <si>
    <t>MainResp</t>
  </si>
  <si>
    <t>MaintRespFTempResp</t>
  </si>
  <si>
    <t>fTempRespDay</t>
  </si>
  <si>
    <t>fTempRespNight</t>
  </si>
  <si>
    <t>NightLength</t>
  </si>
  <si>
    <t>FtempRespDayNight</t>
  </si>
  <si>
    <t>USING AdjFoliage for growth calculations</t>
  </si>
  <si>
    <t>AdjFoliage is calculated but does not feed back to growth calculations</t>
  </si>
  <si>
    <t>PCanArea.pot</t>
  </si>
  <si>
    <t>PCanArea.act</t>
  </si>
  <si>
    <t>LAI.pot</t>
  </si>
  <si>
    <t>PCanArea.P</t>
  </si>
  <si>
    <t>PCanArea.A</t>
  </si>
  <si>
    <t>LAI.Pot</t>
  </si>
  <si>
    <t>Biomass.Adj</t>
  </si>
  <si>
    <t>WeightedBio</t>
  </si>
  <si>
    <t>WeightedLAI</t>
  </si>
  <si>
    <t>LAIsum</t>
  </si>
  <si>
    <t>BiomassSum</t>
  </si>
  <si>
    <t>Two Cohorts Competing</t>
  </si>
  <si>
    <t>One Cohort Alone</t>
  </si>
  <si>
    <t>One Cohort Removed</t>
  </si>
  <si>
    <t>Row</t>
  </si>
  <si>
    <t>FActiveBio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</si>
</sst>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5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6" xfId="0" applyFont="1" applyBorder="1"/>
    <xf numFmtId="0" fontId="0" fillId="0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0" borderId="7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7" fillId="0" borderId="8" xfId="0" applyFont="1" applyBorder="1"/>
    <xf numFmtId="0" fontId="0" fillId="0" borderId="7" xfId="0" applyFill="1" applyBorder="1"/>
    <xf numFmtId="0" fontId="0" fillId="6" borderId="7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2" fillId="9" borderId="0" xfId="0" applyFont="1" applyFill="1"/>
    <xf numFmtId="0" fontId="0" fillId="9" borderId="0" xfId="0" applyFill="1"/>
    <xf numFmtId="0" fontId="0" fillId="9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0" borderId="0" xfId="0" applyFill="1"/>
    <xf numFmtId="0" fontId="1" fillId="0" borderId="0" xfId="0" applyFont="1"/>
    <xf numFmtId="0" fontId="0" fillId="8" borderId="0" xfId="0" applyFill="1"/>
    <xf numFmtId="0" fontId="0" fillId="11" borderId="0" xfId="0" applyFill="1"/>
    <xf numFmtId="0" fontId="13" fillId="0" borderId="0" xfId="1"/>
    <xf numFmtId="0" fontId="0" fillId="0" borderId="0" xfId="0" applyAlignment="1">
      <alignment horizontal="right"/>
    </xf>
    <xf numFmtId="0" fontId="0" fillId="0" borderId="9" xfId="0" applyBorder="1"/>
    <xf numFmtId="0" fontId="0" fillId="12" borderId="0" xfId="0" applyFill="1"/>
    <xf numFmtId="0" fontId="0" fillId="10" borderId="1" xfId="0" applyFont="1" applyFill="1" applyBorder="1"/>
    <xf numFmtId="0" fontId="0" fillId="10" borderId="0" xfId="0" applyFill="1" applyBorder="1"/>
    <xf numFmtId="0" fontId="0" fillId="4" borderId="0" xfId="0" applyFill="1" applyBorder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3" borderId="0" xfId="0" applyNumberFormat="1" applyFill="1"/>
    <xf numFmtId="0" fontId="0" fillId="3" borderId="0" xfId="0" applyNumberFormat="1" applyFill="1"/>
    <xf numFmtId="0" fontId="14" fillId="16" borderId="0" xfId="2"/>
    <xf numFmtId="0" fontId="15" fillId="17" borderId="0" xfId="3"/>
    <xf numFmtId="164" fontId="0" fillId="3" borderId="0" xfId="0" applyNumberFormat="1" applyFill="1"/>
  </cellXfs>
  <cellStyles count="4">
    <cellStyle name="Bad" xfId="2" builtinId="27"/>
    <cellStyle name="Good" xfId="3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0.28068689282376164</c:v>
                </c:pt>
                <c:pt idx="2">
                  <c:v>1.4210049954972834</c:v>
                </c:pt>
                <c:pt idx="3">
                  <c:v>2.1096048623609751</c:v>
                </c:pt>
                <c:pt idx="4">
                  <c:v>2.3306741647850573</c:v>
                </c:pt>
                <c:pt idx="5">
                  <c:v>2.0869027135211771</c:v>
                </c:pt>
                <c:pt idx="6">
                  <c:v>1.4386108350471531</c:v>
                </c:pt>
                <c:pt idx="7">
                  <c:v>0.58279394434509546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4-4038-AA09-21908042F78A}"/>
            </c:ext>
          </c:extLst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0.30826098736713425</c:v>
                </c:pt>
                <c:pt idx="2">
                  <c:v>1.5604930957624581</c:v>
                </c:pt>
                <c:pt idx="3">
                  <c:v>2.3205653485970728</c:v>
                </c:pt>
                <c:pt idx="4">
                  <c:v>2.5637415812635633</c:v>
                </c:pt>
                <c:pt idx="5">
                  <c:v>2.295592984873295</c:v>
                </c:pt>
                <c:pt idx="6">
                  <c:v>1.5824719185518688</c:v>
                </c:pt>
                <c:pt idx="7">
                  <c:v>0.64107333877960504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4-4038-AA09-21908042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0792"/>
        <c:axId val="597983536"/>
      </c:lineChart>
      <c:catAx>
        <c:axId val="5979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3536"/>
        <c:crosses val="autoZero"/>
        <c:auto val="1"/>
        <c:lblAlgn val="ctr"/>
        <c:lblOffset val="100"/>
        <c:noMultiLvlLbl val="0"/>
      </c:catAx>
      <c:valAx>
        <c:axId val="59798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DTemp!$W$1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DTemp!$W$2:$W$13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0.77495328086159931</c:v>
                </c:pt>
                <c:pt idx="2">
                  <c:v>1.0959494400000003</c:v>
                </c:pt>
                <c:pt idx="3">
                  <c:v>1.5499065617231989</c:v>
                </c:pt>
                <c:pt idx="4">
                  <c:v>2.1918988800000005</c:v>
                </c:pt>
                <c:pt idx="5">
                  <c:v>3.0998131234463973</c:v>
                </c:pt>
                <c:pt idx="6">
                  <c:v>4.3837977600000011</c:v>
                </c:pt>
                <c:pt idx="7">
                  <c:v>6.1996262468927954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2-4D65-A464-B9DF28E6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70296"/>
        <c:axId val="372659712"/>
      </c:lineChart>
      <c:catAx>
        <c:axId val="3726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712"/>
        <c:crosses val="autoZero"/>
        <c:auto val="1"/>
        <c:lblAlgn val="ctr"/>
        <c:lblOffset val="100"/>
        <c:noMultiLvlLbl val="0"/>
      </c:catAx>
      <c:valAx>
        <c:axId val="372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DTemp!$P$1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2-4CF9-8C74-92D7F888EC83}"/>
            </c:ext>
          </c:extLst>
        </c:ser>
        <c:ser>
          <c:idx val="1"/>
          <c:order val="1"/>
          <c:tx>
            <c:strRef>
              <c:f>DTemp!$Q$1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DTemp!$Q$2:$Q$13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6.9825924810563569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2-4CF9-8C74-92D7F888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6928"/>
        <c:axId val="600702672"/>
      </c:lineChart>
      <c:catAx>
        <c:axId val="597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672"/>
        <c:crosses val="autoZero"/>
        <c:auto val="1"/>
        <c:lblAlgn val="ctr"/>
        <c:lblOffset val="100"/>
        <c:noMultiLvlLbl val="0"/>
      </c:catAx>
      <c:valAx>
        <c:axId val="600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B-490A-9837-D9EF6A58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2480"/>
        <c:axId val="600701496"/>
      </c:lineChart>
      <c:catAx>
        <c:axId val="600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496"/>
        <c:crosses val="autoZero"/>
        <c:auto val="1"/>
        <c:lblAlgn val="ctr"/>
        <c:lblOffset val="100"/>
        <c:noMultiLvlLbl val="0"/>
      </c:catAx>
      <c:valAx>
        <c:axId val="600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508-896A-BF923DBA1604}"/>
            </c:ext>
          </c:extLst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F-4508-896A-BF923DBA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4440"/>
        <c:axId val="600702280"/>
      </c:scatterChart>
      <c:valAx>
        <c:axId val="6006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280"/>
        <c:crosses val="autoZero"/>
        <c:crossBetween val="midCat"/>
      </c:valAx>
      <c:valAx>
        <c:axId val="600702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4F61-8EE7-D20E105C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5616"/>
        <c:axId val="600701888"/>
      </c:scatterChart>
      <c:valAx>
        <c:axId val="6006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888"/>
        <c:crosses val="autoZero"/>
        <c:crossBetween val="midCat"/>
      </c:valAx>
      <c:valAx>
        <c:axId val="600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D-4A9F-A634-274737CB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7968"/>
        <c:axId val="600696792"/>
      </c:scatterChart>
      <c:valAx>
        <c:axId val="6006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792"/>
        <c:crosses val="autoZero"/>
        <c:crossBetween val="midCat"/>
      </c:valAx>
      <c:valAx>
        <c:axId val="6006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8-403A-8EA3-3AA511EE8450}"/>
            </c:ext>
          </c:extLst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8-403A-8EA3-3AA511E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2088"/>
        <c:axId val="600692872"/>
      </c:scatterChart>
      <c:valAx>
        <c:axId val="6006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872"/>
        <c:crosses val="autoZero"/>
        <c:crossBetween val="midCat"/>
      </c:valAx>
      <c:valAx>
        <c:axId val="600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F-48E0-8F46-C06BA0F5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0520"/>
        <c:axId val="600698752"/>
      </c:scatterChart>
      <c:valAx>
        <c:axId val="60069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8752"/>
        <c:crosses val="autoZero"/>
        <c:crossBetween val="midCat"/>
      </c:valAx>
      <c:valAx>
        <c:axId val="60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6-4C96-AE1F-397B8CCE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1696"/>
        <c:axId val="600696008"/>
      </c:scatterChart>
      <c:valAx>
        <c:axId val="600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008"/>
        <c:crosses val="autoZero"/>
        <c:crossBetween val="midCat"/>
      </c:valAx>
      <c:valAx>
        <c:axId val="600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Wythers!$J$9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Wythers!$J$10:$J$19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D-42DE-8CCF-0C8AB2BF3A77}"/>
            </c:ext>
          </c:extLst>
        </c:ser>
        <c:ser>
          <c:idx val="1"/>
          <c:order val="1"/>
          <c:tx>
            <c:strRef>
              <c:f>Wythers!$K$9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Wythers!$K$10:$K$19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D-42DE-8CCF-0C8AB2BF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0912"/>
        <c:axId val="600699536"/>
      </c:lineChart>
      <c:catAx>
        <c:axId val="60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536"/>
        <c:crosses val="autoZero"/>
        <c:auto val="1"/>
        <c:lblAlgn val="ctr"/>
        <c:lblOffset val="100"/>
        <c:noMultiLvlLbl val="0"/>
      </c:catAx>
      <c:valAx>
        <c:axId val="60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Foliar respiraton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3.929616499532663</c:v>
                </c:pt>
                <c:pt idx="2">
                  <c:v>19.894069936961969</c:v>
                </c:pt>
                <c:pt idx="3">
                  <c:v>29.534468073053652</c:v>
                </c:pt>
                <c:pt idx="4">
                  <c:v>32.629438306990799</c:v>
                </c:pt>
                <c:pt idx="5">
                  <c:v>29.21663798929648</c:v>
                </c:pt>
                <c:pt idx="6">
                  <c:v>20.140551690660143</c:v>
                </c:pt>
                <c:pt idx="7">
                  <c:v>8.1591152208313371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A-4D83-B716-BE93E00E0C5A}"/>
            </c:ext>
          </c:extLst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-1.2083381106640332</c:v>
                </c:pt>
                <c:pt idx="1">
                  <c:v>2.6068056791065217</c:v>
                </c:pt>
                <c:pt idx="2">
                  <c:v>19.430227119346348</c:v>
                </c:pt>
                <c:pt idx="3">
                  <c:v>29.070218592292306</c:v>
                </c:pt>
                <c:pt idx="4">
                  <c:v>31.059029695033754</c:v>
                </c:pt>
                <c:pt idx="5">
                  <c:v>25.3029092120927</c:v>
                </c:pt>
                <c:pt idx="6">
                  <c:v>12.487901974413898</c:v>
                </c:pt>
                <c:pt idx="7">
                  <c:v>-4.6957584093523899</c:v>
                </c:pt>
                <c:pt idx="8">
                  <c:v>-19.333409770624527</c:v>
                </c:pt>
                <c:pt idx="9">
                  <c:v>-27.341570304533718</c:v>
                </c:pt>
                <c:pt idx="10">
                  <c:v>-38.666819541249055</c:v>
                </c:pt>
                <c:pt idx="11">
                  <c:v>-54.683140609067422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A-4D83-B716-BE93E00E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5496"/>
        <c:axId val="597989808"/>
      </c:lineChart>
      <c:catAx>
        <c:axId val="59798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9808"/>
        <c:crosses val="autoZero"/>
        <c:auto val="1"/>
        <c:lblAlgn val="ctr"/>
        <c:lblOffset val="100"/>
        <c:noMultiLvlLbl val="0"/>
      </c:catAx>
      <c:valAx>
        <c:axId val="59798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Wythers!$D$9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Wythers!$D$10:$D$19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E-4CFF-824E-B631804A36BE}"/>
            </c:ext>
          </c:extLst>
        </c:ser>
        <c:ser>
          <c:idx val="1"/>
          <c:order val="1"/>
          <c:tx>
            <c:strRef>
              <c:f>Wythers!$E$9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Wythers!$E$10:$E$19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E-4CFF-824E-B631804A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264"/>
        <c:axId val="600699928"/>
      </c:lineChart>
      <c:catAx>
        <c:axId val="600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928"/>
        <c:crosses val="autoZero"/>
        <c:auto val="1"/>
        <c:lblAlgn val="ctr"/>
        <c:lblOffset val="100"/>
        <c:noMultiLvlLbl val="0"/>
      </c:catAx>
      <c:valAx>
        <c:axId val="600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Wythers!$L$9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Wythers!$L$10:$L$19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FFC-B328-D5A6E0C036D4}"/>
            </c:ext>
          </c:extLst>
        </c:ser>
        <c:ser>
          <c:idx val="1"/>
          <c:order val="1"/>
          <c:tx>
            <c:strRef>
              <c:f>Wythers!$M$9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Wythers!$M$10:$M$19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4FFC-B328-D5A6E0C0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656"/>
        <c:axId val="600694048"/>
      </c:lineChart>
      <c:catAx>
        <c:axId val="60069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048"/>
        <c:crosses val="autoZero"/>
        <c:auto val="1"/>
        <c:lblAlgn val="ctr"/>
        <c:lblOffset val="100"/>
        <c:noMultiLvlLbl val="0"/>
      </c:catAx>
      <c:valAx>
        <c:axId val="600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waterlogging tolerance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fWater!$B$1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fWater!$A$4:$A$34</c:f>
              <c:numCache>
                <c:formatCode>General</c:formatCode>
                <c:ptCount val="3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cat>
          <c:val>
            <c:numRef>
              <c:f>fWater!$B$4:$B$34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0.95238095238095233</c:v>
                </c:pt>
                <c:pt idx="23">
                  <c:v>0.7142857142857143</c:v>
                </c:pt>
                <c:pt idx="24">
                  <c:v>0.47619047619047616</c:v>
                </c:pt>
                <c:pt idx="25">
                  <c:v>0.23809523809523814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5-42D5-92AA-F3BF109F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3456"/>
        <c:axId val="600703064"/>
      </c:lineChart>
      <c:catAx>
        <c:axId val="600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064"/>
        <c:crosses val="autoZero"/>
        <c:auto val="1"/>
        <c:lblAlgn val="ctr"/>
        <c:lblOffset val="100"/>
        <c:noMultiLvlLbl val="0"/>
      </c:catAx>
      <c:valAx>
        <c:axId val="600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 rez around PH=0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fWater!$M$1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fWater!$M$4:$M$24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4B1E-A2C5-FB2476A6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9728"/>
        <c:axId val="600705808"/>
      </c:lineChart>
      <c:catAx>
        <c:axId val="600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808"/>
        <c:crosses val="autoZero"/>
        <c:auto val="1"/>
        <c:lblAlgn val="ctr"/>
        <c:lblOffset val="100"/>
        <c:noMultiLvlLbl val="0"/>
      </c:catAx>
      <c:valAx>
        <c:axId val="60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fWater@ph=0 for various settings of H1 &amp;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fWater!$V$4:$V$9</c:f>
              <c:strCache>
                <c:ptCount val="6"/>
                <c:pt idx="0">
                  <c:v>Default upland</c:v>
                </c:pt>
                <c:pt idx="1">
                  <c:v>somewh  intol</c:v>
                </c:pt>
                <c:pt idx="2">
                  <c:v>intermediate</c:v>
                </c:pt>
                <c:pt idx="3">
                  <c:v>fairly tol</c:v>
                </c:pt>
                <c:pt idx="4">
                  <c:v>tolerant</c:v>
                </c:pt>
                <c:pt idx="5">
                  <c:v>super tol</c:v>
                </c:pt>
              </c:strCache>
            </c:strRef>
          </c:cat>
          <c:val>
            <c:numRef>
              <c:f>fWater!$Y$4:$Y$9</c:f>
              <c:numCache>
                <c:formatCode>General</c:formatCode>
                <c:ptCount val="6"/>
                <c:pt idx="0">
                  <c:v>0</c:v>
                </c:pt>
                <c:pt idx="1">
                  <c:v>0.16667000000000001</c:v>
                </c:pt>
                <c:pt idx="2">
                  <c:v>0.30487999999999998</c:v>
                </c:pt>
                <c:pt idx="3">
                  <c:v>0.47367999999999999</c:v>
                </c:pt>
                <c:pt idx="4">
                  <c:v>0.62264200000000003</c:v>
                </c:pt>
                <c:pt idx="5">
                  <c:v>0.83333000000000002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484A-AF41-672065F5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200"/>
        <c:axId val="600704240"/>
      </c:lineChart>
      <c:catAx>
        <c:axId val="6007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Waterlogging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240"/>
        <c:crosses val="autoZero"/>
        <c:auto val="1"/>
        <c:lblAlgn val="ctr"/>
        <c:lblOffset val="100"/>
        <c:noMultiLvlLbl val="0"/>
      </c:catAx>
      <c:valAx>
        <c:axId val="60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0.99999989759999997</c:v>
                </c:pt>
                <c:pt idx="2">
                  <c:v>0.99999672319999999</c:v>
                </c:pt>
                <c:pt idx="3">
                  <c:v>0.99997511679999995</c:v>
                </c:pt>
                <c:pt idx="4">
                  <c:v>0.99989514239999999</c:v>
                </c:pt>
                <c:pt idx="5">
                  <c:v>0.99968000000000001</c:v>
                </c:pt>
                <c:pt idx="6">
                  <c:v>0.99920373760000003</c:v>
                </c:pt>
                <c:pt idx="7">
                  <c:v>0.99827896319999998</c:v>
                </c:pt>
                <c:pt idx="8">
                  <c:v>0.99664455679999997</c:v>
                </c:pt>
                <c:pt idx="9">
                  <c:v>0.99395338239999997</c:v>
                </c:pt>
                <c:pt idx="10">
                  <c:v>0.98975999999999997</c:v>
                </c:pt>
                <c:pt idx="11">
                  <c:v>0.98350837759999998</c:v>
                </c:pt>
                <c:pt idx="12">
                  <c:v>0.97451960319999997</c:v>
                </c:pt>
                <c:pt idx="13">
                  <c:v>0.9619795968</c:v>
                </c:pt>
                <c:pt idx="14">
                  <c:v>0.94492682240000003</c:v>
                </c:pt>
                <c:pt idx="15">
                  <c:v>0.92223999999999995</c:v>
                </c:pt>
                <c:pt idx="16">
                  <c:v>0.89262581760000004</c:v>
                </c:pt>
                <c:pt idx="17">
                  <c:v>0.8546066431999999</c:v>
                </c:pt>
                <c:pt idx="18">
                  <c:v>0.80650823680000006</c:v>
                </c:pt>
                <c:pt idx="19">
                  <c:v>0.74644746239999993</c:v>
                </c:pt>
                <c:pt idx="20">
                  <c:v>0.67231999999999981</c:v>
                </c:pt>
                <c:pt idx="21">
                  <c:v>0.58178805760000007</c:v>
                </c:pt>
                <c:pt idx="22">
                  <c:v>0.47226808320000002</c:v>
                </c:pt>
                <c:pt idx="23">
                  <c:v>0.34091847679999987</c:v>
                </c:pt>
                <c:pt idx="24">
                  <c:v>0.18462730240000003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057-9E06-11C12837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06984"/>
        <c:axId val="600705024"/>
      </c:lineChart>
      <c:catAx>
        <c:axId val="6007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024"/>
        <c:crosses val="autoZero"/>
        <c:auto val="1"/>
        <c:lblAlgn val="ctr"/>
        <c:lblOffset val="100"/>
        <c:noMultiLvlLbl val="0"/>
      </c:catAx>
      <c:valAx>
        <c:axId val="600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FrActWd!$A$2:$A$39</c:f>
              <c:numCache>
                <c:formatCode>General</c:formatCode>
                <c:ptCount val="3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9900</c:v>
                </c:pt>
                <c:pt idx="11">
                  <c:v>10000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  <c:pt idx="22">
                  <c:v>19900</c:v>
                </c:pt>
                <c:pt idx="23">
                  <c:v>20000</c:v>
                </c:pt>
                <c:pt idx="24">
                  <c:v>20100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24900</c:v>
                </c:pt>
                <c:pt idx="30">
                  <c:v>25000</c:v>
                </c:pt>
                <c:pt idx="31">
                  <c:v>25100</c:v>
                </c:pt>
                <c:pt idx="32">
                  <c:v>26000</c:v>
                </c:pt>
                <c:pt idx="33">
                  <c:v>27000</c:v>
                </c:pt>
                <c:pt idx="34">
                  <c:v>28000</c:v>
                </c:pt>
                <c:pt idx="35">
                  <c:v>29000</c:v>
                </c:pt>
                <c:pt idx="36">
                  <c:v>30000</c:v>
                </c:pt>
                <c:pt idx="37">
                  <c:v>31000</c:v>
                </c:pt>
              </c:numCache>
            </c:numRef>
          </c:cat>
          <c:val>
            <c:numRef>
              <c:f>FrActWd!$B$2:$B$39</c:f>
              <c:numCache>
                <c:formatCode>General</c:formatCode>
                <c:ptCount val="38"/>
                <c:pt idx="0">
                  <c:v>1</c:v>
                </c:pt>
                <c:pt idx="1">
                  <c:v>0.81873075307798182</c:v>
                </c:pt>
                <c:pt idx="2">
                  <c:v>0.67032004603563933</c:v>
                </c:pt>
                <c:pt idx="3">
                  <c:v>0.54881163609402639</c:v>
                </c:pt>
                <c:pt idx="4">
                  <c:v>0.44932896411722156</c:v>
                </c:pt>
                <c:pt idx="5">
                  <c:v>0.36787944117144233</c:v>
                </c:pt>
                <c:pt idx="6">
                  <c:v>0.30119421191220214</c:v>
                </c:pt>
                <c:pt idx="7">
                  <c:v>0.24659696394160643</c:v>
                </c:pt>
                <c:pt idx="8">
                  <c:v>0.20189651799465538</c:v>
                </c:pt>
                <c:pt idx="9">
                  <c:v>0.16529888822158653</c:v>
                </c:pt>
                <c:pt idx="10">
                  <c:v>0.1380692373108928</c:v>
                </c:pt>
                <c:pt idx="11">
                  <c:v>0.1353352832366127</c:v>
                </c:pt>
                <c:pt idx="12">
                  <c:v>0.13265546508012172</c:v>
                </c:pt>
                <c:pt idx="13">
                  <c:v>0.11080315836233387</c:v>
                </c:pt>
                <c:pt idx="14">
                  <c:v>9.0717953289412512E-2</c:v>
                </c:pt>
                <c:pt idx="15">
                  <c:v>7.4273578214333877E-2</c:v>
                </c:pt>
                <c:pt idx="16">
                  <c:v>6.0810062625217952E-2</c:v>
                </c:pt>
                <c:pt idx="17">
                  <c:v>4.9787068367863944E-2</c:v>
                </c:pt>
                <c:pt idx="18">
                  <c:v>4.0762203978366211E-2</c:v>
                </c:pt>
                <c:pt idx="19">
                  <c:v>3.3373269960326066E-2</c:v>
                </c:pt>
                <c:pt idx="20">
                  <c:v>2.7323722447292559E-2</c:v>
                </c:pt>
                <c:pt idx="21">
                  <c:v>2.2370771856165591E-2</c:v>
                </c:pt>
                <c:pt idx="22">
                  <c:v>1.8685639337732773E-2</c:v>
                </c:pt>
                <c:pt idx="23">
                  <c:v>1.8315638888734179E-2</c:v>
                </c:pt>
                <c:pt idx="24">
                  <c:v>1.7952964939502849E-2</c:v>
                </c:pt>
                <c:pt idx="25">
                  <c:v>1.4995576820477703E-2</c:v>
                </c:pt>
                <c:pt idx="26">
                  <c:v>1.2277339903068436E-2</c:v>
                </c:pt>
                <c:pt idx="27">
                  <c:v>1.0051835744633576E-2</c:v>
                </c:pt>
                <c:pt idx="28">
                  <c:v>8.2297470490200302E-3</c:v>
                </c:pt>
                <c:pt idx="29">
                  <c:v>6.8740625574962482E-3</c:v>
                </c:pt>
                <c:pt idx="30">
                  <c:v>6.737946999085467E-3</c:v>
                </c:pt>
                <c:pt idx="31">
                  <c:v>6.6045267093148051E-3</c:v>
                </c:pt>
                <c:pt idx="32">
                  <c:v>5.5165644207607716E-3</c:v>
                </c:pt>
                <c:pt idx="33">
                  <c:v>4.5165809426126659E-3</c:v>
                </c:pt>
                <c:pt idx="34">
                  <c:v>3.697863716482929E-3</c:v>
                </c:pt>
                <c:pt idx="35">
                  <c:v>3.0275547453758127E-3</c:v>
                </c:pt>
                <c:pt idx="36">
                  <c:v>2.4787521766663585E-3</c:v>
                </c:pt>
                <c:pt idx="37">
                  <c:v>2.029430636295734E-3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2-43F7-9787-14C59942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5416"/>
        <c:axId val="600708944"/>
      </c:lineChart>
      <c:catAx>
        <c:axId val="6007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944"/>
        <c:crosses val="autoZero"/>
        <c:auto val="1"/>
        <c:lblAlgn val="ctr"/>
        <c:lblOffset val="100"/>
        <c:noMultiLvlLbl val="0"/>
      </c:catAx>
      <c:valAx>
        <c:axId val="600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woody 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FrActWd!$C$1</c:f>
              <c:strCache>
                <c:ptCount val="1"/>
                <c:pt idx="0">
                  <c:v>Activ 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FrActWd!$C$2:$C$39</c:f>
              <c:numCache>
                <c:formatCode>General</c:formatCode>
                <c:ptCount val="38"/>
                <c:pt idx="0">
                  <c:v>0</c:v>
                </c:pt>
                <c:pt idx="1">
                  <c:v>818.73075307798183</c:v>
                </c:pt>
                <c:pt idx="2">
                  <c:v>1340.6400920712786</c:v>
                </c:pt>
                <c:pt idx="3">
                  <c:v>1646.4349082820793</c:v>
                </c:pt>
                <c:pt idx="4">
                  <c:v>1797.3158564688863</c:v>
                </c:pt>
                <c:pt idx="5">
                  <c:v>1839.3972058572117</c:v>
                </c:pt>
                <c:pt idx="6">
                  <c:v>1807.1652714732129</c:v>
                </c:pt>
                <c:pt idx="7">
                  <c:v>1726.1787475912449</c:v>
                </c:pt>
                <c:pt idx="8">
                  <c:v>1615.1721439572432</c:v>
                </c:pt>
                <c:pt idx="9">
                  <c:v>1487.6899939942789</c:v>
                </c:pt>
                <c:pt idx="10">
                  <c:v>1366.8854493778388</c:v>
                </c:pt>
                <c:pt idx="11">
                  <c:v>1353.3528323661271</c:v>
                </c:pt>
                <c:pt idx="12">
                  <c:v>1339.8201973092293</c:v>
                </c:pt>
                <c:pt idx="13">
                  <c:v>1218.8347419856725</c:v>
                </c:pt>
                <c:pt idx="14">
                  <c:v>1088.6154394729501</c:v>
                </c:pt>
                <c:pt idx="15">
                  <c:v>965.55651678634035</c:v>
                </c:pt>
                <c:pt idx="16">
                  <c:v>851.34087675305136</c:v>
                </c:pt>
                <c:pt idx="17">
                  <c:v>746.80602551795914</c:v>
                </c:pt>
                <c:pt idx="18">
                  <c:v>652.19526365385934</c:v>
                </c:pt>
                <c:pt idx="19">
                  <c:v>567.34558932554307</c:v>
                </c:pt>
                <c:pt idx="20">
                  <c:v>491.82700405126604</c:v>
                </c:pt>
                <c:pt idx="21">
                  <c:v>425.04466526714623</c:v>
                </c:pt>
                <c:pt idx="22">
                  <c:v>371.84422282088218</c:v>
                </c:pt>
                <c:pt idx="23">
                  <c:v>366.31277777468358</c:v>
                </c:pt>
                <c:pt idx="24">
                  <c:v>360.85459528400725</c:v>
                </c:pt>
                <c:pt idx="25">
                  <c:v>314.90711323003177</c:v>
                </c:pt>
                <c:pt idx="26">
                  <c:v>270.10147786750559</c:v>
                </c:pt>
                <c:pt idx="27">
                  <c:v>231.19222212657223</c:v>
                </c:pt>
                <c:pt idx="28">
                  <c:v>197.51392917648073</c:v>
                </c:pt>
                <c:pt idx="29">
                  <c:v>171.16415768165658</c:v>
                </c:pt>
                <c:pt idx="30">
                  <c:v>168.44867497713668</c:v>
                </c:pt>
                <c:pt idx="31">
                  <c:v>165.7736204038016</c:v>
                </c:pt>
                <c:pt idx="32">
                  <c:v>143.43067493978006</c:v>
                </c:pt>
                <c:pt idx="33">
                  <c:v>121.94768545054198</c:v>
                </c:pt>
                <c:pt idx="34">
                  <c:v>103.54018406152201</c:v>
                </c:pt>
                <c:pt idx="35">
                  <c:v>87.799087615898571</c:v>
                </c:pt>
                <c:pt idx="36">
                  <c:v>74.362565299990749</c:v>
                </c:pt>
                <c:pt idx="37">
                  <c:v>62.912349725167758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D76-8E1A-74B59871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08960"/>
        <c:axId val="1923601408"/>
      </c:lineChart>
      <c:catAx>
        <c:axId val="187040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01408"/>
        <c:crosses val="autoZero"/>
        <c:auto val="1"/>
        <c:lblAlgn val="ctr"/>
        <c:lblOffset val="100"/>
        <c:noMultiLvlLbl val="0"/>
      </c:catAx>
      <c:valAx>
        <c:axId val="19236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 peak biomass</a:t>
            </a:r>
            <a:r>
              <a:rPr lang="en-US" baseline="0"/>
              <a:t> from FrActWd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FrActWd!$N$1</c:f>
              <c:strCache>
                <c:ptCount val="1"/>
                <c:pt idx="0">
                  <c:v>PeakBiomass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0517060367454069E-2"/>
                  <c:y val="-0.20197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FrActWd!$M$3:$M$8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3.0000000000000001E-5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FrActWd!$N$3:$N$8</c:f>
              <c:numCache>
                <c:formatCode>General</c:formatCode>
                <c:ptCount val="6"/>
                <c:pt idx="0">
                  <c:v>50000</c:v>
                </c:pt>
                <c:pt idx="1">
                  <c:v>33333</c:v>
                </c:pt>
                <c:pt idx="2">
                  <c:v>25000</c:v>
                </c:pt>
                <c:pt idx="3">
                  <c:v>20000</c:v>
                </c:pt>
                <c:pt idx="4">
                  <c:v>10000</c:v>
                </c:pt>
                <c:pt idx="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A-47FE-8076-6CCB509ADA0E}"/>
            </c:ext>
          </c:extLst>
        </c:ser>
        <c:ser>
          <c:idx val="1"/>
          <c:order val="1"/>
          <c:tx>
            <c:strRef>
              <c:f>FrActWd!$Q$1</c:f>
              <c:strCache>
                <c:ptCount val="1"/>
                <c:pt idx="0">
                  <c:v>Predicted peak 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FrActWd!$M$3:$M$8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3.0000000000000001E-5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FrActWd!$Q$3:$Q$8</c:f>
              <c:numCache>
                <c:formatCode>General</c:formatCode>
                <c:ptCount val="6"/>
                <c:pt idx="0">
                  <c:v>49999.999999999993</c:v>
                </c:pt>
                <c:pt idx="1">
                  <c:v>33333.333333333336</c:v>
                </c:pt>
                <c:pt idx="2">
                  <c:v>24999.999999999996</c:v>
                </c:pt>
                <c:pt idx="3">
                  <c:v>20000</c:v>
                </c:pt>
                <c:pt idx="4">
                  <c:v>10000</c:v>
                </c:pt>
                <c:pt idx="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A-47FE-8076-6CCB509A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0416"/>
        <c:axId val="1923662144"/>
      </c:scatterChart>
      <c:valAx>
        <c:axId val="14358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62144"/>
        <c:crosses val="autoZero"/>
        <c:crossBetween val="midCat"/>
      </c:valAx>
      <c:valAx>
        <c:axId val="1923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</a:t>
                </a:r>
                <a:r>
                  <a:rPr lang="en-US"/>
                  <a:t>Woody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EstMod!$I$3:$I$13</c:f>
              <c:numCache>
                <c:formatCode>General</c:formatCode>
                <c:ptCount val="11"/>
                <c:pt idx="0">
                  <c:v>0</c:v>
                </c:pt>
                <c:pt idx="1">
                  <c:v>7.8100589751872729E-4</c:v>
                </c:pt>
                <c:pt idx="2">
                  <c:v>1.2437656054784862E-2</c:v>
                </c:pt>
                <c:pt idx="3">
                  <c:v>6.1699588260176963E-2</c:v>
                </c:pt>
                <c:pt idx="4">
                  <c:v>0.18462730240000003</c:v>
                </c:pt>
                <c:pt idx="5">
                  <c:v>0.40178117853884032</c:v>
                </c:pt>
                <c:pt idx="6">
                  <c:v>0.67740809984384742</c:v>
                </c:pt>
                <c:pt idx="7">
                  <c:v>0.9047517180591802</c:v>
                </c:pt>
                <c:pt idx="8">
                  <c:v>0.99395338239999997</c:v>
                </c:pt>
                <c:pt idx="9">
                  <c:v>0.99975239010000005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B-4401-92AF-997D8E3C8A66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EstMod!$J$3:$J$13</c:f>
              <c:numCache>
                <c:formatCode>General</c:formatCode>
                <c:ptCount val="11"/>
                <c:pt idx="0">
                  <c:v>0</c:v>
                </c:pt>
                <c:pt idx="1">
                  <c:v>4.9999000009681716E-5</c:v>
                </c:pt>
                <c:pt idx="2">
                  <c:v>1.5989763276273994E-3</c:v>
                </c:pt>
                <c:pt idx="3">
                  <c:v>1.2091094314815809E-2</c:v>
                </c:pt>
                <c:pt idx="4">
                  <c:v>5.0162106555248775E-2</c:v>
                </c:pt>
                <c:pt idx="5">
                  <c:v>0.14678481221199036</c:v>
                </c:pt>
                <c:pt idx="6">
                  <c:v>0.33285570895256</c:v>
                </c:pt>
                <c:pt idx="7">
                  <c:v>0.60149485964651572</c:v>
                </c:pt>
                <c:pt idx="8">
                  <c:v>0.86263371484427331</c:v>
                </c:pt>
                <c:pt idx="9">
                  <c:v>0.98848344576282887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B-4401-92AF-997D8E3C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4632"/>
        <c:axId val="600707768"/>
      </c:lineChart>
      <c:catAx>
        <c:axId val="600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Both Reduction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768"/>
        <c:crosses val="autoZero"/>
        <c:auto val="1"/>
        <c:lblAlgn val="ctr"/>
        <c:lblOffset val="100"/>
        <c:noMultiLvlLbl val="0"/>
      </c:catAx>
      <c:valAx>
        <c:axId val="60070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1.6111174808853779</c:v>
                </c:pt>
                <c:pt idx="2">
                  <c:v>2.2784641920444764</c:v>
                </c:pt>
                <c:pt idx="3">
                  <c:v>3.2222349617707553</c:v>
                </c:pt>
                <c:pt idx="4">
                  <c:v>4.5569283840889527</c:v>
                </c:pt>
                <c:pt idx="5">
                  <c:v>6.4444699235415106</c:v>
                </c:pt>
                <c:pt idx="6">
                  <c:v>9.1138567681779055</c:v>
                </c:pt>
                <c:pt idx="7">
                  <c:v>12.888939847083021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7-495C-9693-DCF2638F93D0}"/>
            </c:ext>
          </c:extLst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1.2083381106640332</c:v>
                </c:pt>
                <c:pt idx="1">
                  <c:v>1.7088481440333574</c:v>
                </c:pt>
                <c:pt idx="2">
                  <c:v>2.4166762213280659</c:v>
                </c:pt>
                <c:pt idx="3">
                  <c:v>3.4176962880667152</c:v>
                </c:pt>
                <c:pt idx="4">
                  <c:v>4.8333524426561318</c:v>
                </c:pt>
                <c:pt idx="5">
                  <c:v>6.8353925761334304</c:v>
                </c:pt>
                <c:pt idx="6">
                  <c:v>9.6667048853122637</c:v>
                </c:pt>
                <c:pt idx="7">
                  <c:v>13.670785152266861</c:v>
                </c:pt>
                <c:pt idx="8">
                  <c:v>19.333409770624527</c:v>
                </c:pt>
                <c:pt idx="9">
                  <c:v>27.341570304533718</c:v>
                </c:pt>
                <c:pt idx="10">
                  <c:v>38.666819541249055</c:v>
                </c:pt>
                <c:pt idx="11">
                  <c:v>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7-495C-9693-DCF2638F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712"/>
        <c:axId val="597978832"/>
      </c:lineChart>
      <c:catAx>
        <c:axId val="5979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78832"/>
        <c:crosses val="autoZero"/>
        <c:auto val="1"/>
        <c:lblAlgn val="ctr"/>
        <c:lblOffset val="100"/>
        <c:noMultiLvlLbl val="0"/>
      </c:catAx>
      <c:valAx>
        <c:axId val="59797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reduction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EstMod!$E$1:$E$2</c:f>
              <c:strCache>
                <c:ptCount val="2"/>
                <c:pt idx="0">
                  <c:v>Modified</c:v>
                </c:pt>
                <c:pt idx="1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0-4431-9BC9-C0A109474A02}"/>
            </c:ext>
          </c:extLst>
        </c:ser>
        <c:ser>
          <c:idx val="1"/>
          <c:order val="1"/>
          <c:tx>
            <c:strRef>
              <c:f>EstMod!$F$1:$F$2</c:f>
              <c:strCache>
                <c:ptCount val="2"/>
                <c:pt idx="0">
                  <c:v>Modified</c:v>
                </c:pt>
                <c:pt idx="1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0-4431-9BC9-C0A10947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0120"/>
        <c:axId val="600680328"/>
      </c:lineChart>
      <c:catAx>
        <c:axId val="6007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328"/>
        <c:crosses val="autoZero"/>
        <c:auto val="1"/>
        <c:lblAlgn val="ctr"/>
        <c:lblOffset val="100"/>
        <c:noMultiLvlLbl val="0"/>
      </c:catAx>
      <c:valAx>
        <c:axId val="600680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EstMod!$I$14:$I$24</c:f>
              <c:numCache>
                <c:formatCode>General</c:formatCode>
                <c:ptCount val="11"/>
                <c:pt idx="0">
                  <c:v>0</c:v>
                </c:pt>
                <c:pt idx="1">
                  <c:v>7.5721443630754948E-2</c:v>
                </c:pt>
                <c:pt idx="2">
                  <c:v>0.27580356597900391</c:v>
                </c:pt>
                <c:pt idx="3">
                  <c:v>0.53127990011125803</c:v>
                </c:pt>
                <c:pt idx="4">
                  <c:v>0.7626953125</c:v>
                </c:pt>
                <c:pt idx="5">
                  <c:v>0.91597216669470072</c:v>
                </c:pt>
                <c:pt idx="6">
                  <c:v>0.98397159576416016</c:v>
                </c:pt>
                <c:pt idx="7">
                  <c:v>0.99929277691990137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9-4C44-A8E9-646186E668BC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1.5711704028924411E-2</c:v>
                </c:pt>
                <c:pt idx="2">
                  <c:v>8.6299452272002308E-2</c:v>
                </c:pt>
                <c:pt idx="3">
                  <c:v>0.22334378669281185</c:v>
                </c:pt>
                <c:pt idx="4">
                  <c:v>0.41341289990685182</c:v>
                </c:pt>
                <c:pt idx="5">
                  <c:v>0.62191601475488401</c:v>
                </c:pt>
                <c:pt idx="6">
                  <c:v>0.80496453818258329</c:v>
                </c:pt>
                <c:pt idx="7">
                  <c:v>0.92848540045729167</c:v>
                </c:pt>
                <c:pt idx="8">
                  <c:v>0.98571044020355092</c:v>
                </c:pt>
                <c:pt idx="9">
                  <c:v>0.99933414613362181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9-4C44-A8E9-646186E6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9344"/>
        <c:axId val="600678760"/>
      </c:lineChart>
      <c:catAx>
        <c:axId val="6006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 (given fWater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60"/>
        <c:crosses val="autoZero"/>
        <c:auto val="1"/>
        <c:lblAlgn val="ctr"/>
        <c:lblOffset val="100"/>
        <c:noMultiLvlLbl val="0"/>
      </c:catAx>
      <c:valAx>
        <c:axId val="60067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AdjFolN!$G$2</c:f>
              <c:strCache>
                <c:ptCount val="1"/>
                <c:pt idx="0">
                  <c:v>ModAdjFolN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AdjFolN!$G$3:$G$13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2.3003999999999998</c:v>
                </c:pt>
                <c:pt idx="2">
                  <c:v>2.3031999999999999</c:v>
                </c:pt>
                <c:pt idx="3">
                  <c:v>2.3108</c:v>
                </c:pt>
                <c:pt idx="4">
                  <c:v>2.3255999999999997</c:v>
                </c:pt>
                <c:pt idx="5">
                  <c:v>2.3499999999999996</c:v>
                </c:pt>
                <c:pt idx="6">
                  <c:v>2.3864000000000001</c:v>
                </c:pt>
                <c:pt idx="7">
                  <c:v>2.4371999999999998</c:v>
                </c:pt>
                <c:pt idx="8">
                  <c:v>2.5047999999999999</c:v>
                </c:pt>
                <c:pt idx="9">
                  <c:v>2.5916000000000001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8-4086-A652-CDD4A77C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9152"/>
        <c:axId val="600679936"/>
      </c:lineChart>
      <c:catAx>
        <c:axId val="6006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936"/>
        <c:crosses val="autoZero"/>
        <c:auto val="1"/>
        <c:lblAlgn val="ctr"/>
        <c:lblOffset val="100"/>
        <c:noMultiLvlLbl val="0"/>
      </c:catAx>
      <c:valAx>
        <c:axId val="60067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ModAdjFolN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Deciduous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AdjFracFol!$C$16:$C$20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F-41EF-9D29-2CA7ADBC54C8}"/>
            </c:ext>
          </c:extLst>
        </c:ser>
        <c:ser>
          <c:idx val="1"/>
          <c:order val="1"/>
          <c:tx>
            <c:strRef>
              <c:f>AdjFracFol!$D$15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AdjFracFol!$D$16:$D$20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F-41EF-9D29-2CA7ADBC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6600"/>
        <c:axId val="600680720"/>
      </c:lineChart>
      <c:catAx>
        <c:axId val="6006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720"/>
        <c:crosses val="autoZero"/>
        <c:auto val="1"/>
        <c:lblAlgn val="ctr"/>
        <c:lblOffset val="100"/>
        <c:noMultiLvlLbl val="0"/>
      </c:catAx>
      <c:valAx>
        <c:axId val="6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FracFol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AdjFracFol!$G$1</c:f>
              <c:strCache>
                <c:ptCount val="1"/>
                <c:pt idx="0">
                  <c:v>AdjFracFol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AdjFracFol!$A$2:$A$12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AdjFracFol!$G$2:$G$12</c:f>
              <c:numCache>
                <c:formatCode>General</c:formatCode>
                <c:ptCount val="11"/>
                <c:pt idx="0">
                  <c:v>7.1999999999999995E-2</c:v>
                </c:pt>
                <c:pt idx="1">
                  <c:v>7.2000000799999991E-2</c:v>
                </c:pt>
                <c:pt idx="2">
                  <c:v>7.2000102399999988E-2</c:v>
                </c:pt>
                <c:pt idx="3">
                  <c:v>7.2001749599999998E-2</c:v>
                </c:pt>
                <c:pt idx="4">
                  <c:v>7.2013107199999996E-2</c:v>
                </c:pt>
                <c:pt idx="5">
                  <c:v>7.2062500000000002E-2</c:v>
                </c:pt>
                <c:pt idx="6">
                  <c:v>7.2223948799999993E-2</c:v>
                </c:pt>
                <c:pt idx="7">
                  <c:v>7.2658834399999997E-2</c:v>
                </c:pt>
                <c:pt idx="8">
                  <c:v>7.3677721599999996E-2</c:v>
                </c:pt>
                <c:pt idx="9">
                  <c:v>7.5826375200000004E-2</c:v>
                </c:pt>
                <c:pt idx="1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9-49DE-A930-5B0E0844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4640"/>
        <c:axId val="600686208"/>
      </c:lineChart>
      <c:catAx>
        <c:axId val="6006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208"/>
        <c:crosses val="autoZero"/>
        <c:auto val="1"/>
        <c:lblAlgn val="ctr"/>
        <c:lblOffset val="100"/>
        <c:noMultiLvlLbl val="0"/>
      </c:catAx>
      <c:valAx>
        <c:axId val="60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CO2HalfSatEff!$C$1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CO2HalfSatEff!$C$7:$C$21</c:f>
              <c:numCache>
                <c:formatCode>General</c:formatCode>
                <c:ptCount val="15"/>
                <c:pt idx="0">
                  <c:v>304.5</c:v>
                </c:pt>
                <c:pt idx="1">
                  <c:v>302</c:v>
                </c:pt>
                <c:pt idx="2">
                  <c:v>299.5</c:v>
                </c:pt>
                <c:pt idx="3">
                  <c:v>297</c:v>
                </c:pt>
                <c:pt idx="4">
                  <c:v>294.5</c:v>
                </c:pt>
                <c:pt idx="5">
                  <c:v>292</c:v>
                </c:pt>
                <c:pt idx="6">
                  <c:v>289.5</c:v>
                </c:pt>
                <c:pt idx="7">
                  <c:v>287</c:v>
                </c:pt>
                <c:pt idx="8">
                  <c:v>284.5</c:v>
                </c:pt>
                <c:pt idx="9">
                  <c:v>282</c:v>
                </c:pt>
                <c:pt idx="10">
                  <c:v>279.5</c:v>
                </c:pt>
                <c:pt idx="11">
                  <c:v>277</c:v>
                </c:pt>
                <c:pt idx="12">
                  <c:v>274.5</c:v>
                </c:pt>
                <c:pt idx="13">
                  <c:v>272</c:v>
                </c:pt>
                <c:pt idx="14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2-467E-9DD2-AFCB8F6D9DC6}"/>
            </c:ext>
          </c:extLst>
        </c:ser>
        <c:ser>
          <c:idx val="1"/>
          <c:order val="1"/>
          <c:tx>
            <c:strRef>
              <c:f>CO2HalfSatEff!$D$1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CO2HalfSatEff!$D$7:$D$21</c:f>
              <c:numCache>
                <c:formatCode>General</c:formatCode>
                <c:ptCount val="15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2-467E-9DD2-AFCB8F6D9DC6}"/>
            </c:ext>
          </c:extLst>
        </c:ser>
        <c:ser>
          <c:idx val="2"/>
          <c:order val="2"/>
          <c:tx>
            <c:strRef>
              <c:f>CO2HalfSatEff!$E$1</c:f>
              <c:strCache>
                <c:ptCount val="1"/>
                <c:pt idx="0">
                  <c:v>Species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CO2HalfSatEff!$E$7:$E$21</c:f>
              <c:numCache>
                <c:formatCode>General</c:formatCode>
                <c:ptCount val="15"/>
                <c:pt idx="0">
                  <c:v>202.5</c:v>
                </c:pt>
                <c:pt idx="1">
                  <c:v>201</c:v>
                </c:pt>
                <c:pt idx="2">
                  <c:v>199.5</c:v>
                </c:pt>
                <c:pt idx="3">
                  <c:v>198</c:v>
                </c:pt>
                <c:pt idx="4">
                  <c:v>196.5</c:v>
                </c:pt>
                <c:pt idx="5">
                  <c:v>195</c:v>
                </c:pt>
                <c:pt idx="6">
                  <c:v>193.5</c:v>
                </c:pt>
                <c:pt idx="7">
                  <c:v>192</c:v>
                </c:pt>
                <c:pt idx="8">
                  <c:v>190.5</c:v>
                </c:pt>
                <c:pt idx="9">
                  <c:v>189</c:v>
                </c:pt>
                <c:pt idx="10">
                  <c:v>187.5</c:v>
                </c:pt>
                <c:pt idx="11">
                  <c:v>186</c:v>
                </c:pt>
                <c:pt idx="12">
                  <c:v>184.5</c:v>
                </c:pt>
                <c:pt idx="13">
                  <c:v>183</c:v>
                </c:pt>
                <c:pt idx="14">
                  <c:v>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2-467E-9DD2-AFCB8F6D9DC6}"/>
            </c:ext>
          </c:extLst>
        </c:ser>
        <c:ser>
          <c:idx val="3"/>
          <c:order val="3"/>
          <c:tx>
            <c:strRef>
              <c:f>CO2HalfSatEff!$F$1</c:f>
              <c:strCache>
                <c:ptCount val="1"/>
                <c:pt idx="0">
                  <c:v>Species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CO2HalfSatEff!$F$7:$F$21</c:f>
              <c:numCache>
                <c:formatCode>General</c:formatCode>
                <c:ptCount val="15"/>
                <c:pt idx="0">
                  <c:v>152</c:v>
                </c:pt>
                <c:pt idx="1">
                  <c:v>151</c:v>
                </c:pt>
                <c:pt idx="2">
                  <c:v>150</c:v>
                </c:pt>
                <c:pt idx="3">
                  <c:v>149</c:v>
                </c:pt>
                <c:pt idx="4">
                  <c:v>148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144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140</c:v>
                </c:pt>
                <c:pt idx="13">
                  <c:v>139</c:v>
                </c:pt>
                <c:pt idx="1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2-467E-9DD2-AFCB8F6D9DC6}"/>
            </c:ext>
          </c:extLst>
        </c:ser>
        <c:ser>
          <c:idx val="4"/>
          <c:order val="4"/>
          <c:tx>
            <c:strRef>
              <c:f>CO2HalfSatEff!$G$1</c:f>
              <c:strCache>
                <c:ptCount val="1"/>
                <c:pt idx="0">
                  <c:v>Species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CO2HalfSatEff!$G$7:$G$21</c:f>
              <c:numCache>
                <c:formatCode>General</c:formatCode>
                <c:ptCount val="15"/>
                <c:pt idx="0">
                  <c:v>101.9</c:v>
                </c:pt>
                <c:pt idx="1">
                  <c:v>101.4</c:v>
                </c:pt>
                <c:pt idx="2">
                  <c:v>100.9</c:v>
                </c:pt>
                <c:pt idx="3">
                  <c:v>100.4</c:v>
                </c:pt>
                <c:pt idx="4">
                  <c:v>99.9</c:v>
                </c:pt>
                <c:pt idx="5">
                  <c:v>99.4</c:v>
                </c:pt>
                <c:pt idx="6">
                  <c:v>98.9</c:v>
                </c:pt>
                <c:pt idx="7">
                  <c:v>98.4</c:v>
                </c:pt>
                <c:pt idx="8">
                  <c:v>97.9</c:v>
                </c:pt>
                <c:pt idx="9">
                  <c:v>97.4</c:v>
                </c:pt>
                <c:pt idx="10">
                  <c:v>96.9</c:v>
                </c:pt>
                <c:pt idx="11">
                  <c:v>96.4</c:v>
                </c:pt>
                <c:pt idx="12">
                  <c:v>95.9</c:v>
                </c:pt>
                <c:pt idx="13">
                  <c:v>95.4</c:v>
                </c:pt>
                <c:pt idx="14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2-467E-9DD2-AFCB8F6D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384"/>
        <c:axId val="600679544"/>
      </c:lineChart>
      <c:catAx>
        <c:axId val="6006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544"/>
        <c:crosses val="autoZero"/>
        <c:auto val="1"/>
        <c:lblAlgn val="ctr"/>
        <c:lblOffset val="100"/>
        <c:noMultiLvlLbl val="0"/>
      </c:catAx>
      <c:valAx>
        <c:axId val="600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MaxLAI!$BF$62:$BF$74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MaxLAI!$BG$62:$BG$74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0.86375819570411927</c:v>
                </c:pt>
                <c:pt idx="5">
                  <c:v>0.579697744630149</c:v>
                </c:pt>
                <c:pt idx="6">
                  <c:v>0.29563729355617885</c:v>
                </c:pt>
                <c:pt idx="7">
                  <c:v>1.1576842482208693E-2</c:v>
                </c:pt>
                <c:pt idx="8">
                  <c:v>-0.27248360859176146</c:v>
                </c:pt>
                <c:pt idx="9">
                  <c:v>-0.55654405966573162</c:v>
                </c:pt>
                <c:pt idx="10">
                  <c:v>-0.84060451073970177</c:v>
                </c:pt>
                <c:pt idx="11">
                  <c:v>-1.1246649618136719</c:v>
                </c:pt>
                <c:pt idx="12">
                  <c:v>-1.4087254128876423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B-484F-861F-6D80C166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LAI.pot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MaxLAI!$E$4:$E$54</c:f>
              <c:numCache>
                <c:formatCode>General</c:formatCode>
                <c:ptCount val="51"/>
                <c:pt idx="0">
                  <c:v>1.7382579705257895</c:v>
                </c:pt>
                <c:pt idx="1">
                  <c:v>1.8948720606940062</c:v>
                </c:pt>
                <c:pt idx="2">
                  <c:v>2.0914321614657867</c:v>
                </c:pt>
                <c:pt idx="3">
                  <c:v>2.2836371015072934</c:v>
                </c:pt>
                <c:pt idx="4">
                  <c:v>2.4673917802509697</c:v>
                </c:pt>
                <c:pt idx="5">
                  <c:v>2.6378532988855379</c:v>
                </c:pt>
                <c:pt idx="6">
                  <c:v>2.7908286717079704</c:v>
                </c:pt>
                <c:pt idx="7">
                  <c:v>2.9230871242581999</c:v>
                </c:pt>
                <c:pt idx="8">
                  <c:v>3.0325700159114013</c:v>
                </c:pt>
                <c:pt idx="9">
                  <c:v>3.1184503147965859</c:v>
                </c:pt>
                <c:pt idx="10">
                  <c:v>3.1810493246767741</c:v>
                </c:pt>
                <c:pt idx="11">
                  <c:v>3.2216447369239387</c:v>
                </c:pt>
                <c:pt idx="12">
                  <c:v>3.2422179013134289</c:v>
                </c:pt>
                <c:pt idx="13">
                  <c:v>3.2451879513353403</c:v>
                </c:pt>
                <c:pt idx="14">
                  <c:v>3.2331699246826138</c:v>
                </c:pt>
                <c:pt idx="15">
                  <c:v>3.2087791348506198</c:v>
                </c:pt>
                <c:pt idx="16">
                  <c:v>3.174489882085505</c:v>
                </c:pt>
                <c:pt idx="17">
                  <c:v>3.1325460940825018</c:v>
                </c:pt>
                <c:pt idx="18">
                  <c:v>3.0849154349788872</c:v>
                </c:pt>
                <c:pt idx="19">
                  <c:v>3.0332761596155304</c:v>
                </c:pt>
                <c:pt idx="20">
                  <c:v>2.979026286850496</c:v>
                </c:pt>
                <c:pt idx="21">
                  <c:v>2.9233063155793659</c:v>
                </c:pt>
                <c:pt idx="22">
                  <c:v>2.8670288127144259</c:v>
                </c:pt>
                <c:pt idx="23">
                  <c:v>2.8109102217077999</c:v>
                </c:pt>
                <c:pt idx="24">
                  <c:v>2.7555019174506081</c:v>
                </c:pt>
                <c:pt idx="25">
                  <c:v>2.7012187992396237</c:v>
                </c:pt>
                <c:pt idx="26">
                  <c:v>2.648364598995002</c:v>
                </c:pt>
                <c:pt idx="27">
                  <c:v>2.5971536591817044</c:v>
                </c:pt>
                <c:pt idx="28">
                  <c:v>2.547729283024847</c:v>
                </c:pt>
                <c:pt idx="29">
                  <c:v>2.5001789483481272</c:v>
                </c:pt>
                <c:pt idx="30">
                  <c:v>2.4545467605633169</c:v>
                </c:pt>
                <c:pt idx="31">
                  <c:v>2.4108435400361996</c:v>
                </c:pt>
                <c:pt idx="32">
                  <c:v>2.3690549218476873</c:v>
                </c:pt>
                <c:pt idx="33">
                  <c:v>2.3291478099570408</c:v>
                </c:pt>
                <c:pt idx="34">
                  <c:v>2.2910754842524796</c:v>
                </c:pt>
                <c:pt idx="35">
                  <c:v>2.2547816145972952</c:v>
                </c:pt>
                <c:pt idx="36">
                  <c:v>2.2202033943655226</c:v>
                </c:pt>
                <c:pt idx="37">
                  <c:v>2.1872739688235758</c:v>
                </c:pt>
                <c:pt idx="38">
                  <c:v>2.1559243016238128</c:v>
                </c:pt>
                <c:pt idx="39">
                  <c:v>2.1260845955584649</c:v>
                </c:pt>
                <c:pt idx="40">
                  <c:v>2.0976853611710631</c:v>
                </c:pt>
                <c:pt idx="41">
                  <c:v>2.070658208288727</c:v>
                </c:pt>
                <c:pt idx="42">
                  <c:v>2.044936420440842</c:v>
                </c:pt>
                <c:pt idx="43">
                  <c:v>2.0204553599133463</c:v>
                </c:pt>
                <c:pt idx="44">
                  <c:v>1.9971527413540755</c:v>
                </c:pt>
                <c:pt idx="45">
                  <c:v>1.9749688039602489</c:v>
                </c:pt>
                <c:pt idx="46">
                  <c:v>1.9538464059776619</c:v>
                </c:pt>
                <c:pt idx="47">
                  <c:v>1.9337310602170736</c:v>
                </c:pt>
                <c:pt idx="48">
                  <c:v>1.9145709252958478</c:v>
                </c:pt>
                <c:pt idx="49">
                  <c:v>1.8963167641375065</c:v>
                </c:pt>
                <c:pt idx="50">
                  <c:v>1.8789218787432229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BD-B9FE-BBDDED8B4725}"/>
            </c:ext>
          </c:extLst>
        </c:ser>
        <c:ser>
          <c:idx val="1"/>
          <c:order val="1"/>
          <c:tx>
            <c:strRef>
              <c:f>MaxLAI!$T$2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MaxLAI!$X$4:$X$54</c:f>
              <c:numCache>
                <c:formatCode>General</c:formatCode>
                <c:ptCount val="51"/>
                <c:pt idx="0">
                  <c:v>1.2742541772321234</c:v>
                </c:pt>
                <c:pt idx="1">
                  <c:v>1.4570892063726402</c:v>
                </c:pt>
                <c:pt idx="2">
                  <c:v>1.6317432095653917</c:v>
                </c:pt>
                <c:pt idx="3">
                  <c:v>1.7640579194403798</c:v>
                </c:pt>
                <c:pt idx="4">
                  <c:v>1.8469851426574069</c:v>
                </c:pt>
                <c:pt idx="5">
                  <c:v>1.8816521236275272</c:v>
                </c:pt>
                <c:pt idx="6">
                  <c:v>1.8755501705732471</c:v>
                </c:pt>
                <c:pt idx="7">
                  <c:v>1.839086272154359</c:v>
                </c:pt>
                <c:pt idx="8">
                  <c:v>1.782616426113367</c:v>
                </c:pt>
                <c:pt idx="9">
                  <c:v>1.7147671607251544</c:v>
                </c:pt>
                <c:pt idx="10">
                  <c:v>1.6419249074997027</c:v>
                </c:pt>
                <c:pt idx="11">
                  <c:v>1.5684140928175843</c:v>
                </c:pt>
                <c:pt idx="12">
                  <c:v>1.4969402420178644</c:v>
                </c:pt>
                <c:pt idx="13">
                  <c:v>1.4290527265913577</c:v>
                </c:pt>
                <c:pt idx="14">
                  <c:v>1.3655268593227263</c:v>
                </c:pt>
                <c:pt idx="15">
                  <c:v>1.3066453236699438</c:v>
                </c:pt>
                <c:pt idx="16">
                  <c:v>1.2523920312000068</c:v>
                </c:pt>
                <c:pt idx="17">
                  <c:v>1.2025798991071064</c:v>
                </c:pt>
                <c:pt idx="18">
                  <c:v>1.1569323485794958</c:v>
                </c:pt>
                <c:pt idx="19">
                  <c:v>1.1151337974471611</c:v>
                </c:pt>
                <c:pt idx="20">
                  <c:v>1.076859971914502</c:v>
                </c:pt>
                <c:pt idx="21">
                  <c:v>1.0417953564731004</c:v>
                </c:pt>
                <c:pt idx="22">
                  <c:v>1.0096425920415462</c:v>
                </c:pt>
                <c:pt idx="23">
                  <c:v>0.98012692579885818</c:v>
                </c:pt>
                <c:pt idx="24">
                  <c:v>0.95299768898339776</c:v>
                </c:pt>
                <c:pt idx="25">
                  <c:v>0.92802804753308088</c:v>
                </c:pt>
                <c:pt idx="26">
                  <c:v>0.90501380119394603</c:v>
                </c:pt>
                <c:pt idx="27">
                  <c:v>0.88377170799848748</c:v>
                </c:pt>
                <c:pt idx="28">
                  <c:v>0.86413762203087396</c:v>
                </c:pt>
                <c:pt idx="29">
                  <c:v>0.84596461358075892</c:v>
                </c:pt>
                <c:pt idx="30">
                  <c:v>0.82912116665225599</c:v>
                </c:pt>
                <c:pt idx="31">
                  <c:v>0.81348950302061351</c:v>
                </c:pt>
                <c:pt idx="32">
                  <c:v>0.79896405420109062</c:v>
                </c:pt>
                <c:pt idx="33">
                  <c:v>0.78545008617646783</c:v>
                </c:pt>
                <c:pt idx="34">
                  <c:v>0.7728624722974774</c:v>
                </c:pt>
                <c:pt idx="35">
                  <c:v>0.76112460473832144</c:v>
                </c:pt>
                <c:pt idx="36">
                  <c:v>0.75016743255233431</c:v>
                </c:pt>
                <c:pt idx="37">
                  <c:v>0.73992861365166473</c:v>
                </c:pt>
                <c:pt idx="38">
                  <c:v>0.73035176824994119</c:v>
                </c:pt>
                <c:pt idx="39">
                  <c:v>0.72138582203373625</c:v>
                </c:pt>
                <c:pt idx="40">
                  <c:v>0.71298442830517883</c:v>
                </c:pt>
                <c:pt idx="41">
                  <c:v>0.70510545940577241</c:v>
                </c:pt>
                <c:pt idx="42">
                  <c:v>0.69771055879724264</c:v>
                </c:pt>
                <c:pt idx="43">
                  <c:v>0.69076474618715045</c:v>
                </c:pt>
                <c:pt idx="44">
                  <c:v>0.68423606901875</c:v>
                </c:pt>
                <c:pt idx="45">
                  <c:v>0.67809529448541483</c:v>
                </c:pt>
                <c:pt idx="46">
                  <c:v>0.67231563697847818</c:v>
                </c:pt>
                <c:pt idx="47">
                  <c:v>0.66687251653735402</c:v>
                </c:pt>
                <c:pt idx="48">
                  <c:v>0.66174334444891769</c:v>
                </c:pt>
                <c:pt idx="49">
                  <c:v>0.65690733264711343</c:v>
                </c:pt>
                <c:pt idx="50">
                  <c:v>0.65234532400169665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BD-B9FE-BBDDED8B4725}"/>
            </c:ext>
          </c:extLst>
        </c:ser>
        <c:ser>
          <c:idx val="2"/>
          <c:order val="2"/>
          <c:tx>
            <c:strRef>
              <c:f>MaxLAI!$AV$3</c:f>
              <c:strCache>
                <c:ptCount val="1"/>
                <c:pt idx="0">
                  <c:v>LAIsum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MaxLAI!$AV$4:$AV$54</c:f>
              <c:numCache>
                <c:formatCode>General</c:formatCode>
                <c:ptCount val="51"/>
                <c:pt idx="0">
                  <c:v>3.0125121477579127</c:v>
                </c:pt>
                <c:pt idx="1">
                  <c:v>3.3519612670666463</c:v>
                </c:pt>
                <c:pt idx="2">
                  <c:v>3.7231753710311786</c:v>
                </c:pt>
                <c:pt idx="3">
                  <c:v>4.047695020947673</c:v>
                </c:pt>
                <c:pt idx="4">
                  <c:v>4.3143769229083766</c:v>
                </c:pt>
                <c:pt idx="5">
                  <c:v>4.5195054225130651</c:v>
                </c:pt>
                <c:pt idx="6">
                  <c:v>4.6663788422812171</c:v>
                </c:pt>
                <c:pt idx="7">
                  <c:v>4.7621733964125585</c:v>
                </c:pt>
                <c:pt idx="8">
                  <c:v>4.8151864420247685</c:v>
                </c:pt>
                <c:pt idx="9">
                  <c:v>4.8332174755217405</c:v>
                </c:pt>
                <c:pt idx="10">
                  <c:v>4.8229742321764766</c:v>
                </c:pt>
                <c:pt idx="11">
                  <c:v>4.7900588297415228</c:v>
                </c:pt>
                <c:pt idx="12">
                  <c:v>4.7391581433312933</c:v>
                </c:pt>
                <c:pt idx="13">
                  <c:v>4.6742406779266981</c:v>
                </c:pt>
                <c:pt idx="14">
                  <c:v>4.5986967840053401</c:v>
                </c:pt>
                <c:pt idx="15">
                  <c:v>4.5154244585205632</c:v>
                </c:pt>
                <c:pt idx="16">
                  <c:v>4.4268819132855119</c:v>
                </c:pt>
                <c:pt idx="17">
                  <c:v>4.3351259931896085</c:v>
                </c:pt>
                <c:pt idx="18">
                  <c:v>4.2418477835583825</c:v>
                </c:pt>
                <c:pt idx="19">
                  <c:v>4.1484099570626913</c:v>
                </c:pt>
                <c:pt idx="20">
                  <c:v>4.055886258764998</c:v>
                </c:pt>
                <c:pt idx="21">
                  <c:v>3.9651016720524663</c:v>
                </c:pt>
                <c:pt idx="22">
                  <c:v>3.8766714047559718</c:v>
                </c:pt>
                <c:pt idx="23">
                  <c:v>3.7910371475066582</c:v>
                </c:pt>
                <c:pt idx="24">
                  <c:v>3.7084996064340059</c:v>
                </c:pt>
                <c:pt idx="25">
                  <c:v>3.6292468467727046</c:v>
                </c:pt>
                <c:pt idx="26">
                  <c:v>3.5533784001889481</c:v>
                </c:pt>
                <c:pt idx="27">
                  <c:v>3.4809253671801921</c:v>
                </c:pt>
                <c:pt idx="28">
                  <c:v>3.4118669050557209</c:v>
                </c:pt>
                <c:pt idx="29">
                  <c:v>3.3461435619288862</c:v>
                </c:pt>
                <c:pt idx="30">
                  <c:v>3.2836679272155731</c:v>
                </c:pt>
                <c:pt idx="31">
                  <c:v>3.2243330430568129</c:v>
                </c:pt>
                <c:pt idx="32">
                  <c:v>3.1680189760487778</c:v>
                </c:pt>
                <c:pt idx="33">
                  <c:v>3.1145978961335086</c:v>
                </c:pt>
                <c:pt idx="34">
                  <c:v>3.0639379565499572</c:v>
                </c:pt>
                <c:pt idx="35">
                  <c:v>3.0159062193356165</c:v>
                </c:pt>
                <c:pt idx="36">
                  <c:v>2.9703708269178568</c:v>
                </c:pt>
                <c:pt idx="37">
                  <c:v>2.9272025824752408</c:v>
                </c:pt>
                <c:pt idx="38">
                  <c:v>2.886276069873754</c:v>
                </c:pt>
                <c:pt idx="39">
                  <c:v>2.8474704175922012</c:v>
                </c:pt>
                <c:pt idx="40">
                  <c:v>2.810669789476242</c:v>
                </c:pt>
                <c:pt idx="41">
                  <c:v>2.7757636676944992</c:v>
                </c:pt>
                <c:pt idx="42">
                  <c:v>2.7426469792380845</c:v>
                </c:pt>
                <c:pt idx="43">
                  <c:v>2.7112201061004968</c:v>
                </c:pt>
                <c:pt idx="44">
                  <c:v>2.6813888103728254</c:v>
                </c:pt>
                <c:pt idx="45">
                  <c:v>2.6530640984456637</c:v>
                </c:pt>
                <c:pt idx="46">
                  <c:v>2.6261620429561399</c:v>
                </c:pt>
                <c:pt idx="47">
                  <c:v>2.6006035767544278</c:v>
                </c:pt>
                <c:pt idx="48">
                  <c:v>2.5763142697447656</c:v>
                </c:pt>
                <c:pt idx="49">
                  <c:v>2.55322409678462</c:v>
                </c:pt>
                <c:pt idx="50">
                  <c:v>2.5312672027449197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9-42D7-BD26-9E730164C465}"/>
            </c:ext>
          </c:extLst>
        </c:ser>
        <c:ser>
          <c:idx val="3"/>
          <c:order val="3"/>
          <c:tx>
            <c:strRef>
              <c:f>MaxLAI!$BD$3</c:f>
              <c:strCache>
                <c:ptCount val="1"/>
                <c:pt idx="0">
                  <c:v>WeightedLAI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MaxLAI!$BD$4:$BD$54</c:f>
              <c:numCache>
                <c:formatCode>General</c:formatCode>
                <c:ptCount val="51"/>
                <c:pt idx="0">
                  <c:v>1.4792715267891334</c:v>
                </c:pt>
                <c:pt idx="1">
                  <c:v>1.6453742712535719</c:v>
                </c:pt>
                <c:pt idx="2">
                  <c:v>1.827816540984359</c:v>
                </c:pt>
                <c:pt idx="3">
                  <c:v>1.9869422915618831</c:v>
                </c:pt>
                <c:pt idx="4">
                  <c:v>2.1179120440325354</c:v>
                </c:pt>
                <c:pt idx="5">
                  <c:v>2.2208728654819163</c:v>
                </c:pt>
                <c:pt idx="6">
                  <c:v>2.2996664088424268</c:v>
                </c:pt>
                <c:pt idx="7">
                  <c:v>2.3591931084112128</c:v>
                </c:pt>
                <c:pt idx="8">
                  <c:v>2.4035699115318305</c:v>
                </c:pt>
                <c:pt idx="9">
                  <c:v>2.4355031402681058</c:v>
                </c:pt>
                <c:pt idx="10">
                  <c:v>2.456508265242491</c:v>
                </c:pt>
                <c:pt idx="11">
                  <c:v>2.4674299700692952</c:v>
                </c:pt>
                <c:pt idx="12">
                  <c:v>2.4689029096782731</c:v>
                </c:pt>
                <c:pt idx="13">
                  <c:v>2.4616254669049984</c:v>
                </c:pt>
                <c:pt idx="14">
                  <c:v>2.4464594749223241</c:v>
                </c:pt>
                <c:pt idx="15">
                  <c:v>2.4244181088016576</c:v>
                </c:pt>
                <c:pt idx="16">
                  <c:v>2.396602372731925</c:v>
                </c:pt>
                <c:pt idx="17">
                  <c:v>2.3641272891083092</c:v>
                </c:pt>
                <c:pt idx="18">
                  <c:v>2.328059382678568</c:v>
                </c:pt>
                <c:pt idx="19">
                  <c:v>2.2893732307553121</c:v>
                </c:pt>
                <c:pt idx="20">
                  <c:v>2.2489269957046911</c:v>
                </c:pt>
                <c:pt idx="21">
                  <c:v>2.2074533589541323</c:v>
                </c:pt>
                <c:pt idx="22">
                  <c:v>2.1655613834260325</c:v>
                </c:pt>
                <c:pt idx="23">
                  <c:v>2.1237452316097643</c:v>
                </c:pt>
                <c:pt idx="24">
                  <c:v>2.0823965474872859</c:v>
                </c:pt>
                <c:pt idx="25">
                  <c:v>2.0418182422592435</c:v>
                </c:pt>
                <c:pt idx="26">
                  <c:v>2.0022382187580323</c:v>
                </c:pt>
                <c:pt idx="27">
                  <c:v>1.963822174021939</c:v>
                </c:pt>
                <c:pt idx="28">
                  <c:v>1.9266850439593093</c:v>
                </c:pt>
                <c:pt idx="29">
                  <c:v>1.8909009324144412</c:v>
                </c:pt>
                <c:pt idx="30">
                  <c:v>1.8565115370763836</c:v>
                </c:pt>
                <c:pt idx="31">
                  <c:v>1.8235331795785841</c:v>
                </c:pt>
                <c:pt idx="32">
                  <c:v>1.7919625925384657</c:v>
                </c:pt>
                <c:pt idx="33">
                  <c:v>1.761781630822457</c:v>
                </c:pt>
                <c:pt idx="34">
                  <c:v>1.7329610708155179</c:v>
                </c:pt>
                <c:pt idx="35">
                  <c:v>1.7054636483622947</c:v>
                </c:pt>
                <c:pt idx="36">
                  <c:v>1.6792464686482742</c:v>
                </c:pt>
                <c:pt idx="37">
                  <c:v>1.6542629027971609</c:v>
                </c:pt>
                <c:pt idx="38">
                  <c:v>1.6304640681723137</c:v>
                </c:pt>
                <c:pt idx="39">
                  <c:v>1.6077999731969272</c:v>
                </c:pt>
                <c:pt idx="40">
                  <c:v>1.5862203933200574</c:v>
                </c:pt>
                <c:pt idx="41">
                  <c:v>1.5656755326095073</c:v>
                </c:pt>
                <c:pt idx="42">
                  <c:v>1.5461165152328389</c:v>
                </c:pt>
                <c:pt idx="43">
                  <c:v>1.5109363089480627</c:v>
                </c:pt>
                <c:pt idx="44">
                  <c:v>1.4773286908009997</c:v>
                </c:pt>
                <c:pt idx="45">
                  <c:v>1.4457410009922131</c:v>
                </c:pt>
                <c:pt idx="46">
                  <c:v>1.4160318679211452</c:v>
                </c:pt>
                <c:pt idx="47">
                  <c:v>1.3880708730485871</c:v>
                </c:pt>
                <c:pt idx="48">
                  <c:v>1.3617377105060589</c:v>
                </c:pt>
                <c:pt idx="49">
                  <c:v>1.3369213921093488</c:v>
                </c:pt>
                <c:pt idx="50">
                  <c:v>1.3135195016317904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9-42D7-BD26-9E730164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MaxLAI!$S$4:$S$54</c:f>
              <c:numCache>
                <c:formatCode>General</c:formatCode>
                <c:ptCount val="51"/>
                <c:pt idx="0">
                  <c:v>1767.376495797356</c:v>
                </c:pt>
                <c:pt idx="1">
                  <c:v>1986.7921214155194</c:v>
                </c:pt>
                <c:pt idx="2">
                  <c:v>2268.8653346022734</c:v>
                </c:pt>
                <c:pt idx="3">
                  <c:v>2611.6392335630885</c:v>
                </c:pt>
                <c:pt idx="4">
                  <c:v>3023.8071959578247</c:v>
                </c:pt>
                <c:pt idx="5">
                  <c:v>3509.5634328704577</c:v>
                </c:pt>
                <c:pt idx="6">
                  <c:v>4068.3663024527905</c:v>
                </c:pt>
                <c:pt idx="7">
                  <c:v>4695.0349360821092</c:v>
                </c:pt>
                <c:pt idx="8">
                  <c:v>5380.6559221782818</c:v>
                </c:pt>
                <c:pt idx="9">
                  <c:v>6113.9071582611969</c:v>
                </c:pt>
                <c:pt idx="10">
                  <c:v>6882.4120242345462</c:v>
                </c:pt>
                <c:pt idx="11">
                  <c:v>7673.8681022267492</c:v>
                </c:pt>
                <c:pt idx="12">
                  <c:v>8476.8486723850838</c:v>
                </c:pt>
                <c:pt idx="13">
                  <c:v>9281.2834645070834</c:v>
                </c:pt>
                <c:pt idx="14">
                  <c:v>10078.677894188333</c:v>
                </c:pt>
                <c:pt idx="15">
                  <c:v>10862.143904399372</c:v>
                </c:pt>
                <c:pt idx="16">
                  <c:v>11626.309301392846</c:v>
                </c:pt>
                <c:pt idx="17">
                  <c:v>12367.15868323233</c:v>
                </c:pt>
                <c:pt idx="18">
                  <c:v>13081.844318814899</c:v>
                </c:pt>
                <c:pt idx="19">
                  <c:v>13768.492505586648</c:v>
                </c:pt>
                <c:pt idx="20">
                  <c:v>14426.020907551449</c:v>
                </c:pt>
                <c:pt idx="21">
                  <c:v>15053.975116495905</c:v>
                </c:pt>
                <c:pt idx="22">
                  <c:v>15652.387769691788</c:v>
                </c:pt>
                <c:pt idx="23">
                  <c:v>16221.660468652253</c:v>
                </c:pt>
                <c:pt idx="24">
                  <c:v>16762.466972578426</c:v>
                </c:pt>
                <c:pt idx="25">
                  <c:v>17275.675266019432</c:v>
                </c:pt>
                <c:pt idx="26">
                  <c:v>17762.285799559639</c:v>
                </c:pt>
                <c:pt idx="27">
                  <c:v>18223.383242336051</c:v>
                </c:pt>
                <c:pt idx="28">
                  <c:v>18660.099307753753</c:v>
                </c:pt>
                <c:pt idx="29">
                  <c:v>19073.584517273175</c:v>
                </c:pt>
                <c:pt idx="30">
                  <c:v>19464.987090144532</c:v>
                </c:pt>
                <c:pt idx="31">
                  <c:v>19835.437455136409</c:v>
                </c:pt>
                <c:pt idx="32">
                  <c:v>20186.037156736045</c:v>
                </c:pt>
                <c:pt idx="33">
                  <c:v>20517.851166689543</c:v>
                </c:pt>
                <c:pt idx="34">
                  <c:v>20831.90281187059</c:v>
                </c:pt>
                <c:pt idx="35">
                  <c:v>21129.170694246917</c:v>
                </c:pt>
                <c:pt idx="36">
                  <c:v>21410.587112471716</c:v>
                </c:pt>
                <c:pt idx="37">
                  <c:v>21677.037602033615</c:v>
                </c:pt>
                <c:pt idx="38">
                  <c:v>21929.361296427374</c:v>
                </c:pt>
                <c:pt idx="39">
                  <c:v>22168.351879465179</c:v>
                </c:pt>
                <c:pt idx="40">
                  <c:v>22394.758952085249</c:v>
                </c:pt>
                <c:pt idx="41">
                  <c:v>22609.289678719004</c:v>
                </c:pt>
                <c:pt idx="42">
                  <c:v>22812.610610823096</c:v>
                </c:pt>
                <c:pt idx="43">
                  <c:v>22755.950839788035</c:v>
                </c:pt>
                <c:pt idx="44">
                  <c:v>22689.884532589749</c:v>
                </c:pt>
                <c:pt idx="45">
                  <c:v>22623.658256971627</c:v>
                </c:pt>
                <c:pt idx="46">
                  <c:v>22557.597326501018</c:v>
                </c:pt>
                <c:pt idx="47">
                  <c:v>22491.97491033484</c:v>
                </c:pt>
                <c:pt idx="48">
                  <c:v>22427.019159376123</c:v>
                </c:pt>
                <c:pt idx="49">
                  <c:v>22362.919380397321</c:v>
                </c:pt>
                <c:pt idx="50">
                  <c:v>22299.831384404075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C-435D-AA21-35E2ABA2CE24}"/>
            </c:ext>
          </c:extLst>
        </c:ser>
        <c:ser>
          <c:idx val="1"/>
          <c:order val="1"/>
          <c:tx>
            <c:strRef>
              <c:f>MaxLAI!$T$2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MaxLAI!$AL$4:$AL$54</c:f>
              <c:numCache>
                <c:formatCode>General</c:formatCode>
                <c:ptCount val="51"/>
                <c:pt idx="0">
                  <c:v>2232.6235042026437</c:v>
                </c:pt>
                <c:pt idx="1">
                  <c:v>2914.9317042390189</c:v>
                </c:pt>
                <c:pt idx="2">
                  <c:v>3666.3532880458301</c:v>
                </c:pt>
                <c:pt idx="3">
                  <c:v>4463.5636334771871</c:v>
                </c:pt>
                <c:pt idx="4">
                  <c:v>5263.6514638690633</c:v>
                </c:pt>
                <c:pt idx="5">
                  <c:v>6026.2375848123229</c:v>
                </c:pt>
                <c:pt idx="6">
                  <c:v>6721.0404033151071</c:v>
                </c:pt>
                <c:pt idx="7">
                  <c:v>7331.6033919076772</c:v>
                </c:pt>
                <c:pt idx="8">
                  <c:v>7854.4927611017529</c:v>
                </c:pt>
                <c:pt idx="9">
                  <c:v>8295.7142961993286</c:v>
                </c:pt>
                <c:pt idx="10">
                  <c:v>8666.485459938347</c:v>
                </c:pt>
                <c:pt idx="11">
                  <c:v>8979.7581385379435</c:v>
                </c:pt>
                <c:pt idx="12">
                  <c:v>9247.9631978741199</c:v>
                </c:pt>
                <c:pt idx="13">
                  <c:v>9481.8589603113578</c:v>
                </c:pt>
                <c:pt idx="14">
                  <c:v>9690.1504165795232</c:v>
                </c:pt>
                <c:pt idx="15">
                  <c:v>9879.5531637836921</c:v>
                </c:pt>
                <c:pt idx="16">
                  <c:v>10055.064450564183</c:v>
                </c:pt>
                <c:pt idx="17">
                  <c:v>10220.296173709567</c:v>
                </c:pt>
                <c:pt idx="18">
                  <c:v>10377.793901552128</c:v>
                </c:pt>
                <c:pt idx="19">
                  <c:v>10529.309638238547</c:v>
                </c:pt>
                <c:pt idx="20">
                  <c:v>10676.020204339742</c:v>
                </c:pt>
                <c:pt idx="21">
                  <c:v>10818.694766529972</c:v>
                </c:pt>
                <c:pt idx="22">
                  <c:v>10957.819555532431</c:v>
                </c:pt>
                <c:pt idx="23">
                  <c:v>11093.688640716924</c:v>
                </c:pt>
                <c:pt idx="24">
                  <c:v>11226.468807853653</c:v>
                </c:pt>
                <c:pt idx="25">
                  <c:v>11356.245195259498</c:v>
                </c:pt>
                <c:pt idx="26">
                  <c:v>11483.052906651823</c:v>
                </c:pt>
                <c:pt idx="27">
                  <c:v>11606.898555142294</c:v>
                </c:pt>
                <c:pt idx="28">
                  <c:v>11727.77466622174</c:v>
                </c:pt>
                <c:pt idx="29">
                  <c:v>11845.669071799577</c:v>
                </c:pt>
                <c:pt idx="30">
                  <c:v>11960.570828684902</c:v>
                </c:pt>
                <c:pt idx="31">
                  <c:v>12072.473753563179</c:v>
                </c:pt>
                <c:pt idx="32">
                  <c:v>12181.378345808949</c:v>
                </c:pt>
                <c:pt idx="33">
                  <c:v>12287.292638845209</c:v>
                </c:pt>
                <c:pt idx="34">
                  <c:v>12390.232356226659</c:v>
                </c:pt>
                <c:pt idx="35">
                  <c:v>12490.220631991318</c:v>
                </c:pt>
                <c:pt idx="36">
                  <c:v>12587.287472598464</c:v>
                </c:pt>
                <c:pt idx="37">
                  <c:v>12681.469080097011</c:v>
                </c:pt>
                <c:pt idx="38">
                  <c:v>12772.807115926467</c:v>
                </c:pt>
                <c:pt idx="39">
                  <c:v>12861.347956839458</c:v>
                </c:pt>
                <c:pt idx="40">
                  <c:v>12947.141975207656</c:v>
                </c:pt>
                <c:pt idx="41">
                  <c:v>13030.24286284743</c:v>
                </c:pt>
                <c:pt idx="42">
                  <c:v>13110.707008644813</c:v>
                </c:pt>
                <c:pt idx="43">
                  <c:v>13045.616673602202</c:v>
                </c:pt>
                <c:pt idx="44">
                  <c:v>12978.974866056109</c:v>
                </c:pt>
                <c:pt idx="45">
                  <c:v>12915.693500778107</c:v>
                </c:pt>
                <c:pt idx="46">
                  <c:v>12855.600286861274</c:v>
                </c:pt>
                <c:pt idx="47">
                  <c:v>12798.531120596466</c:v>
                </c:pt>
                <c:pt idx="48">
                  <c:v>12744.329926614922</c:v>
                </c:pt>
                <c:pt idx="49">
                  <c:v>12692.848439578534</c:v>
                </c:pt>
                <c:pt idx="50">
                  <c:v>12643.945944789462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C-435D-AA21-35E2ABA2CE24}"/>
            </c:ext>
          </c:extLst>
        </c:ser>
        <c:ser>
          <c:idx val="2"/>
          <c:order val="2"/>
          <c:tx>
            <c:strRef>
              <c:f>MaxLAI!$AT$3</c:f>
              <c:strCache>
                <c:ptCount val="1"/>
                <c:pt idx="0">
                  <c:v>BiomassSum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MaxLAI!$AT$4:$AT$54</c:f>
              <c:numCache>
                <c:formatCode>General</c:formatCode>
                <c:ptCount val="51"/>
                <c:pt idx="0">
                  <c:v>8000</c:v>
                </c:pt>
                <c:pt idx="1">
                  <c:v>9734.2066694002606</c:v>
                </c:pt>
                <c:pt idx="2">
                  <c:v>11712.628914287952</c:v>
                </c:pt>
                <c:pt idx="3">
                  <c:v>13904.850910231682</c:v>
                </c:pt>
                <c:pt idx="4">
                  <c:v>16268.528129833889</c:v>
                </c:pt>
                <c:pt idx="5">
                  <c:v>18752.310668825361</c:v>
                </c:pt>
                <c:pt idx="6">
                  <c:v>21304.502824206713</c:v>
                </c:pt>
                <c:pt idx="7">
                  <c:v>23879.23657085473</c:v>
                </c:pt>
                <c:pt idx="8">
                  <c:v>26439.542251581748</c:v>
                </c:pt>
                <c:pt idx="9">
                  <c:v>28957.703640293192</c:v>
                </c:pt>
                <c:pt idx="10">
                  <c:v>31414.054875530725</c:v>
                </c:pt>
                <c:pt idx="11">
                  <c:v>33795.268198906211</c:v>
                </c:pt>
                <c:pt idx="12">
                  <c:v>36092.742421288982</c:v>
                </c:pt>
                <c:pt idx="13">
                  <c:v>38301.318709273808</c:v>
                </c:pt>
                <c:pt idx="14">
                  <c:v>40418.335574708151</c:v>
                </c:pt>
                <c:pt idx="15">
                  <c:v>42442.954341064258</c:v>
                </c:pt>
                <c:pt idx="16">
                  <c:v>44375.676590436677</c:v>
                </c:pt>
                <c:pt idx="17">
                  <c:v>46217.991290231745</c:v>
                </c:pt>
                <c:pt idx="18">
                  <c:v>47972.109190074945</c:v>
                </c:pt>
                <c:pt idx="19">
                  <c:v>49640.757769813776</c:v>
                </c:pt>
                <c:pt idx="20">
                  <c:v>51227.02034943513</c:v>
                </c:pt>
                <c:pt idx="21">
                  <c:v>52734.209095809449</c:v>
                </c:pt>
                <c:pt idx="22">
                  <c:v>54165.765069520159</c:v>
                </c:pt>
                <c:pt idx="23">
                  <c:v>55525.180312434117</c:v>
                </c:pt>
                <c:pt idx="24">
                  <c:v>56815.938029379598</c:v>
                </c:pt>
                <c:pt idx="25">
                  <c:v>58041.467585203631</c:v>
                </c:pt>
                <c:pt idx="26">
                  <c:v>59205.111532539289</c:v>
                </c:pt>
                <c:pt idx="27">
                  <c:v>60310.10229933419</c:v>
                </c:pt>
                <c:pt idx="28">
                  <c:v>61359.54653329726</c:v>
                </c:pt>
                <c:pt idx="29">
                  <c:v>62356.415432043628</c:v>
                </c:pt>
                <c:pt idx="30">
                  <c:v>63303.539683167444</c:v>
                </c:pt>
                <c:pt idx="31">
                  <c:v>64203.607896671179</c:v>
                </c:pt>
                <c:pt idx="32">
                  <c:v>65059.167633270103</c:v>
                </c:pt>
                <c:pt idx="33">
                  <c:v>65872.628317884461</c:v>
                </c:pt>
                <c:pt idx="34">
                  <c:v>66646.265481216309</c:v>
                </c:pt>
                <c:pt idx="35">
                  <c:v>67382.225897486656</c:v>
                </c:pt>
                <c:pt idx="36">
                  <c:v>68082.533287206432</c:v>
                </c:pt>
                <c:pt idx="37">
                  <c:v>68749.094334171066</c:v>
                </c:pt>
                <c:pt idx="38">
                  <c:v>69383.704829275463</c:v>
                </c:pt>
                <c:pt idx="39">
                  <c:v>69988.055803382042</c:v>
                </c:pt>
                <c:pt idx="40">
                  <c:v>70563.739550022379</c:v>
                </c:pt>
                <c:pt idx="41">
                  <c:v>71112.255468417643</c:v>
                </c:pt>
                <c:pt idx="42">
                  <c:v>71635.015680005774</c:v>
                </c:pt>
                <c:pt idx="43">
                  <c:v>72133.350388865525</c:v>
                </c:pt>
                <c:pt idx="44">
                  <c:v>72608.512969330564</c:v>
                </c:pt>
                <c:pt idx="45">
                  <c:v>73061.684773650268</c:v>
                </c:pt>
                <c:pt idx="46">
                  <c:v>73493.979659536679</c:v>
                </c:pt>
                <c:pt idx="47">
                  <c:v>73906.448242439335</c:v>
                </c:pt>
                <c:pt idx="48">
                  <c:v>74300.081880874699</c:v>
                </c:pt>
                <c:pt idx="49">
                  <c:v>74675.816405476537</c:v>
                </c:pt>
                <c:pt idx="50">
                  <c:v>75034.535603904224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7-4D6F-B909-388266A164A0}"/>
            </c:ext>
          </c:extLst>
        </c:ser>
        <c:ser>
          <c:idx val="3"/>
          <c:order val="3"/>
          <c:tx>
            <c:strRef>
              <c:f>MaxLAI!$BC$3</c:f>
              <c:strCache>
                <c:ptCount val="1"/>
                <c:pt idx="0">
                  <c:v>WeightedBio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MaxLAI!$BC$4:$BC$54</c:f>
              <c:numCache>
                <c:formatCode>General</c:formatCode>
                <c:ptCount val="51"/>
                <c:pt idx="0">
                  <c:v>4000</c:v>
                </c:pt>
                <c:pt idx="1">
                  <c:v>4901.7238256545388</c:v>
                </c:pt>
                <c:pt idx="2">
                  <c:v>5935.2186226481035</c:v>
                </c:pt>
                <c:pt idx="3">
                  <c:v>7075.202867040276</c:v>
                </c:pt>
                <c:pt idx="4">
                  <c:v>8287.458659826887</c:v>
                </c:pt>
                <c:pt idx="5">
                  <c:v>9535.8010176827811</c:v>
                </c:pt>
                <c:pt idx="6">
                  <c:v>10789.406705767899</c:v>
                </c:pt>
                <c:pt idx="7">
                  <c:v>12026.638327989785</c:v>
                </c:pt>
                <c:pt idx="8">
                  <c:v>13235.148683280035</c:v>
                </c:pt>
                <c:pt idx="9">
                  <c:v>14409.621454460525</c:v>
                </c:pt>
                <c:pt idx="10">
                  <c:v>15548.897484172892</c:v>
                </c:pt>
                <c:pt idx="11">
                  <c:v>16653.626240764694</c:v>
                </c:pt>
                <c:pt idx="12">
                  <c:v>17724.811870259204</c:v>
                </c:pt>
                <c:pt idx="13">
                  <c:v>18763.142424818441</c:v>
                </c:pt>
                <c:pt idx="14">
                  <c:v>19768.828310767858</c:v>
                </c:pt>
                <c:pt idx="15">
                  <c:v>20741.697068183064</c:v>
                </c:pt>
                <c:pt idx="16">
                  <c:v>21681.373751957028</c:v>
                </c:pt>
                <c:pt idx="17">
                  <c:v>22587.454856941898</c:v>
                </c:pt>
                <c:pt idx="18">
                  <c:v>23459.638220367029</c:v>
                </c:pt>
                <c:pt idx="19">
                  <c:v>24297.802143825196</c:v>
                </c:pt>
                <c:pt idx="20">
                  <c:v>25102.041111891191</c:v>
                </c:pt>
                <c:pt idx="21">
                  <c:v>25872.669883025876</c:v>
                </c:pt>
                <c:pt idx="22">
                  <c:v>26610.207325224219</c:v>
                </c:pt>
                <c:pt idx="23">
                  <c:v>27315.349109369177</c:v>
                </c:pt>
                <c:pt idx="24">
                  <c:v>27988.935780432079</c:v>
                </c:pt>
                <c:pt idx="25">
                  <c:v>28631.920461278933</c:v>
                </c:pt>
                <c:pt idx="26">
                  <c:v>29245.338706211463</c:v>
                </c:pt>
                <c:pt idx="27">
                  <c:v>29830.281797478347</c:v>
                </c:pt>
                <c:pt idx="28">
                  <c:v>30387.873973975493</c:v>
                </c:pt>
                <c:pt idx="29">
                  <c:v>30919.253589072752</c:v>
                </c:pt>
                <c:pt idx="30">
                  <c:v>31425.557918829436</c:v>
                </c:pt>
                <c:pt idx="31">
                  <c:v>31907.911208699588</c:v>
                </c:pt>
                <c:pt idx="32">
                  <c:v>32367.415502544995</c:v>
                </c:pt>
                <c:pt idx="33">
                  <c:v>32805.143805534753</c:v>
                </c:pt>
                <c:pt idx="34">
                  <c:v>33222.135168097251</c:v>
                </c:pt>
                <c:pt idx="35">
                  <c:v>33619.391326238234</c:v>
                </c:pt>
                <c:pt idx="36">
                  <c:v>33997.874585070182</c:v>
                </c:pt>
                <c:pt idx="37">
                  <c:v>34358.506682130625</c:v>
                </c:pt>
                <c:pt idx="38">
                  <c:v>34702.168412353843</c:v>
                </c:pt>
                <c:pt idx="39">
                  <c:v>35029.699836304637</c:v>
                </c:pt>
                <c:pt idx="40">
                  <c:v>35341.900927292903</c:v>
                </c:pt>
                <c:pt idx="41">
                  <c:v>35639.532541566434</c:v>
                </c:pt>
                <c:pt idx="42">
                  <c:v>35923.317619467911</c:v>
                </c:pt>
                <c:pt idx="43">
                  <c:v>35801.56751339024</c:v>
                </c:pt>
                <c:pt idx="44">
                  <c:v>35668.859398645858</c:v>
                </c:pt>
                <c:pt idx="45">
                  <c:v>35539.351757749733</c:v>
                </c:pt>
                <c:pt idx="46">
                  <c:v>35413.197613362296</c:v>
                </c:pt>
                <c:pt idx="47">
                  <c:v>35290.506030931305</c:v>
                </c:pt>
                <c:pt idx="48">
                  <c:v>35171.349085991045</c:v>
                </c:pt>
                <c:pt idx="49">
                  <c:v>35055.767819975852</c:v>
                </c:pt>
                <c:pt idx="50">
                  <c:v>34943.777329193537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7-4D6F-B909-388266A1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583935"/>
        <c:axId val="1630574783"/>
      </c:lineChart>
      <c:catAx>
        <c:axId val="1630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4783"/>
        <c:crosses val="autoZero"/>
        <c:auto val="1"/>
        <c:lblAlgn val="ctr"/>
        <c:lblOffset val="100"/>
        <c:noMultiLvlLbl val="0"/>
      </c:catAx>
      <c:valAx>
        <c:axId val="163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'MaxLAI (3)'!$BF$62:$BF$74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'MaxLAI (3)'!$BG$62:$BG$74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0.86370500304913267</c:v>
                </c:pt>
                <c:pt idx="5">
                  <c:v>0.57963125381141589</c:v>
                </c:pt>
                <c:pt idx="6">
                  <c:v>0.295557504573699</c:v>
                </c:pt>
                <c:pt idx="7">
                  <c:v>1.1483755335982226E-2</c:v>
                </c:pt>
                <c:pt idx="8">
                  <c:v>-0.27258999390173444</c:v>
                </c:pt>
                <c:pt idx="9">
                  <c:v>-0.55666374313945144</c:v>
                </c:pt>
                <c:pt idx="10">
                  <c:v>-0.84073749237716822</c:v>
                </c:pt>
                <c:pt idx="11">
                  <c:v>-1.1248112416148852</c:v>
                </c:pt>
                <c:pt idx="12">
                  <c:v>-1.4088849908526018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8-42BD-AAC8-E031B785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5.5407339804180413</c:v>
                </c:pt>
                <c:pt idx="2">
                  <c:v>22.172534129006447</c:v>
                </c:pt>
                <c:pt idx="3">
                  <c:v>32.756703034824405</c:v>
                </c:pt>
                <c:pt idx="4">
                  <c:v>37.186366691079755</c:v>
                </c:pt>
                <c:pt idx="5">
                  <c:v>35.661107912837991</c:v>
                </c:pt>
                <c:pt idx="6">
                  <c:v>29.25440845883805</c:v>
                </c:pt>
                <c:pt idx="7">
                  <c:v>21.048055067914358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A-4D60-8853-5DF11C688D1A}"/>
            </c:ext>
          </c:extLst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4.3156538231398791</c:v>
                </c:pt>
                <c:pt idx="2">
                  <c:v>21.846903340674412</c:v>
                </c:pt>
                <c:pt idx="3">
                  <c:v>32.487914880359021</c:v>
                </c:pt>
                <c:pt idx="4">
                  <c:v>35.892382137689886</c:v>
                </c:pt>
                <c:pt idx="5">
                  <c:v>32.13830178822613</c:v>
                </c:pt>
                <c:pt idx="6">
                  <c:v>22.154606859726162</c:v>
                </c:pt>
                <c:pt idx="7">
                  <c:v>8.975026742914471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A-4D60-8853-5DF11C68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6672"/>
        <c:axId val="597988240"/>
      </c:lineChart>
      <c:catAx>
        <c:axId val="5979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8240"/>
        <c:crosses val="autoZero"/>
        <c:auto val="1"/>
        <c:lblAlgn val="ctr"/>
        <c:lblOffset val="100"/>
        <c:noMultiLvlLbl val="0"/>
      </c:catAx>
      <c:valAx>
        <c:axId val="59798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LAI.pot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(3)'!$A$2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(3)'!$E$4:$E$54</c:f>
              <c:numCache>
                <c:formatCode>General</c:formatCode>
                <c:ptCount val="51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0.6208802475744889</c:v>
                </c:pt>
                <c:pt idx="11">
                  <c:v>0.72765592057787931</c:v>
                </c:pt>
                <c:pt idx="12">
                  <c:v>0.84382196384011854</c:v>
                </c:pt>
                <c:pt idx="13">
                  <c:v>0.9666661682876122</c:v>
                </c:pt>
                <c:pt idx="14">
                  <c:v>1.1044748083507279</c:v>
                </c:pt>
                <c:pt idx="15">
                  <c:v>1.2485313676652372</c:v>
                </c:pt>
                <c:pt idx="16">
                  <c:v>1.403290541572684</c:v>
                </c:pt>
                <c:pt idx="17">
                  <c:v>1.557569313361449</c:v>
                </c:pt>
                <c:pt idx="18">
                  <c:v>1.7167845360324581</c:v>
                </c:pt>
                <c:pt idx="19">
                  <c:v>1.8641669106493302</c:v>
                </c:pt>
                <c:pt idx="20">
                  <c:v>2.0120026794224337</c:v>
                </c:pt>
                <c:pt idx="21">
                  <c:v>2.1334169693731844</c:v>
                </c:pt>
                <c:pt idx="22">
                  <c:v>2.2583454430042367</c:v>
                </c:pt>
                <c:pt idx="23">
                  <c:v>2.3381263695103596</c:v>
                </c:pt>
                <c:pt idx="24">
                  <c:v>2.4411987364395089</c:v>
                </c:pt>
                <c:pt idx="25">
                  <c:v>2.466241001048413</c:v>
                </c:pt>
                <c:pt idx="26">
                  <c:v>2.5684670989510274</c:v>
                </c:pt>
                <c:pt idx="27">
                  <c:v>2.5136291445736547</c:v>
                </c:pt>
                <c:pt idx="28">
                  <c:v>2.6736478467475124</c:v>
                </c:pt>
                <c:pt idx="29">
                  <c:v>2.4592056782824296</c:v>
                </c:pt>
                <c:pt idx="30">
                  <c:v>2.840649370690703</c:v>
                </c:pt>
                <c:pt idx="31">
                  <c:v>2.2062721316200866</c:v>
                </c:pt>
                <c:pt idx="32">
                  <c:v>3.245743942277346</c:v>
                </c:pt>
                <c:pt idx="33">
                  <c:v>1.5717802141020123</c:v>
                </c:pt>
                <c:pt idx="34">
                  <c:v>3.2344479020812211</c:v>
                </c:pt>
                <c:pt idx="35">
                  <c:v>1.5119791572129506</c:v>
                </c:pt>
                <c:pt idx="36">
                  <c:v>3.2001363401336005</c:v>
                </c:pt>
                <c:pt idx="37">
                  <c:v>1.4649927838093415</c:v>
                </c:pt>
                <c:pt idx="38">
                  <c:v>3.1501686764011514</c:v>
                </c:pt>
                <c:pt idx="39">
                  <c:v>1.4313007455773024</c:v>
                </c:pt>
                <c:pt idx="40">
                  <c:v>3.0900045803448504</c:v>
                </c:pt>
                <c:pt idx="41">
                  <c:v>1.409258630307608</c:v>
                </c:pt>
                <c:pt idx="42">
                  <c:v>3.0236437470897628</c:v>
                </c:pt>
                <c:pt idx="43">
                  <c:v>1.3972153043779985</c:v>
                </c:pt>
                <c:pt idx="44">
                  <c:v>2.9539591859549339</c:v>
                </c:pt>
                <c:pt idx="45">
                  <c:v>1.3936862991359755</c:v>
                </c:pt>
                <c:pt idx="46">
                  <c:v>2.8829768155201441</c:v>
                </c:pt>
                <c:pt idx="47">
                  <c:v>1.3974078011526891</c:v>
                </c:pt>
                <c:pt idx="48">
                  <c:v>2.8120967627869802</c:v>
                </c:pt>
                <c:pt idx="49">
                  <c:v>1.4073351932974256</c:v>
                </c:pt>
                <c:pt idx="50">
                  <c:v>2.7422623688679635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D-45E5-B5E8-C3DFA22F7462}"/>
            </c:ext>
          </c:extLst>
        </c:ser>
        <c:ser>
          <c:idx val="1"/>
          <c:order val="1"/>
          <c:tx>
            <c:strRef>
              <c:f>'MaxLAI (3)'!$T$2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(3)'!$X$4:$X$54</c:f>
              <c:numCache>
                <c:formatCode>General</c:formatCode>
                <c:ptCount val="51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1.3755041221321684</c:v>
                </c:pt>
                <c:pt idx="11">
                  <c:v>1.5633296970358772</c:v>
                </c:pt>
                <c:pt idx="12">
                  <c:v>1.6571675493697218</c:v>
                </c:pt>
                <c:pt idx="13">
                  <c:v>1.6342599848690094</c:v>
                </c:pt>
                <c:pt idx="14">
                  <c:v>1.6155338774866361</c:v>
                </c:pt>
                <c:pt idx="15">
                  <c:v>1.5454316145175488</c:v>
                </c:pt>
                <c:pt idx="16">
                  <c:v>1.4900516395399197</c:v>
                </c:pt>
                <c:pt idx="17">
                  <c:v>1.403569678938059</c:v>
                </c:pt>
                <c:pt idx="18">
                  <c:v>1.341082322334064</c:v>
                </c:pt>
                <c:pt idx="19">
                  <c:v>1.2526481503940972</c:v>
                </c:pt>
                <c:pt idx="20">
                  <c:v>1.1981269593319626</c:v>
                </c:pt>
                <c:pt idx="21">
                  <c:v>1.114414567935132</c:v>
                </c:pt>
                <c:pt idx="22">
                  <c:v>1.0777303556925286</c:v>
                </c:pt>
                <c:pt idx="23">
                  <c:v>0.99880543066713012</c:v>
                </c:pt>
                <c:pt idx="24">
                  <c:v>0.98828204197944769</c:v>
                </c:pt>
                <c:pt idx="25">
                  <c:v>0.90533378008146004</c:v>
                </c:pt>
                <c:pt idx="26">
                  <c:v>0.93405296434992557</c:v>
                </c:pt>
                <c:pt idx="27">
                  <c:v>0.82289849826913875</c:v>
                </c:pt>
                <c:pt idx="28">
                  <c:v>0.92503264418294007</c:v>
                </c:pt>
                <c:pt idx="29">
                  <c:v>0.72506414205317871</c:v>
                </c:pt>
                <c:pt idx="30">
                  <c:v>1.0046556735965946</c:v>
                </c:pt>
                <c:pt idx="31">
                  <c:v>0.55413526201695651</c:v>
                </c:pt>
                <c:pt idx="32">
                  <c:v>1.2967107744419943</c:v>
                </c:pt>
                <c:pt idx="33">
                  <c:v>0.27461886498361132</c:v>
                </c:pt>
                <c:pt idx="34">
                  <c:v>1.2468290671789755</c:v>
                </c:pt>
                <c:pt idx="35">
                  <c:v>0.27095232324661789</c:v>
                </c:pt>
                <c:pt idx="36">
                  <c:v>1.2035868499161453</c:v>
                </c:pt>
                <c:pt idx="37">
                  <c:v>0.27224354644657534</c:v>
                </c:pt>
                <c:pt idx="38">
                  <c:v>1.1643575024682631</c:v>
                </c:pt>
                <c:pt idx="39">
                  <c:v>0.2777731781697923</c:v>
                </c:pt>
                <c:pt idx="40">
                  <c:v>1.12854042949236</c:v>
                </c:pt>
                <c:pt idx="41">
                  <c:v>0.28662741325572538</c:v>
                </c:pt>
                <c:pt idx="42">
                  <c:v>1.0956291367407767</c:v>
                </c:pt>
                <c:pt idx="43">
                  <c:v>0.29816040935650834</c:v>
                </c:pt>
                <c:pt idx="44">
                  <c:v>1.0651984939842032</c:v>
                </c:pt>
                <c:pt idx="45">
                  <c:v>0.31190241004123964</c:v>
                </c:pt>
                <c:pt idx="46">
                  <c:v>1.0368905432789797</c:v>
                </c:pt>
                <c:pt idx="47">
                  <c:v>0.32750355038131884</c:v>
                </c:pt>
                <c:pt idx="48">
                  <c:v>1.0104028726116627</c:v>
                </c:pt>
                <c:pt idx="49">
                  <c:v>0.34469839516440792</c:v>
                </c:pt>
                <c:pt idx="50">
                  <c:v>0.98547911633668217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D-45E5-B5E8-C3DFA22F7462}"/>
            </c:ext>
          </c:extLst>
        </c:ser>
        <c:ser>
          <c:idx val="2"/>
          <c:order val="2"/>
          <c:tx>
            <c:strRef>
              <c:f>'MaxLAI (3)'!$AV$3</c:f>
              <c:strCache>
                <c:ptCount val="1"/>
                <c:pt idx="0">
                  <c:v>LAIsum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'MaxLAI (3)'!$AV$4:$AV$54</c:f>
              <c:numCache>
                <c:formatCode>General</c:formatCode>
                <c:ptCount val="51"/>
                <c:pt idx="0">
                  <c:v>0.20678378244692719</c:v>
                </c:pt>
                <c:pt idx="1">
                  <c:v>0.26751574024125274</c:v>
                </c:pt>
                <c:pt idx="2">
                  <c:v>0.34355512338008309</c:v>
                </c:pt>
                <c:pt idx="3">
                  <c:v>0.44135125545886689</c:v>
                </c:pt>
                <c:pt idx="4">
                  <c:v>0.56584347762569276</c:v>
                </c:pt>
                <c:pt idx="5">
                  <c:v>0.72204135967015304</c:v>
                </c:pt>
                <c:pt idx="6">
                  <c:v>0.91395261756546298</c:v>
                </c:pt>
                <c:pt idx="7">
                  <c:v>1.1430659225322655</c:v>
                </c:pt>
                <c:pt idx="8">
                  <c:v>1.4065304720186518</c:v>
                </c:pt>
                <c:pt idx="9">
                  <c:v>1.695733744151064</c:v>
                </c:pt>
                <c:pt idx="10">
                  <c:v>1.9963843697066572</c:v>
                </c:pt>
                <c:pt idx="11">
                  <c:v>2.2909856176137566</c:v>
                </c:pt>
                <c:pt idx="12">
                  <c:v>2.5009895132098405</c:v>
                </c:pt>
                <c:pt idx="13">
                  <c:v>2.6009261531566215</c:v>
                </c:pt>
                <c:pt idx="14">
                  <c:v>2.7200086858373638</c:v>
                </c:pt>
                <c:pt idx="15">
                  <c:v>2.7939629821827863</c:v>
                </c:pt>
                <c:pt idx="16">
                  <c:v>2.8933421811126037</c:v>
                </c:pt>
                <c:pt idx="17">
                  <c:v>2.9611389922995079</c:v>
                </c:pt>
                <c:pt idx="18">
                  <c:v>3.0578668583665221</c:v>
                </c:pt>
                <c:pt idx="19">
                  <c:v>3.1168150610434271</c:v>
                </c:pt>
                <c:pt idx="20">
                  <c:v>3.2101296387543963</c:v>
                </c:pt>
                <c:pt idx="21">
                  <c:v>3.2478315373083166</c:v>
                </c:pt>
                <c:pt idx="22">
                  <c:v>3.3360757986967653</c:v>
                </c:pt>
                <c:pt idx="23">
                  <c:v>3.3369318001774895</c:v>
                </c:pt>
                <c:pt idx="24">
                  <c:v>3.4294807784189567</c:v>
                </c:pt>
                <c:pt idx="25">
                  <c:v>3.3715747811298731</c:v>
                </c:pt>
                <c:pt idx="26">
                  <c:v>3.502520063300953</c:v>
                </c:pt>
                <c:pt idx="27">
                  <c:v>3.3365276428427935</c:v>
                </c:pt>
                <c:pt idx="28">
                  <c:v>3.5986804909304526</c:v>
                </c:pt>
                <c:pt idx="29">
                  <c:v>3.1842698203356083</c:v>
                </c:pt>
                <c:pt idx="30">
                  <c:v>3.8453050442872976</c:v>
                </c:pt>
                <c:pt idx="31">
                  <c:v>2.7604073936370432</c:v>
                </c:pt>
                <c:pt idx="32">
                  <c:v>4.5424547167193401</c:v>
                </c:pt>
                <c:pt idx="33">
                  <c:v>1.8463990790856237</c:v>
                </c:pt>
                <c:pt idx="34">
                  <c:v>4.4812769692601968</c:v>
                </c:pt>
                <c:pt idx="35">
                  <c:v>1.7829314804595686</c:v>
                </c:pt>
                <c:pt idx="36">
                  <c:v>4.403723190049746</c:v>
                </c:pt>
                <c:pt idx="37">
                  <c:v>1.7372363302559168</c:v>
                </c:pt>
                <c:pt idx="38">
                  <c:v>4.3145261788694143</c:v>
                </c:pt>
                <c:pt idx="39">
                  <c:v>1.7090739237470947</c:v>
                </c:pt>
                <c:pt idx="40">
                  <c:v>4.2185450098372108</c:v>
                </c:pt>
                <c:pt idx="41">
                  <c:v>1.6958860435633334</c:v>
                </c:pt>
                <c:pt idx="42">
                  <c:v>4.1192728838305399</c:v>
                </c:pt>
                <c:pt idx="43">
                  <c:v>1.6953757137345069</c:v>
                </c:pt>
                <c:pt idx="44">
                  <c:v>4.0191576799391369</c:v>
                </c:pt>
                <c:pt idx="45">
                  <c:v>1.7055887091772153</c:v>
                </c:pt>
                <c:pt idx="46">
                  <c:v>3.9198673587991237</c:v>
                </c:pt>
                <c:pt idx="47">
                  <c:v>1.724911351534008</c:v>
                </c:pt>
                <c:pt idx="48">
                  <c:v>3.8224996353986427</c:v>
                </c:pt>
                <c:pt idx="49">
                  <c:v>1.7520335884618334</c:v>
                </c:pt>
                <c:pt idx="50">
                  <c:v>3.7277414852046458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D-45E5-B5E8-C3DFA22F7462}"/>
            </c:ext>
          </c:extLst>
        </c:ser>
        <c:ser>
          <c:idx val="3"/>
          <c:order val="3"/>
          <c:tx>
            <c:strRef>
              <c:f>'MaxLAI (3)'!$BD$3</c:f>
              <c:strCache>
                <c:ptCount val="1"/>
                <c:pt idx="0">
                  <c:v>WeightedLAI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'MaxLAI (3)'!$BD$4:$BD$54</c:f>
              <c:numCache>
                <c:formatCode>General</c:formatCode>
                <c:ptCount val="51"/>
                <c:pt idx="0">
                  <c:v>8.7599149502877571E-3</c:v>
                </c:pt>
                <c:pt idx="1">
                  <c:v>1.5192943864910137E-2</c:v>
                </c:pt>
                <c:pt idx="2">
                  <c:v>2.6113409492512164E-2</c:v>
                </c:pt>
                <c:pt idx="3">
                  <c:v>4.5079952891380018E-2</c:v>
                </c:pt>
                <c:pt idx="4">
                  <c:v>7.7577478659813626E-2</c:v>
                </c:pt>
                <c:pt idx="5">
                  <c:v>0.13199199107023638</c:v>
                </c:pt>
                <c:pt idx="6">
                  <c:v>0.21996075680958979</c:v>
                </c:pt>
                <c:pt idx="7">
                  <c:v>0.35535917225105312</c:v>
                </c:pt>
                <c:pt idx="8">
                  <c:v>0.55068029341420022</c:v>
                </c:pt>
                <c:pt idx="9">
                  <c:v>0.81038520140861847</c:v>
                </c:pt>
                <c:pt idx="10">
                  <c:v>1.1234941992227567</c:v>
                </c:pt>
                <c:pt idx="11">
                  <c:v>1.3856525143698004</c:v>
                </c:pt>
                <c:pt idx="12">
                  <c:v>1.4716919930904124</c:v>
                </c:pt>
                <c:pt idx="13">
                  <c:v>1.463700965297051</c:v>
                </c:pt>
                <c:pt idx="14">
                  <c:v>1.4704010097522453</c:v>
                </c:pt>
                <c:pt idx="15">
                  <c:v>1.450684994295167</c:v>
                </c:pt>
                <c:pt idx="16">
                  <c:v>1.4593972079279405</c:v>
                </c:pt>
                <c:pt idx="17">
                  <c:v>1.4638837464722849</c:v>
                </c:pt>
                <c:pt idx="18">
                  <c:v>1.5011939076263321</c:v>
                </c:pt>
                <c:pt idx="19">
                  <c:v>1.5359849286012537</c:v>
                </c:pt>
                <c:pt idx="20">
                  <c:v>1.5997514548060627</c:v>
                </c:pt>
                <c:pt idx="21">
                  <c:v>1.6506169667557882</c:v>
                </c:pt>
                <c:pt idx="22">
                  <c:v>1.725495588013682</c:v>
                </c:pt>
                <c:pt idx="23">
                  <c:v>1.7701510924104218</c:v>
                </c:pt>
                <c:pt idx="24">
                  <c:v>1.8440348174626542</c:v>
                </c:pt>
                <c:pt idx="25">
                  <c:v>1.8613254107781927</c:v>
                </c:pt>
                <c:pt idx="26">
                  <c:v>1.9387013271955782</c:v>
                </c:pt>
                <c:pt idx="27">
                  <c:v>1.9037187671388112</c:v>
                </c:pt>
                <c:pt idx="28">
                  <c:v>2.0203979861346428</c:v>
                </c:pt>
                <c:pt idx="29">
                  <c:v>1.8748600411705996</c:v>
                </c:pt>
                <c:pt idx="30">
                  <c:v>2.1452858106137151</c:v>
                </c:pt>
                <c:pt idx="31">
                  <c:v>1.6626712656075158</c:v>
                </c:pt>
                <c:pt idx="32">
                  <c:v>2.4509092264385277</c:v>
                </c:pt>
                <c:pt idx="33">
                  <c:v>0.80115082375498881</c:v>
                </c:pt>
                <c:pt idx="34">
                  <c:v>2.4409755072279595</c:v>
                </c:pt>
                <c:pt idx="35">
                  <c:v>0.74327542779521949</c:v>
                </c:pt>
                <c:pt idx="36">
                  <c:v>2.4148643812986617</c:v>
                </c:pt>
                <c:pt idx="37">
                  <c:v>0.70055496328194389</c:v>
                </c:pt>
                <c:pt idx="38">
                  <c:v>2.3773494363315515</c:v>
                </c:pt>
                <c:pt idx="39">
                  <c:v>0.67210727697396733</c:v>
                </c:pt>
                <c:pt idx="40">
                  <c:v>2.3322300647854699</c:v>
                </c:pt>
                <c:pt idx="41">
                  <c:v>0.65547175870191621</c:v>
                </c:pt>
                <c:pt idx="42">
                  <c:v>2.2823934220632864</c:v>
                </c:pt>
                <c:pt idx="43">
                  <c:v>0.64864049541199564</c:v>
                </c:pt>
                <c:pt idx="44">
                  <c:v>2.2299677510782665</c:v>
                </c:pt>
                <c:pt idx="45">
                  <c:v>0.65005817271012423</c:v>
                </c:pt>
                <c:pt idx="46">
                  <c:v>2.1764825573047224</c:v>
                </c:pt>
                <c:pt idx="47">
                  <c:v>0.65855555255498999</c:v>
                </c:pt>
                <c:pt idx="48">
                  <c:v>2.1230102763456244</c:v>
                </c:pt>
                <c:pt idx="49">
                  <c:v>0.67327155439020459</c:v>
                </c:pt>
                <c:pt idx="50">
                  <c:v>2.0702818640702034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D-45E5-B5E8-C3DFA22F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(3)'!$A$2</c:f>
              <c:strCache>
                <c:ptCount val="1"/>
                <c:pt idx="0">
                  <c:v>Cohort1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(3)'!$B$4:$B$54</c:f>
              <c:numCache>
                <c:formatCode>General</c:formatCode>
                <c:ptCount val="51"/>
                <c:pt idx="0">
                  <c:v>195.99999999999997</c:v>
                </c:pt>
                <c:pt idx="1">
                  <c:v>244.49236081940248</c:v>
                </c:pt>
                <c:pt idx="2">
                  <c:v>293.5764814536933</c:v>
                </c:pt>
                <c:pt idx="3">
                  <c:v>352.33902664128686</c:v>
                </c:pt>
                <c:pt idx="4">
                  <c:v>422.60061391494781</c:v>
                </c:pt>
                <c:pt idx="5">
                  <c:v>506.49814780086604</c:v>
                </c:pt>
                <c:pt idx="6">
                  <c:v>606.51685114441102</c:v>
                </c:pt>
                <c:pt idx="7">
                  <c:v>725.52689422472474</c:v>
                </c:pt>
                <c:pt idx="8">
                  <c:v>866.81458373700752</c:v>
                </c:pt>
                <c:pt idx="9">
                  <c:v>1034.1035615100047</c:v>
                </c:pt>
                <c:pt idx="10">
                  <c:v>1231.5596076550107</c:v>
                </c:pt>
                <c:pt idx="11">
                  <c:v>1463.7710340935687</c:v>
                </c:pt>
                <c:pt idx="12">
                  <c:v>1735.6952809715449</c:v>
                </c:pt>
                <c:pt idx="13">
                  <c:v>2050.6791187278859</c:v>
                </c:pt>
                <c:pt idx="14">
                  <c:v>2410.8961879967133</c:v>
                </c:pt>
                <c:pt idx="15">
                  <c:v>2821.5973553731251</c:v>
                </c:pt>
                <c:pt idx="16">
                  <c:v>3284.8142271812221</c:v>
                </c:pt>
                <c:pt idx="17">
                  <c:v>3804.0599886754708</c:v>
                </c:pt>
                <c:pt idx="18">
                  <c:v>4378.6245863018512</c:v>
                </c:pt>
                <c:pt idx="19">
                  <c:v>5009.6299564218343</c:v>
                </c:pt>
                <c:pt idx="20">
                  <c:v>5691.8936606376956</c:v>
                </c:pt>
                <c:pt idx="21">
                  <c:v>6424.6278058196576</c:v>
                </c:pt>
                <c:pt idx="22">
                  <c:v>7197.0561609831348</c:v>
                </c:pt>
                <c:pt idx="23">
                  <c:v>8009.3947761510517</c:v>
                </c:pt>
                <c:pt idx="24">
                  <c:v>8843.9221725952902</c:v>
                </c:pt>
                <c:pt idx="25">
                  <c:v>9708.236598112122</c:v>
                </c:pt>
                <c:pt idx="26">
                  <c:v>10572.625494975182</c:v>
                </c:pt>
                <c:pt idx="27">
                  <c:v>11464.856961590696</c:v>
                </c:pt>
                <c:pt idx="28">
                  <c:v>12326.233419343924</c:v>
                </c:pt>
                <c:pt idx="29">
                  <c:v>13235.81028762698</c:v>
                </c:pt>
                <c:pt idx="30">
                  <c:v>14054.576781308002</c:v>
                </c:pt>
                <c:pt idx="31">
                  <c:v>15003.213428243951</c:v>
                </c:pt>
                <c:pt idx="32">
                  <c:v>15704.918992913173</c:v>
                </c:pt>
                <c:pt idx="33">
                  <c:v>16780.275320805544</c:v>
                </c:pt>
                <c:pt idx="34">
                  <c:v>17224.2372337546</c:v>
                </c:pt>
                <c:pt idx="35">
                  <c:v>18260.493481461683</c:v>
                </c:pt>
                <c:pt idx="36">
                  <c:v>18661.170371084365</c:v>
                </c:pt>
                <c:pt idx="37">
                  <c:v>19663.398029905231</c:v>
                </c:pt>
                <c:pt idx="38">
                  <c:v>20026.231194179145</c:v>
                </c:pt>
                <c:pt idx="39">
                  <c:v>20989.710484826988</c:v>
                </c:pt>
                <c:pt idx="40">
                  <c:v>21320.477918036053</c:v>
                </c:pt>
                <c:pt idx="41">
                  <c:v>22242.571953050676</c:v>
                </c:pt>
                <c:pt idx="42">
                  <c:v>22546.501415608796</c:v>
                </c:pt>
                <c:pt idx="43">
                  <c:v>23426.030199765592</c:v>
                </c:pt>
                <c:pt idx="44">
                  <c:v>23707.751911732146</c:v>
                </c:pt>
                <c:pt idx="45">
                  <c:v>24544.549859915845</c:v>
                </c:pt>
                <c:pt idx="46">
                  <c:v>24808.129530842649</c:v>
                </c:pt>
                <c:pt idx="47">
                  <c:v>25602.7192738009</c:v>
                </c:pt>
                <c:pt idx="48">
                  <c:v>25851.721964649212</c:v>
                </c:pt>
                <c:pt idx="49">
                  <c:v>26605.077508574766</c:v>
                </c:pt>
                <c:pt idx="50">
                  <c:v>26842.638201855996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6-4A91-832D-601E6D6B1C04}"/>
            </c:ext>
          </c:extLst>
        </c:ser>
        <c:ser>
          <c:idx val="1"/>
          <c:order val="1"/>
          <c:tx>
            <c:strRef>
              <c:f>'MaxLAI (3)'!$T$2</c:f>
              <c:strCache>
                <c:ptCount val="1"/>
                <c:pt idx="0">
                  <c:v>Cohort2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(3)'!$U$4:$U$54</c:f>
              <c:numCache>
                <c:formatCode>General</c:formatCode>
                <c:ptCount val="51"/>
                <c:pt idx="0">
                  <c:v>220.88888888888886</c:v>
                </c:pt>
                <c:pt idx="1">
                  <c:v>318.30313031445814</c:v>
                </c:pt>
                <c:pt idx="2">
                  <c:v>440.0384943447998</c:v>
                </c:pt>
                <c:pt idx="3">
                  <c:v>606.52727093733995</c:v>
                </c:pt>
                <c:pt idx="4">
                  <c:v>832.6931979183928</c:v>
                </c:pt>
                <c:pt idx="5">
                  <c:v>1137.109605654585</c:v>
                </c:pt>
                <c:pt idx="6">
                  <c:v>1541.8720919671496</c:v>
                </c:pt>
                <c:pt idx="7">
                  <c:v>2071.5471632439458</c:v>
                </c:pt>
                <c:pt idx="8">
                  <c:v>2750.7462470408614</c:v>
                </c:pt>
                <c:pt idx="9">
                  <c:v>3600.0719626476744</c:v>
                </c:pt>
                <c:pt idx="10">
                  <c:v>4630.8304611584299</c:v>
                </c:pt>
                <c:pt idx="11">
                  <c:v>5839.9216739975545</c:v>
                </c:pt>
                <c:pt idx="12">
                  <c:v>7207.1289491129664</c:v>
                </c:pt>
                <c:pt idx="13">
                  <c:v>8644.4706912268193</c:v>
                </c:pt>
                <c:pt idx="14">
                  <c:v>10043.106117280917</c:v>
                </c:pt>
                <c:pt idx="15">
                  <c:v>11405.226790173019</c:v>
                </c:pt>
                <c:pt idx="16">
                  <c:v>12684.687907579504</c:v>
                </c:pt>
                <c:pt idx="17">
                  <c:v>13895.06299076271</c:v>
                </c:pt>
                <c:pt idx="18">
                  <c:v>15009.280761297974</c:v>
                </c:pt>
                <c:pt idx="19">
                  <c:v>16049.901950983964</c:v>
                </c:pt>
                <c:pt idx="20">
                  <c:v>16994.774499163472</c:v>
                </c:pt>
                <c:pt idx="21">
                  <c:v>17875.567325287608</c:v>
                </c:pt>
                <c:pt idx="22">
                  <c:v>18667.230017607857</c:v>
                </c:pt>
                <c:pt idx="23">
                  <c:v>19413.208214377963</c:v>
                </c:pt>
                <c:pt idx="24">
                  <c:v>20076.574336501857</c:v>
                </c:pt>
                <c:pt idx="25">
                  <c:v>20719.882101650412</c:v>
                </c:pt>
                <c:pt idx="26">
                  <c:v>21278.797980615313</c:v>
                </c:pt>
                <c:pt idx="27">
                  <c:v>21854.691125787311</c:v>
                </c:pt>
                <c:pt idx="28">
                  <c:v>22322.180772684012</c:v>
                </c:pt>
                <c:pt idx="29">
                  <c:v>22874.137625163065</c:v>
                </c:pt>
                <c:pt idx="30">
                  <c:v>23238.598579657835</c:v>
                </c:pt>
                <c:pt idx="31">
                  <c:v>23848.67616141203</c:v>
                </c:pt>
                <c:pt idx="32">
                  <c:v>24045.875483775668</c:v>
                </c:pt>
                <c:pt idx="33">
                  <c:v>24907.398897718725</c:v>
                </c:pt>
                <c:pt idx="34">
                  <c:v>24841.335639200122</c:v>
                </c:pt>
                <c:pt idx="35">
                  <c:v>25641.534882172862</c:v>
                </c:pt>
                <c:pt idx="36">
                  <c:v>25561.215835891955</c:v>
                </c:pt>
                <c:pt idx="37">
                  <c:v>26312.211842921515</c:v>
                </c:pt>
                <c:pt idx="38">
                  <c:v>26223.132083945544</c:v>
                </c:pt>
                <c:pt idx="39">
                  <c:v>26929.454969463903</c:v>
                </c:pt>
                <c:pt idx="40">
                  <c:v>26836.270643274202</c:v>
                </c:pt>
                <c:pt idx="41">
                  <c:v>27501.7659614271</c:v>
                </c:pt>
                <c:pt idx="42">
                  <c:v>27408.175341740814</c:v>
                </c:pt>
                <c:pt idx="43">
                  <c:v>28036.108485768957</c:v>
                </c:pt>
                <c:pt idx="44">
                  <c:v>27945.118338378234</c:v>
                </c:pt>
                <c:pt idx="45">
                  <c:v>28538.270773518641</c:v>
                </c:pt>
                <c:pt idx="46">
                  <c:v>28452.373995098507</c:v>
                </c:pt>
                <c:pt idx="47">
                  <c:v>29013.12116970896</c:v>
                </c:pt>
                <c:pt idx="48">
                  <c:v>28934.419582278417</c:v>
                </c:pt>
                <c:pt idx="49">
                  <c:v>29464.794501062399</c:v>
                </c:pt>
                <c:pt idx="50">
                  <c:v>29395.086645519066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6-4A91-832D-601E6D6B1C04}"/>
            </c:ext>
          </c:extLst>
        </c:ser>
        <c:ser>
          <c:idx val="2"/>
          <c:order val="2"/>
          <c:tx>
            <c:strRef>
              <c:f>'MaxLAI (3)'!$AT$3</c:f>
              <c:strCache>
                <c:ptCount val="1"/>
                <c:pt idx="0">
                  <c:v>BiomassSum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'MaxLAI (3)'!$AT$4:$AT$54</c:f>
              <c:numCache>
                <c:formatCode>General</c:formatCode>
                <c:ptCount val="51"/>
                <c:pt idx="0">
                  <c:v>416.8888888888888</c:v>
                </c:pt>
                <c:pt idx="1">
                  <c:v>562.79549113386065</c:v>
                </c:pt>
                <c:pt idx="2">
                  <c:v>733.61497579849311</c:v>
                </c:pt>
                <c:pt idx="3">
                  <c:v>958.86629757862681</c:v>
                </c:pt>
                <c:pt idx="4">
                  <c:v>1255.2938118333407</c:v>
                </c:pt>
                <c:pt idx="5">
                  <c:v>1643.6077534554511</c:v>
                </c:pt>
                <c:pt idx="6">
                  <c:v>2148.3889431115604</c:v>
                </c:pt>
                <c:pt idx="7">
                  <c:v>2797.0740574686706</c:v>
                </c:pt>
                <c:pt idx="8">
                  <c:v>3617.5608307778689</c:v>
                </c:pt>
                <c:pt idx="9">
                  <c:v>4634.1755241576793</c:v>
                </c:pt>
                <c:pt idx="10">
                  <c:v>5862.3900688134408</c:v>
                </c:pt>
                <c:pt idx="11">
                  <c:v>7303.6927080911228</c:v>
                </c:pt>
                <c:pt idx="12">
                  <c:v>8942.8242300845122</c:v>
                </c:pt>
                <c:pt idx="13">
                  <c:v>10695.149809954706</c:v>
                </c:pt>
                <c:pt idx="14">
                  <c:v>12454.002305277631</c:v>
                </c:pt>
                <c:pt idx="15">
                  <c:v>14226.824145546145</c:v>
                </c:pt>
                <c:pt idx="16">
                  <c:v>15969.502134760725</c:v>
                </c:pt>
                <c:pt idx="17">
                  <c:v>17699.12297943818</c:v>
                </c:pt>
                <c:pt idx="18">
                  <c:v>19387.905347599826</c:v>
                </c:pt>
                <c:pt idx="19">
                  <c:v>21059.531907405799</c:v>
                </c:pt>
                <c:pt idx="20">
                  <c:v>22686.668159801167</c:v>
                </c:pt>
                <c:pt idx="21">
                  <c:v>24300.195131107266</c:v>
                </c:pt>
                <c:pt idx="22">
                  <c:v>25864.286178590992</c:v>
                </c:pt>
                <c:pt idx="23">
                  <c:v>27422.602990529012</c:v>
                </c:pt>
                <c:pt idx="24">
                  <c:v>28920.496509097145</c:v>
                </c:pt>
                <c:pt idx="25">
                  <c:v>30428.118699762534</c:v>
                </c:pt>
                <c:pt idx="26">
                  <c:v>31851.423475590494</c:v>
                </c:pt>
                <c:pt idx="27">
                  <c:v>33319.548087378003</c:v>
                </c:pt>
                <c:pt idx="28">
                  <c:v>34648.414192027936</c:v>
                </c:pt>
                <c:pt idx="29">
                  <c:v>36109.947912790041</c:v>
                </c:pt>
                <c:pt idx="30">
                  <c:v>37293.175360965834</c:v>
                </c:pt>
                <c:pt idx="31">
                  <c:v>38851.889589655984</c:v>
                </c:pt>
                <c:pt idx="32">
                  <c:v>39750.794476688839</c:v>
                </c:pt>
                <c:pt idx="33">
                  <c:v>41687.674218524269</c:v>
                </c:pt>
                <c:pt idx="34">
                  <c:v>42065.572872954726</c:v>
                </c:pt>
                <c:pt idx="35">
                  <c:v>43902.028363634541</c:v>
                </c:pt>
                <c:pt idx="36">
                  <c:v>44222.38620697632</c:v>
                </c:pt>
                <c:pt idx="37">
                  <c:v>45975.609872826746</c:v>
                </c:pt>
                <c:pt idx="38">
                  <c:v>46249.363278124685</c:v>
                </c:pt>
                <c:pt idx="39">
                  <c:v>47919.165454290895</c:v>
                </c:pt>
                <c:pt idx="40">
                  <c:v>48156.748561310254</c:v>
                </c:pt>
                <c:pt idx="41">
                  <c:v>49744.337914477772</c:v>
                </c:pt>
                <c:pt idx="42">
                  <c:v>49954.676757349611</c:v>
                </c:pt>
                <c:pt idx="43">
                  <c:v>51462.138685534548</c:v>
                </c:pt>
                <c:pt idx="44">
                  <c:v>51652.870250110383</c:v>
                </c:pt>
                <c:pt idx="45">
                  <c:v>53082.820633434487</c:v>
                </c:pt>
                <c:pt idx="46">
                  <c:v>53260.503525941152</c:v>
                </c:pt>
                <c:pt idx="47">
                  <c:v>54615.840443509864</c:v>
                </c:pt>
                <c:pt idx="48">
                  <c:v>54786.141546927625</c:v>
                </c:pt>
                <c:pt idx="49">
                  <c:v>56069.872009637169</c:v>
                </c:pt>
                <c:pt idx="50">
                  <c:v>56237.724847375066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6-4A91-832D-601E6D6B1C04}"/>
            </c:ext>
          </c:extLst>
        </c:ser>
        <c:ser>
          <c:idx val="3"/>
          <c:order val="3"/>
          <c:tx>
            <c:strRef>
              <c:f>'MaxLAI (3)'!$BC$3</c:f>
              <c:strCache>
                <c:ptCount val="1"/>
                <c:pt idx="0">
                  <c:v>WeightedBio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'MaxLAI (3)'!$BC$4:$BC$54</c:f>
              <c:numCache>
                <c:formatCode>General</c:formatCode>
                <c:ptCount val="51"/>
                <c:pt idx="0">
                  <c:v>18.08557930030879</c:v>
                </c:pt>
                <c:pt idx="1">
                  <c:v>32.956230733394499</c:v>
                </c:pt>
                <c:pt idx="2">
                  <c:v>57.846970998652402</c:v>
                </c:pt>
                <c:pt idx="3">
                  <c:v>102.15532456039858</c:v>
                </c:pt>
                <c:pt idx="4">
                  <c:v>180.41241671134625</c:v>
                </c:pt>
                <c:pt idx="5">
                  <c:v>316.53932296841447</c:v>
                </c:pt>
                <c:pt idx="6">
                  <c:v>547.6759004334051</c:v>
                </c:pt>
                <c:pt idx="7">
                  <c:v>926.88685367749599</c:v>
                </c:pt>
                <c:pt idx="8">
                  <c:v>1521.323312168367</c:v>
                </c:pt>
                <c:pt idx="9">
                  <c:v>2401.3096053314271</c:v>
                </c:pt>
                <c:pt idx="10">
                  <c:v>3618.1477033274668</c:v>
                </c:pt>
                <c:pt idx="11">
                  <c:v>4909.4842969673682</c:v>
                </c:pt>
                <c:pt idx="12">
                  <c:v>5959.4216752324755</c:v>
                </c:pt>
                <c:pt idx="13">
                  <c:v>6959.8675718836103</c:v>
                </c:pt>
                <c:pt idx="14">
                  <c:v>7875.6765947782314</c:v>
                </c:pt>
                <c:pt idx="15">
                  <c:v>8666.0243583434731</c:v>
                </c:pt>
                <c:pt idx="16">
                  <c:v>9363.5244870125207</c:v>
                </c:pt>
                <c:pt idx="17">
                  <c:v>9942.9144104442275</c:v>
                </c:pt>
                <c:pt idx="18">
                  <c:v>10478.854400163804</c:v>
                </c:pt>
                <c:pt idx="19">
                  <c:v>10934.580392959582</c:v>
                </c:pt>
                <c:pt idx="20">
                  <c:v>11417.124617100182</c:v>
                </c:pt>
                <c:pt idx="21">
                  <c:v>11850.045471341091</c:v>
                </c:pt>
                <c:pt idx="22">
                  <c:v>12373.917393661302</c:v>
                </c:pt>
                <c:pt idx="23">
                  <c:v>12845.49037484092</c:v>
                </c:pt>
                <c:pt idx="24">
                  <c:v>13460.659396607327</c:v>
                </c:pt>
                <c:pt idx="25">
                  <c:v>13975.70102530136</c:v>
                </c:pt>
                <c:pt idx="26">
                  <c:v>14697.884103076776</c:v>
                </c:pt>
                <c:pt idx="27">
                  <c:v>15212.862411436472</c:v>
                </c:pt>
                <c:pt idx="28">
                  <c:v>16060.531969239928</c:v>
                </c:pt>
                <c:pt idx="29">
                  <c:v>16483.592784660908</c:v>
                </c:pt>
                <c:pt idx="30">
                  <c:v>17532.929731883436</c:v>
                </c:pt>
                <c:pt idx="31">
                  <c:v>17215.606542725433</c:v>
                </c:pt>
                <c:pt idx="32">
                  <c:v>19106.442318245674</c:v>
                </c:pt>
                <c:pt idx="33">
                  <c:v>11757.835026323681</c:v>
                </c:pt>
                <c:pt idx="34">
                  <c:v>20265.040232534331</c:v>
                </c:pt>
                <c:pt idx="35">
                  <c:v>12195.316549760493</c:v>
                </c:pt>
                <c:pt idx="36">
                  <c:v>21375.058629175801</c:v>
                </c:pt>
                <c:pt idx="37">
                  <c:v>12678.705320453653</c:v>
                </c:pt>
                <c:pt idx="38">
                  <c:v>22437.882563292522</c:v>
                </c:pt>
                <c:pt idx="39">
                  <c:v>13227.756164778173</c:v>
                </c:pt>
                <c:pt idx="40">
                  <c:v>23451.399943032891</c:v>
                </c:pt>
                <c:pt idx="41">
                  <c:v>13842.897245118485</c:v>
                </c:pt>
                <c:pt idx="42">
                  <c:v>24415.635268938779</c:v>
                </c:pt>
                <c:pt idx="43">
                  <c:v>14522.829824054086</c:v>
                </c:pt>
                <c:pt idx="44">
                  <c:v>25332.000559200962</c:v>
                </c:pt>
                <c:pt idx="45">
                  <c:v>15265.380763651687</c:v>
                </c:pt>
                <c:pt idx="46">
                  <c:v>26202.776047770851</c:v>
                </c:pt>
                <c:pt idx="47">
                  <c:v>16068.092253675492</c:v>
                </c:pt>
                <c:pt idx="48">
                  <c:v>27030.748702585555</c:v>
                </c:pt>
                <c:pt idx="49">
                  <c:v>16928.586806775409</c:v>
                </c:pt>
                <c:pt idx="50">
                  <c:v>27818.965583831894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6-4A91-832D-601E6D6B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583935"/>
        <c:axId val="1630574783"/>
      </c:lineChart>
      <c:catAx>
        <c:axId val="16305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4783"/>
        <c:crosses val="autoZero"/>
        <c:auto val="1"/>
        <c:lblAlgn val="ctr"/>
        <c:lblOffset val="100"/>
        <c:noMultiLvlLbl val="0"/>
      </c:catAx>
      <c:valAx>
        <c:axId val="163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'MaxLAI (2)'!$AU$41:$AU$53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'MaxLAI (2)'!$AV$41:$AV$53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0.86370500304913267</c:v>
                </c:pt>
                <c:pt idx="5">
                  <c:v>0.57963125381141589</c:v>
                </c:pt>
                <c:pt idx="6">
                  <c:v>0.295557504573699</c:v>
                </c:pt>
                <c:pt idx="7">
                  <c:v>1.1483755335982226E-2</c:v>
                </c:pt>
                <c:pt idx="8">
                  <c:v>-0.27258999390173444</c:v>
                </c:pt>
                <c:pt idx="9">
                  <c:v>-0.55666374313945144</c:v>
                </c:pt>
                <c:pt idx="10">
                  <c:v>-0.84073749237716822</c:v>
                </c:pt>
                <c:pt idx="11">
                  <c:v>-1.1248112416148852</c:v>
                </c:pt>
                <c:pt idx="12">
                  <c:v>-1.4088849908526018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6-49F4-AA5A-D1E82EF8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(2)'!$E$3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(2)'!$E$4:$E$33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0.6208802475744889</c:v>
                </c:pt>
                <c:pt idx="11">
                  <c:v>0.72687007275282589</c:v>
                </c:pt>
                <c:pt idx="12">
                  <c:v>0.84345374803566386</c:v>
                </c:pt>
                <c:pt idx="13">
                  <c:v>0.96978681942225631</c:v>
                </c:pt>
                <c:pt idx="14">
                  <c:v>1.1043271359707845</c:v>
                </c:pt>
                <c:pt idx="15">
                  <c:v>1.2451485229182928</c:v>
                </c:pt>
                <c:pt idx="16">
                  <c:v>1.3900611682883162</c:v>
                </c:pt>
                <c:pt idx="17">
                  <c:v>1.5367558867012556</c:v>
                </c:pt>
                <c:pt idx="18">
                  <c:v>1.6829470316499544</c:v>
                </c:pt>
                <c:pt idx="19">
                  <c:v>1.82661012988128</c:v>
                </c:pt>
                <c:pt idx="20">
                  <c:v>1.9679234987915351</c:v>
                </c:pt>
                <c:pt idx="21">
                  <c:v>2.1065044855634114</c:v>
                </c:pt>
                <c:pt idx="22">
                  <c:v>2.2414730466743946</c:v>
                </c:pt>
                <c:pt idx="23">
                  <c:v>2.3715935572941942</c:v>
                </c:pt>
                <c:pt idx="24">
                  <c:v>2.4954855274128644</c:v>
                </c:pt>
                <c:pt idx="25">
                  <c:v>2.6118157122903192</c:v>
                </c:pt>
                <c:pt idx="26">
                  <c:v>2.7194342726231095</c:v>
                </c:pt>
                <c:pt idx="27">
                  <c:v>2.8174508915476095</c:v>
                </c:pt>
                <c:pt idx="28">
                  <c:v>2.9052613677129733</c:v>
                </c:pt>
                <c:pt idx="29">
                  <c:v>2.9825392002795259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7-442F-AFF3-F1B62B6587A2}"/>
            </c:ext>
          </c:extLst>
        </c:ser>
        <c:ser>
          <c:idx val="1"/>
          <c:order val="1"/>
          <c:tx>
            <c:strRef>
              <c:f>'MaxLAI (2)'!$G$3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(2)'!$G$4:$G$33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0.61669791315067668</c:v>
                </c:pt>
                <c:pt idx="11">
                  <c:v>0.7024366234208852</c:v>
                </c:pt>
                <c:pt idx="12">
                  <c:v>0.79147951502855929</c:v>
                </c:pt>
                <c:pt idx="13">
                  <c:v>0.88101223815482588</c:v>
                </c:pt>
                <c:pt idx="14">
                  <c:v>0.96889480883953072</c:v>
                </c:pt>
                <c:pt idx="15">
                  <c:v>1.053129270627948</c:v>
                </c:pt>
                <c:pt idx="16">
                  <c:v>1.1319621177011026</c:v>
                </c:pt>
                <c:pt idx="17">
                  <c:v>1.2039670142974699</c:v>
                </c:pt>
                <c:pt idx="18">
                  <c:v>1.2689782590438146</c:v>
                </c:pt>
                <c:pt idx="19">
                  <c:v>1.3433496804687859</c:v>
                </c:pt>
                <c:pt idx="20">
                  <c:v>1.4250238533741411</c:v>
                </c:pt>
                <c:pt idx="21">
                  <c:v>1.5106916168338231</c:v>
                </c:pt>
                <c:pt idx="22">
                  <c:v>1.5968782003506059</c:v>
                </c:pt>
                <c:pt idx="23">
                  <c:v>1.6807035210672912</c:v>
                </c:pt>
                <c:pt idx="24">
                  <c:v>1.7601487575844179</c:v>
                </c:pt>
                <c:pt idx="25">
                  <c:v>1.834016874983095</c:v>
                </c:pt>
                <c:pt idx="26">
                  <c:v>1.9017728864505907</c:v>
                </c:pt>
                <c:pt idx="27">
                  <c:v>1.9633611702693581</c:v>
                </c:pt>
                <c:pt idx="28">
                  <c:v>2.0190392382886482</c:v>
                </c:pt>
                <c:pt idx="29">
                  <c:v>2.0692426137393878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7-442F-AFF3-F1B62B65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(2)'!$U$3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(2)'!$U$4:$U$33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1.3755041221321684</c:v>
                </c:pt>
                <c:pt idx="11">
                  <c:v>1.5621658694069731</c:v>
                </c:pt>
                <c:pt idx="12">
                  <c:v>1.7100479718789787</c:v>
                </c:pt>
                <c:pt idx="13">
                  <c:v>1.8122012842284827</c:v>
                </c:pt>
                <c:pt idx="14">
                  <c:v>1.8683885651686123</c:v>
                </c:pt>
                <c:pt idx="15">
                  <c:v>1.8835344095263011</c:v>
                </c:pt>
                <c:pt idx="16">
                  <c:v>1.8652375288059673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31D-88A6-D2D326CE8D06}"/>
            </c:ext>
          </c:extLst>
        </c:ser>
        <c:ser>
          <c:idx val="1"/>
          <c:order val="1"/>
          <c:tx>
            <c:strRef>
              <c:f>'MaxLAI (2)'!$W$3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(2)'!$W$4:$W$33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1.3662072990391163</c:v>
                </c:pt>
                <c:pt idx="11">
                  <c:v>1.5187071243162653</c:v>
                </c:pt>
                <c:pt idx="12">
                  <c:v>1.6395260843978099</c:v>
                </c:pt>
                <c:pt idx="13">
                  <c:v>1.7262307817167541</c:v>
                </c:pt>
                <c:pt idx="14">
                  <c:v>1.7821750629750739</c:v>
                </c:pt>
                <c:pt idx="15">
                  <c:v>1.8130812538020109</c:v>
                </c:pt>
                <c:pt idx="16">
                  <c:v>1.8252843953859426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31D-88A6-D2D326CE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29440"/>
        <c:axId val="1292164368"/>
      </c:lineChart>
      <c:catAx>
        <c:axId val="130162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64368"/>
        <c:crosses val="autoZero"/>
        <c:auto val="1"/>
        <c:lblAlgn val="ctr"/>
        <c:lblOffset val="100"/>
        <c:noMultiLvlLbl val="0"/>
      </c:catAx>
      <c:valAx>
        <c:axId val="1292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(2)'!$AI$3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(2)'!$AI$4:$AI$33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7-4242-BF27-9860822E4696}"/>
            </c:ext>
          </c:extLst>
        </c:ser>
        <c:ser>
          <c:idx val="1"/>
          <c:order val="1"/>
          <c:tx>
            <c:strRef>
              <c:f>'MaxLAI (2)'!$AK$3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(2)'!$AK$4:$AK$33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7-4242-BF27-9860822E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06272"/>
        <c:axId val="1292158544"/>
      </c:lineChart>
      <c:catAx>
        <c:axId val="130560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58544"/>
        <c:crosses val="autoZero"/>
        <c:auto val="1"/>
        <c:lblAlgn val="ctr"/>
        <c:lblOffset val="100"/>
        <c:noMultiLvlLbl val="0"/>
      </c:catAx>
      <c:valAx>
        <c:axId val="12921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'MaxLAI (2)'!$AN$3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'MaxLAI (2)'!$AN$4:$AN$33</c:f>
              <c:numCache>
                <c:formatCode>General</c:formatCode>
                <c:ptCount val="30"/>
                <c:pt idx="0">
                  <c:v>0.20678378244692719</c:v>
                </c:pt>
                <c:pt idx="1">
                  <c:v>0.26751574024125274</c:v>
                </c:pt>
                <c:pt idx="2">
                  <c:v>0.34355512338008309</c:v>
                </c:pt>
                <c:pt idx="3">
                  <c:v>0.44135125545886689</c:v>
                </c:pt>
                <c:pt idx="4">
                  <c:v>0.56584347762569276</c:v>
                </c:pt>
                <c:pt idx="5">
                  <c:v>0.72204135967015304</c:v>
                </c:pt>
                <c:pt idx="6">
                  <c:v>0.91395261756546298</c:v>
                </c:pt>
                <c:pt idx="7">
                  <c:v>1.1430659225322655</c:v>
                </c:pt>
                <c:pt idx="8">
                  <c:v>1.4065304720186518</c:v>
                </c:pt>
                <c:pt idx="9">
                  <c:v>1.695733744151064</c:v>
                </c:pt>
                <c:pt idx="10">
                  <c:v>1.9963843697066572</c:v>
                </c:pt>
                <c:pt idx="11">
                  <c:v>2.2890359421597992</c:v>
                </c:pt>
                <c:pt idx="12">
                  <c:v>2.5535017199146424</c:v>
                </c:pt>
                <c:pt idx="13">
                  <c:v>2.7819881036507388</c:v>
                </c:pt>
                <c:pt idx="14">
                  <c:v>2.9727157011393968</c:v>
                </c:pt>
                <c:pt idx="15">
                  <c:v>3.1286829324445939</c:v>
                </c:pt>
                <c:pt idx="16">
                  <c:v>3.2552986970942834</c:v>
                </c:pt>
                <c:pt idx="17">
                  <c:v>3.3584467389286807</c:v>
                </c:pt>
                <c:pt idx="18">
                  <c:v>3.4434542626901914</c:v>
                </c:pt>
                <c:pt idx="19">
                  <c:v>3.5169693301341542</c:v>
                </c:pt>
                <c:pt idx="20">
                  <c:v>3.5848200404787844</c:v>
                </c:pt>
                <c:pt idx="21">
                  <c:v>3.6503449161697663</c:v>
                </c:pt>
                <c:pt idx="22">
                  <c:v>3.7149283338341479</c:v>
                </c:pt>
                <c:pt idx="23">
                  <c:v>3.7785837043641828</c:v>
                </c:pt>
                <c:pt idx="24">
                  <c:v>3.8405119833672696</c:v>
                </c:pt>
                <c:pt idx="25">
                  <c:v>3.8995432809530302</c:v>
                </c:pt>
                <c:pt idx="26">
                  <c:v>3.9544420233821227</c:v>
                </c:pt>
                <c:pt idx="27">
                  <c:v>4.0040931366109795</c:v>
                </c:pt>
                <c:pt idx="28">
                  <c:v>4.0475981450512037</c:v>
                </c:pt>
                <c:pt idx="29">
                  <c:v>4.0843093868574663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3-4931-B2C0-D6EA78547E9C}"/>
            </c:ext>
          </c:extLst>
        </c:ser>
        <c:ser>
          <c:idx val="1"/>
          <c:order val="1"/>
          <c:tx>
            <c:strRef>
              <c:f>'MaxLAI (2)'!$AQ$3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'MaxLAI (2)'!$AQ$4:$AQ$33</c:f>
              <c:numCache>
                <c:formatCode>General</c:formatCode>
                <c:ptCount val="30"/>
                <c:pt idx="0">
                  <c:v>0.20678378244692719</c:v>
                </c:pt>
                <c:pt idx="1">
                  <c:v>0.26751574024125274</c:v>
                </c:pt>
                <c:pt idx="2">
                  <c:v>0.34355512338008309</c:v>
                </c:pt>
                <c:pt idx="3">
                  <c:v>0.44135125545886689</c:v>
                </c:pt>
                <c:pt idx="4">
                  <c:v>0.56584347762569276</c:v>
                </c:pt>
                <c:pt idx="5">
                  <c:v>0.72204135967015304</c:v>
                </c:pt>
                <c:pt idx="6">
                  <c:v>0.91395261756546298</c:v>
                </c:pt>
                <c:pt idx="7">
                  <c:v>1.1430659225322655</c:v>
                </c:pt>
                <c:pt idx="8">
                  <c:v>1.4065304720186518</c:v>
                </c:pt>
                <c:pt idx="9">
                  <c:v>1.695733744151064</c:v>
                </c:pt>
                <c:pt idx="10">
                  <c:v>1.982905212189793</c:v>
                </c:pt>
                <c:pt idx="11">
                  <c:v>2.2211437477371505</c:v>
                </c:pt>
                <c:pt idx="12">
                  <c:v>2.4310055994263693</c:v>
                </c:pt>
                <c:pt idx="13">
                  <c:v>2.6072430198715799</c:v>
                </c:pt>
                <c:pt idx="14">
                  <c:v>2.7510698718146047</c:v>
                </c:pt>
                <c:pt idx="15">
                  <c:v>2.8662105244299587</c:v>
                </c:pt>
                <c:pt idx="16">
                  <c:v>2.9572465130870453</c:v>
                </c:pt>
                <c:pt idx="17">
                  <c:v>3.0256578665248952</c:v>
                </c:pt>
                <c:pt idx="18">
                  <c:v>3.0294854900840518</c:v>
                </c:pt>
                <c:pt idx="19">
                  <c:v>3.0337088807216599</c:v>
                </c:pt>
                <c:pt idx="20">
                  <c:v>3.0419203950613909</c:v>
                </c:pt>
                <c:pt idx="21">
                  <c:v>3.054532047440178</c:v>
                </c:pt>
                <c:pt idx="22">
                  <c:v>3.0703334875103589</c:v>
                </c:pt>
                <c:pt idx="23">
                  <c:v>3.0876936681372795</c:v>
                </c:pt>
                <c:pt idx="24">
                  <c:v>3.1051752135388231</c:v>
                </c:pt>
                <c:pt idx="25">
                  <c:v>3.1217444436458059</c:v>
                </c:pt>
                <c:pt idx="26">
                  <c:v>3.1367806372096041</c:v>
                </c:pt>
                <c:pt idx="27">
                  <c:v>3.1500034153327281</c:v>
                </c:pt>
                <c:pt idx="28">
                  <c:v>3.1613760156268791</c:v>
                </c:pt>
                <c:pt idx="29">
                  <c:v>3.1710128003173281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3-4931-B2C0-D6EA785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32495"/>
        <c:axId val="41375935"/>
      </c:lineChart>
      <c:catAx>
        <c:axId val="52713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935"/>
        <c:crosses val="autoZero"/>
        <c:auto val="1"/>
        <c:lblAlgn val="ctr"/>
        <c:lblOffset val="100"/>
        <c:noMultiLvlLbl val="0"/>
      </c:catAx>
      <c:valAx>
        <c:axId val="413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'MaxLAI (2)'!$A$2</c:f>
              <c:strCache>
                <c:ptCount val="1"/>
                <c:pt idx="0">
                  <c:v>Cohort1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'MaxLAI (2)'!$G$4:$G$33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0.61669791315067668</c:v>
                </c:pt>
                <c:pt idx="11">
                  <c:v>0.7024366234208852</c:v>
                </c:pt>
                <c:pt idx="12">
                  <c:v>0.79147951502855929</c:v>
                </c:pt>
                <c:pt idx="13">
                  <c:v>0.88101223815482588</c:v>
                </c:pt>
                <c:pt idx="14">
                  <c:v>0.96889480883953072</c:v>
                </c:pt>
                <c:pt idx="15">
                  <c:v>1.053129270627948</c:v>
                </c:pt>
                <c:pt idx="16">
                  <c:v>1.1319621177011026</c:v>
                </c:pt>
                <c:pt idx="17">
                  <c:v>1.2039670142974699</c:v>
                </c:pt>
                <c:pt idx="18">
                  <c:v>1.2689782590438146</c:v>
                </c:pt>
                <c:pt idx="19">
                  <c:v>1.3433496804687859</c:v>
                </c:pt>
                <c:pt idx="20">
                  <c:v>1.4250238533741411</c:v>
                </c:pt>
                <c:pt idx="21">
                  <c:v>1.5106916168338231</c:v>
                </c:pt>
                <c:pt idx="22">
                  <c:v>1.5968782003506059</c:v>
                </c:pt>
                <c:pt idx="23">
                  <c:v>1.6807035210672912</c:v>
                </c:pt>
                <c:pt idx="24">
                  <c:v>1.7601487575844179</c:v>
                </c:pt>
                <c:pt idx="25">
                  <c:v>1.834016874983095</c:v>
                </c:pt>
                <c:pt idx="26">
                  <c:v>1.9017728864505907</c:v>
                </c:pt>
                <c:pt idx="27">
                  <c:v>1.9633611702693581</c:v>
                </c:pt>
                <c:pt idx="28">
                  <c:v>2.0190392382886482</c:v>
                </c:pt>
                <c:pt idx="29">
                  <c:v>2.0692426137393878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569-82DF-9D12F5B8880F}"/>
            </c:ext>
          </c:extLst>
        </c:ser>
        <c:ser>
          <c:idx val="1"/>
          <c:order val="1"/>
          <c:tx>
            <c:strRef>
              <c:f>'MaxLAI (2)'!$Q$2</c:f>
              <c:strCache>
                <c:ptCount val="1"/>
                <c:pt idx="0">
                  <c:v>Cohort2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'MaxLAI (2)'!$W$4:$W$33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1.3662072990391163</c:v>
                </c:pt>
                <c:pt idx="11">
                  <c:v>1.5187071243162653</c:v>
                </c:pt>
                <c:pt idx="12">
                  <c:v>1.6395260843978099</c:v>
                </c:pt>
                <c:pt idx="13">
                  <c:v>1.7262307817167541</c:v>
                </c:pt>
                <c:pt idx="14">
                  <c:v>1.7821750629750739</c:v>
                </c:pt>
                <c:pt idx="15">
                  <c:v>1.8130812538020109</c:v>
                </c:pt>
                <c:pt idx="16">
                  <c:v>1.8252843953859426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569-82DF-9D12F5B8880F}"/>
            </c:ext>
          </c:extLst>
        </c:ser>
        <c:ser>
          <c:idx val="2"/>
          <c:order val="2"/>
          <c:tx>
            <c:strRef>
              <c:f>'MaxLAI (2)'!$AG$2</c:f>
              <c:strCache>
                <c:ptCount val="1"/>
                <c:pt idx="0">
                  <c:v>Cohort3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'MaxLAI (2)'!$AK$4:$AK$33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569-82DF-9D12F5B88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025024"/>
        <c:axId val="41396319"/>
      </c:barChart>
      <c:catAx>
        <c:axId val="10310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6319"/>
        <c:crosses val="autoZero"/>
        <c:auto val="1"/>
        <c:lblAlgn val="ctr"/>
        <c:lblOffset val="100"/>
        <c:noMultiLvlLbl val="0"/>
      </c:catAx>
      <c:valAx>
        <c:axId val="413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 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'MaxLAI (2)'!$A$2</c:f>
              <c:strCache>
                <c:ptCount val="1"/>
                <c:pt idx="0">
                  <c:v>Cohort1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'MaxLAI (2)'!$E$4:$E$33</c:f>
              <c:numCache>
                <c:formatCode>General</c:formatCode>
                <c:ptCount val="30"/>
                <c:pt idx="0">
                  <c:v>0.10840769107348641</c:v>
                </c:pt>
                <c:pt idx="1">
                  <c:v>0.13085571947288435</c:v>
                </c:pt>
                <c:pt idx="2">
                  <c:v>0.15662689578203551</c:v>
                </c:pt>
                <c:pt idx="3">
                  <c:v>0.18731398768616217</c:v>
                </c:pt>
                <c:pt idx="4">
                  <c:v>0.22371705790091212</c:v>
                </c:pt>
                <c:pt idx="5">
                  <c:v>0.26677725483967718</c:v>
                </c:pt>
                <c:pt idx="6">
                  <c:v>0.31753580199388376</c:v>
                </c:pt>
                <c:pt idx="7">
                  <c:v>0.37712345027290445</c:v>
                </c:pt>
                <c:pt idx="8">
                  <c:v>0.44673606356344819</c:v>
                </c:pt>
                <c:pt idx="9">
                  <c:v>0.52759389349570973</c:v>
                </c:pt>
                <c:pt idx="10">
                  <c:v>0.6208802475744889</c:v>
                </c:pt>
                <c:pt idx="11">
                  <c:v>0.72687007275282589</c:v>
                </c:pt>
                <c:pt idx="12">
                  <c:v>0.84345374803566386</c:v>
                </c:pt>
                <c:pt idx="13">
                  <c:v>0.96978681942225631</c:v>
                </c:pt>
                <c:pt idx="14">
                  <c:v>1.1043271359707845</c:v>
                </c:pt>
                <c:pt idx="15">
                  <c:v>1.2451485229182928</c:v>
                </c:pt>
                <c:pt idx="16">
                  <c:v>1.3900611682883162</c:v>
                </c:pt>
                <c:pt idx="17">
                  <c:v>1.5367558867012556</c:v>
                </c:pt>
                <c:pt idx="18">
                  <c:v>1.6829470316499544</c:v>
                </c:pt>
                <c:pt idx="19">
                  <c:v>1.82661012988128</c:v>
                </c:pt>
                <c:pt idx="20">
                  <c:v>1.9679234987915351</c:v>
                </c:pt>
                <c:pt idx="21">
                  <c:v>2.1065044855634114</c:v>
                </c:pt>
                <c:pt idx="22">
                  <c:v>2.2414730466743946</c:v>
                </c:pt>
                <c:pt idx="23">
                  <c:v>2.3715935572941942</c:v>
                </c:pt>
                <c:pt idx="24">
                  <c:v>2.4954855274128644</c:v>
                </c:pt>
                <c:pt idx="25">
                  <c:v>2.6118157122903192</c:v>
                </c:pt>
                <c:pt idx="26">
                  <c:v>2.7194342726231095</c:v>
                </c:pt>
                <c:pt idx="27">
                  <c:v>2.8174508915476095</c:v>
                </c:pt>
                <c:pt idx="28">
                  <c:v>2.9052613677129733</c:v>
                </c:pt>
                <c:pt idx="29">
                  <c:v>2.9825392002795259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D-47A5-A1C2-09A657659474}"/>
            </c:ext>
          </c:extLst>
        </c:ser>
        <c:ser>
          <c:idx val="1"/>
          <c:order val="1"/>
          <c:tx>
            <c:strRef>
              <c:f>'MaxLAI (2)'!$Q$2</c:f>
              <c:strCache>
                <c:ptCount val="1"/>
                <c:pt idx="0">
                  <c:v>Cohort2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'MaxLAI (2)'!$U$4:$U$33</c:f>
              <c:numCache>
                <c:formatCode>General</c:formatCode>
                <c:ptCount val="30"/>
                <c:pt idx="0">
                  <c:v>9.8376091373440777E-2</c:v>
                </c:pt>
                <c:pt idx="1">
                  <c:v>0.13666002076836839</c:v>
                </c:pt>
                <c:pt idx="2">
                  <c:v>0.18692822759804759</c:v>
                </c:pt>
                <c:pt idx="3">
                  <c:v>0.25403726777270469</c:v>
                </c:pt>
                <c:pt idx="4">
                  <c:v>0.34212641972478064</c:v>
                </c:pt>
                <c:pt idx="5">
                  <c:v>0.45526410483047586</c:v>
                </c:pt>
                <c:pt idx="6">
                  <c:v>0.59641681557157922</c:v>
                </c:pt>
                <c:pt idx="7">
                  <c:v>0.76594247225936096</c:v>
                </c:pt>
                <c:pt idx="8">
                  <c:v>0.95979440845520358</c:v>
                </c:pt>
                <c:pt idx="9">
                  <c:v>1.1681398506553544</c:v>
                </c:pt>
                <c:pt idx="10">
                  <c:v>1.3755041221321684</c:v>
                </c:pt>
                <c:pt idx="11">
                  <c:v>1.5621658694069731</c:v>
                </c:pt>
                <c:pt idx="12">
                  <c:v>1.7100479718789787</c:v>
                </c:pt>
                <c:pt idx="13">
                  <c:v>1.8122012842284827</c:v>
                </c:pt>
                <c:pt idx="14">
                  <c:v>1.8683885651686123</c:v>
                </c:pt>
                <c:pt idx="15">
                  <c:v>1.8835344095263011</c:v>
                </c:pt>
                <c:pt idx="16">
                  <c:v>1.8652375288059673</c:v>
                </c:pt>
                <c:pt idx="17">
                  <c:v>1.8216908522274253</c:v>
                </c:pt>
                <c:pt idx="18">
                  <c:v>1.760507231040237</c:v>
                </c:pt>
                <c:pt idx="19">
                  <c:v>1.6903592002528742</c:v>
                </c:pt>
                <c:pt idx="20">
                  <c:v>1.6168965416872496</c:v>
                </c:pt>
                <c:pt idx="21">
                  <c:v>1.5438404306063549</c:v>
                </c:pt>
                <c:pt idx="22">
                  <c:v>1.4734552871597533</c:v>
                </c:pt>
                <c:pt idx="23">
                  <c:v>1.4069901470699886</c:v>
                </c:pt>
                <c:pt idx="24">
                  <c:v>1.345026455954405</c:v>
                </c:pt>
                <c:pt idx="25">
                  <c:v>1.2877275686627112</c:v>
                </c:pt>
                <c:pt idx="26">
                  <c:v>1.2350077507590131</c:v>
                </c:pt>
                <c:pt idx="27">
                  <c:v>1.1866422450633702</c:v>
                </c:pt>
                <c:pt idx="28">
                  <c:v>1.1423367773382309</c:v>
                </c:pt>
                <c:pt idx="29">
                  <c:v>1.1017701865779401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D-47A5-A1C2-09A657659474}"/>
            </c:ext>
          </c:extLst>
        </c:ser>
        <c:ser>
          <c:idx val="2"/>
          <c:order val="2"/>
          <c:tx>
            <c:strRef>
              <c:f>'MaxLAI (2)'!$AG$2</c:f>
              <c:strCache>
                <c:ptCount val="1"/>
                <c:pt idx="0">
                  <c:v>Cohort3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'MaxLAI (2)'!$AI$4:$AI$33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D-47A5-A1C2-09A65765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221440"/>
        <c:axId val="41387999"/>
      </c:barChart>
      <c:catAx>
        <c:axId val="208522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999"/>
        <c:crosses val="autoZero"/>
        <c:auto val="1"/>
        <c:lblAlgn val="ctr"/>
        <c:lblOffset val="100"/>
        <c:noMultiLvlLbl val="0"/>
      </c:catAx>
      <c:valAx>
        <c:axId val="413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0.14113837077714028</c:v>
                </c:pt>
                <c:pt idx="1">
                  <c:v>0.95793891837537359</c:v>
                </c:pt>
                <c:pt idx="2">
                  <c:v>5.2722592126823011</c:v>
                </c:pt>
                <c:pt idx="3">
                  <c:v>10.567008000359507</c:v>
                </c:pt>
                <c:pt idx="4">
                  <c:v>16.066512336225557</c:v>
                </c:pt>
                <c:pt idx="5">
                  <c:v>20.387454119152032</c:v>
                </c:pt>
                <c:pt idx="6">
                  <c:v>21.879529332053057</c:v>
                </c:pt>
                <c:pt idx="7">
                  <c:v>20.373547637140483</c:v>
                </c:pt>
                <c:pt idx="8">
                  <c:v>22.603999785800536</c:v>
                </c:pt>
                <c:pt idx="9">
                  <c:v>40.563106689940419</c:v>
                </c:pt>
                <c:pt idx="10">
                  <c:v>72.133112928584637</c:v>
                </c:pt>
                <c:pt idx="11">
                  <c:v>127.17598563657056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D-4869-9775-C86519CEE2EB}"/>
            </c:ext>
          </c:extLst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0.77952907928757054</c:v>
                </c:pt>
                <c:pt idx="2">
                  <c:v>5.3223291570019988</c:v>
                </c:pt>
                <c:pt idx="3">
                  <c:v>10.480299439500437</c:v>
                </c:pt>
                <c:pt idx="4">
                  <c:v>15.507441347585232</c:v>
                </c:pt>
                <c:pt idx="5">
                  <c:v>18.373465983625362</c:v>
                </c:pt>
                <c:pt idx="6">
                  <c:v>16.569549553856724</c:v>
                </c:pt>
                <c:pt idx="7">
                  <c:v>8.6874124141816313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D-4869-9775-C86519CE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1184"/>
        <c:axId val="597980008"/>
      </c:lineChart>
      <c:catAx>
        <c:axId val="5979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0008"/>
        <c:crosses val="autoZero"/>
        <c:auto val="1"/>
        <c:lblAlgn val="ctr"/>
        <c:lblOffset val="100"/>
        <c:noMultiLvlLbl val="0"/>
      </c:catAx>
      <c:valAx>
        <c:axId val="59798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F-44A0-829A-C905ED6FE162}"/>
            </c:ext>
          </c:extLst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0.97222222222222221</c:v>
                </c:pt>
                <c:pt idx="6">
                  <c:v>0.80246913580246915</c:v>
                </c:pt>
                <c:pt idx="7">
                  <c:v>0.47839506172839508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F-44A0-829A-C905ED6F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7064"/>
        <c:axId val="597981576"/>
      </c:lineChart>
      <c:catAx>
        <c:axId val="5979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1576"/>
        <c:crosses val="autoZero"/>
        <c:auto val="1"/>
        <c:lblAlgn val="ctr"/>
        <c:lblOffset val="100"/>
        <c:noMultiLvlLbl val="0"/>
      </c:catAx>
      <c:valAx>
        <c:axId val="5979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Amax (maxPsn) is a function of foliar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'Amax A&amp;B worksheet'!$B$1</c:f>
              <c:strCache>
                <c:ptCount val="1"/>
                <c:pt idx="0">
                  <c:v>Amax-decid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worksheet'!$B$2:$B$9</c:f>
              <c:numCache>
                <c:formatCode>General</c:formatCode>
                <c:ptCount val="8"/>
                <c:pt idx="0">
                  <c:v>-46</c:v>
                </c:pt>
                <c:pt idx="1">
                  <c:v>-10.049999999999997</c:v>
                </c:pt>
                <c:pt idx="2">
                  <c:v>25.900000000000006</c:v>
                </c:pt>
                <c:pt idx="3">
                  <c:v>61.850000000000009</c:v>
                </c:pt>
                <c:pt idx="4">
                  <c:v>97.800000000000011</c:v>
                </c:pt>
                <c:pt idx="5">
                  <c:v>133.75</c:v>
                </c:pt>
                <c:pt idx="6">
                  <c:v>169.70000000000002</c:v>
                </c:pt>
                <c:pt idx="7">
                  <c:v>205.65000000000003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1-48DF-804C-ABFE393BE8EE}"/>
            </c:ext>
          </c:extLst>
        </c:ser>
        <c:ser>
          <c:idx val="1"/>
          <c:order val="1"/>
          <c:tx>
            <c:strRef>
              <c:f>'Amax A&amp;B worksheet'!$C$1</c:f>
              <c:strCache>
                <c:ptCount val="1"/>
                <c:pt idx="0">
                  <c:v>Amax-evergreen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worksheet'!$C$2:$C$9</c:f>
              <c:numCache>
                <c:formatCode>General</c:formatCode>
                <c:ptCount val="8"/>
                <c:pt idx="0">
                  <c:v>5.3</c:v>
                </c:pt>
                <c:pt idx="1">
                  <c:v>16.05</c:v>
                </c:pt>
                <c:pt idx="2">
                  <c:v>26.8</c:v>
                </c:pt>
                <c:pt idx="3">
                  <c:v>37.549999999999997</c:v>
                </c:pt>
                <c:pt idx="4">
                  <c:v>48.3</c:v>
                </c:pt>
                <c:pt idx="5">
                  <c:v>59.05</c:v>
                </c:pt>
                <c:pt idx="6">
                  <c:v>69.8</c:v>
                </c:pt>
                <c:pt idx="7">
                  <c:v>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1-48DF-804C-ABFE393B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2360"/>
        <c:axId val="597989024"/>
      </c:lineChart>
      <c:catAx>
        <c:axId val="5979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24"/>
        <c:crosses val="autoZero"/>
        <c:auto val="1"/>
        <c:lblAlgn val="ctr"/>
        <c:lblOffset val="100"/>
        <c:noMultiLvlLbl val="0"/>
      </c:catAx>
      <c:valAx>
        <c:axId val="5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DTemp!$J$1</c:f>
              <c:strCache>
                <c:ptCount val="1"/>
                <c:pt idx="0">
                  <c:v>Old Dtemp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0.96155324875048054</c:v>
                </c:pt>
                <c:pt idx="8">
                  <c:v>0.84621299500192237</c:v>
                </c:pt>
                <c:pt idx="9">
                  <c:v>0.65397923875432529</c:v>
                </c:pt>
                <c:pt idx="10">
                  <c:v>0.38485198000768933</c:v>
                </c:pt>
                <c:pt idx="11">
                  <c:v>3.8831218762014612E-2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8-4E47-B6DE-D8C9DACCE371}"/>
            </c:ext>
          </c:extLst>
        </c:ser>
        <c:ser>
          <c:idx val="1"/>
          <c:order val="1"/>
          <c:tx>
            <c:strRef>
              <c:f>DTemp!$K$1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0.69135802469135799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8-4E47-B6DE-D8C9DACC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224"/>
        <c:axId val="597978048"/>
      </c:lineChart>
      <c:catAx>
        <c:axId val="5979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048"/>
        <c:crosses val="autoZero"/>
        <c:auto val="1"/>
        <c:lblAlgn val="ctr"/>
        <c:lblOffset val="100"/>
        <c:noMultiLvlLbl val="0"/>
      </c:catAx>
      <c:valAx>
        <c:axId val="597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DTemp!$T$1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16.299447514135025</c:v>
                </c:pt>
                <c:pt idx="8">
                  <c:v>11.287389130830476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0-413D-A9A6-6367974B3EC0}"/>
            </c:ext>
          </c:extLst>
        </c:ser>
        <c:ser>
          <c:idx val="1"/>
          <c:order val="1"/>
          <c:tx>
            <c:strRef>
              <c:f>DTemp!$U$1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DTemp!$U$2:$U$13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13.182218727949152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0-413D-A9A6-6367974B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616"/>
        <c:axId val="372671472"/>
      </c:lineChart>
      <c:catAx>
        <c:axId val="597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472"/>
        <c:crosses val="autoZero"/>
        <c:auto val="1"/>
        <c:lblAlgn val="ctr"/>
        <c:lblOffset val="100"/>
        <c:noMultiLvlLbl val="0"/>
      </c:catAx>
      <c:valAx>
        <c:axId val="372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image" Target="../media/image4.png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7</xdr:row>
      <xdr:rowOff>27622</xdr:rowOff>
    </xdr:from>
    <xdr:to>
      <xdr:col>10</xdr:col>
      <xdr:colOff>533400</xdr:colOff>
      <xdr:row>21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22</xdr:row>
      <xdr:rowOff>72390</xdr:rowOff>
    </xdr:from>
    <xdr:to>
      <xdr:col>11</xdr:col>
      <xdr:colOff>333375</xdr:colOff>
      <xdr:row>37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A7D29-693F-4403-B8F4-ADE44B7B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7</xdr:row>
      <xdr:rowOff>139065</xdr:rowOff>
    </xdr:from>
    <xdr:to>
      <xdr:col>25</xdr:col>
      <xdr:colOff>104775</xdr:colOff>
      <xdr:row>22</xdr:row>
      <xdr:rowOff>139065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488B6C-6712-4006-BBE5-71BF3F44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69532</xdr:rowOff>
    </xdr:from>
    <xdr:to>
      <xdr:col>19</xdr:col>
      <xdr:colOff>335280</xdr:colOff>
      <xdr:row>21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245745</xdr:colOff>
      <xdr:row>22</xdr:row>
      <xdr:rowOff>23812</xdr:rowOff>
    </xdr:from>
    <xdr:to>
      <xdr:col>22</xdr:col>
      <xdr:colOff>251461</xdr:colOff>
      <xdr:row>36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451485</xdr:colOff>
      <xdr:row>7</xdr:row>
      <xdr:rowOff>66675</xdr:rowOff>
    </xdr:from>
    <xdr:to>
      <xdr:col>25</xdr:col>
      <xdr:colOff>502920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13</xdr:col>
      <xdr:colOff>594360</xdr:colOff>
      <xdr:row>13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68580</xdr:rowOff>
    </xdr:from>
    <xdr:to>
      <xdr:col>2</xdr:col>
      <xdr:colOff>36195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15240</xdr:rowOff>
    </xdr:from>
    <xdr:to>
      <xdr:col>16</xdr:col>
      <xdr:colOff>327660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4762</xdr:rowOff>
    </xdr:from>
    <xdr:to>
      <xdr:col>18</xdr:col>
      <xdr:colOff>238125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E42737-A79C-42F7-B33D-C27EB41F11F9}"/>
            </a:ext>
          </a:extLst>
        </cdr:cNvPr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168116</xdr:colOff>
      <xdr:row>61</xdr:row>
      <xdr:rowOff>0</xdr:rowOff>
    </xdr:from>
    <xdr:to>
      <xdr:col>63</xdr:col>
      <xdr:colOff>122396</xdr:colOff>
      <xdr:row>73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BF18A-9438-4CD6-89E3-FABF941C3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12911</xdr:colOff>
      <xdr:row>54</xdr:row>
      <xdr:rowOff>17780</xdr:rowOff>
    </xdr:from>
    <xdr:to>
      <xdr:col>17</xdr:col>
      <xdr:colOff>709083</xdr:colOff>
      <xdr:row>70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F8575-B61B-48E8-807F-11BBEC02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10870</xdr:colOff>
      <xdr:row>54</xdr:row>
      <xdr:rowOff>30252</xdr:rowOff>
    </xdr:from>
    <xdr:to>
      <xdr:col>38</xdr:col>
      <xdr:colOff>42333</xdr:colOff>
      <xdr:row>70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79E7E7-473B-44AE-B6E5-40C976E2F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72</xdr:row>
      <xdr:rowOff>0</xdr:rowOff>
    </xdr:from>
    <xdr:to>
      <xdr:col>18</xdr:col>
      <xdr:colOff>1527</xdr:colOff>
      <xdr:row>88</xdr:row>
      <xdr:rowOff>97171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3950B-2267-4ADD-8F29-8D51E6CF9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967855"/>
          <a:ext cx="11223709" cy="297510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38</xdr:col>
      <xdr:colOff>41561</xdr:colOff>
      <xdr:row>88</xdr:row>
      <xdr:rowOff>75071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8C427F-8C9B-419A-AA2A-F1DC44F07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22182" y="12967855"/>
          <a:ext cx="12760034" cy="29568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18</xdr:col>
      <xdr:colOff>1527</xdr:colOff>
      <xdr:row>106</xdr:row>
      <xdr:rowOff>97170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AD1AFD-0E76-4A02-90FD-B2B45A4DD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209818"/>
          <a:ext cx="11223709" cy="297510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38</xdr:col>
      <xdr:colOff>41561</xdr:colOff>
      <xdr:row>106</xdr:row>
      <xdr:rowOff>75070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C56834-F6A1-4704-91BA-4AF822DD0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2182" y="16209818"/>
          <a:ext cx="12760034" cy="295681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288630</xdr:colOff>
      <xdr:row>18</xdr:row>
      <xdr:rowOff>84839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C138AB-2CFE-4B69-AD93-64932C226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11253810" cy="2976629"/>
        </a:xfrm>
        <a:prstGeom prst="rect">
          <a:avLst/>
        </a:prstGeom>
      </xdr:spPr>
    </xdr:pic>
    <xdr:clientData/>
  </xdr:twoCellAnchor>
  <xdr:twoCellAnchor editAs="oneCell">
    <xdr:from>
      <xdr:col>18</xdr:col>
      <xdr:colOff>287867</xdr:colOff>
      <xdr:row>2</xdr:row>
      <xdr:rowOff>0</xdr:rowOff>
    </xdr:from>
    <xdr:to>
      <xdr:col>39</xdr:col>
      <xdr:colOff>288595</xdr:colOff>
      <xdr:row>18</xdr:row>
      <xdr:rowOff>53596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56E598-F28B-4E46-AF37-15B5E1DBA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0667" y="361950"/>
          <a:ext cx="12811853" cy="29568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18</xdr:col>
      <xdr:colOff>279105</xdr:colOff>
      <xdr:row>37</xdr:row>
      <xdr:rowOff>73409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8355BC-869D-4854-BF1A-ADA98D071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00475"/>
          <a:ext cx="11248095" cy="2969009"/>
        </a:xfrm>
        <a:prstGeom prst="rect">
          <a:avLst/>
        </a:prstGeom>
      </xdr:spPr>
    </xdr:pic>
    <xdr:clientData/>
  </xdr:twoCellAnchor>
  <xdr:twoCellAnchor editAs="oneCell">
    <xdr:from>
      <xdr:col>18</xdr:col>
      <xdr:colOff>266700</xdr:colOff>
      <xdr:row>21</xdr:row>
      <xdr:rowOff>0</xdr:rowOff>
    </xdr:from>
    <xdr:to>
      <xdr:col>39</xdr:col>
      <xdr:colOff>255998</xdr:colOff>
      <xdr:row>37</xdr:row>
      <xdr:rowOff>57406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06A6BB-94A0-4F0F-97E8-823B21A5D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39500" y="3800475"/>
          <a:ext cx="12794708" cy="2953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18</xdr:col>
      <xdr:colOff>279105</xdr:colOff>
      <xdr:row>56</xdr:row>
      <xdr:rowOff>73409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03DB6C-20CD-4F0F-A064-CD362DB49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39000"/>
          <a:ext cx="11248095" cy="2969009"/>
        </a:xfrm>
        <a:prstGeom prst="rect">
          <a:avLst/>
        </a:prstGeom>
      </xdr:spPr>
    </xdr:pic>
    <xdr:clientData/>
  </xdr:twoCellAnchor>
  <xdr:twoCellAnchor editAs="oneCell">
    <xdr:from>
      <xdr:col>18</xdr:col>
      <xdr:colOff>266700</xdr:colOff>
      <xdr:row>40</xdr:row>
      <xdr:rowOff>0</xdr:rowOff>
    </xdr:from>
    <xdr:to>
      <xdr:col>39</xdr:col>
      <xdr:colOff>255998</xdr:colOff>
      <xdr:row>56</xdr:row>
      <xdr:rowOff>57406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A9F0A8-E640-4363-A7AF-8E948ACC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39500" y="7239000"/>
          <a:ext cx="12794708" cy="29530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168116</xdr:colOff>
      <xdr:row>61</xdr:row>
      <xdr:rowOff>0</xdr:rowOff>
    </xdr:from>
    <xdr:to>
      <xdr:col>63</xdr:col>
      <xdr:colOff>122396</xdr:colOff>
      <xdr:row>73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FBDD0-816F-46DF-8F8D-89960AEB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12911</xdr:colOff>
      <xdr:row>54</xdr:row>
      <xdr:rowOff>17780</xdr:rowOff>
    </xdr:from>
    <xdr:to>
      <xdr:col>17</xdr:col>
      <xdr:colOff>709083</xdr:colOff>
      <xdr:row>70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95489-2365-447E-8B2B-75925AD3C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10870</xdr:colOff>
      <xdr:row>54</xdr:row>
      <xdr:rowOff>30252</xdr:rowOff>
    </xdr:from>
    <xdr:to>
      <xdr:col>38</xdr:col>
      <xdr:colOff>42333</xdr:colOff>
      <xdr:row>70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EFF8F-42BF-42CD-BE12-34F13793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168116</xdr:colOff>
      <xdr:row>40</xdr:row>
      <xdr:rowOff>0</xdr:rowOff>
    </xdr:from>
    <xdr:to>
      <xdr:col>52</xdr:col>
      <xdr:colOff>122396</xdr:colOff>
      <xdr:row>52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FC37-54B7-452F-B845-B7ED57AA1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33</xdr:row>
      <xdr:rowOff>45720</xdr:rowOff>
    </xdr:from>
    <xdr:to>
      <xdr:col>16</xdr:col>
      <xdr:colOff>0</xdr:colOff>
      <xdr:row>42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DE9BE-EC35-435A-9B5D-C1393E51D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72390</xdr:colOff>
      <xdr:row>33</xdr:row>
      <xdr:rowOff>60960</xdr:rowOff>
    </xdr:from>
    <xdr:to>
      <xdr:col>32</xdr:col>
      <xdr:colOff>57150</xdr:colOff>
      <xdr:row>42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0747FE-253D-4CCC-A93E-F3CC4D578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</xdr:colOff>
      <xdr:row>33</xdr:row>
      <xdr:rowOff>60960</xdr:rowOff>
    </xdr:from>
    <xdr:to>
      <xdr:col>37</xdr:col>
      <xdr:colOff>102870</xdr:colOff>
      <xdr:row>42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14A6D-DB44-4F00-83D6-AB9091C75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59055</xdr:colOff>
      <xdr:row>33</xdr:row>
      <xdr:rowOff>60960</xdr:rowOff>
    </xdr:from>
    <xdr:to>
      <xdr:col>42</xdr:col>
      <xdr:colOff>95250</xdr:colOff>
      <xdr:row>42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1C8B8-3257-49A9-9003-0B1095A26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380999</xdr:colOff>
      <xdr:row>42</xdr:row>
      <xdr:rowOff>90964</xdr:rowOff>
    </xdr:from>
    <xdr:to>
      <xdr:col>22</xdr:col>
      <xdr:colOff>35718</xdr:colOff>
      <xdr:row>54</xdr:row>
      <xdr:rowOff>186214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ABCE5B-A49B-42D9-8A1B-CC8E3758F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455295</xdr:colOff>
      <xdr:row>42</xdr:row>
      <xdr:rowOff>78105</xdr:rowOff>
    </xdr:from>
    <xdr:to>
      <xdr:col>14</xdr:col>
      <xdr:colOff>250031</xdr:colOff>
      <xdr:row>54</xdr:row>
      <xdr:rowOff>158115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E25386-4BB6-4194-91ED-E056C3A1E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60960</xdr:rowOff>
    </xdr:from>
    <xdr:to>
      <xdr:col>10</xdr:col>
      <xdr:colOff>304800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21</xdr:row>
      <xdr:rowOff>66675</xdr:rowOff>
    </xdr:from>
    <xdr:to>
      <xdr:col>30</xdr:col>
      <xdr:colOff>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18</xdr:row>
      <xdr:rowOff>76200</xdr:rowOff>
    </xdr:from>
    <xdr:to>
      <xdr:col>24</xdr:col>
      <xdr:colOff>95250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17</xdr:col>
      <xdr:colOff>600075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166687</xdr:rowOff>
    </xdr:from>
    <xdr:to>
      <xdr:col>19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19</xdr:row>
      <xdr:rowOff>176212</xdr:rowOff>
    </xdr:from>
    <xdr:to>
      <xdr:col>6</xdr:col>
      <xdr:colOff>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19</xdr:row>
      <xdr:rowOff>166687</xdr:rowOff>
    </xdr:from>
    <xdr:to>
      <xdr:col>12</xdr:col>
      <xdr:colOff>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10</xdr:col>
      <xdr:colOff>438150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42862</xdr:rowOff>
    </xdr:from>
    <xdr:to>
      <xdr:col>20</xdr:col>
      <xdr:colOff>552450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558165</xdr:colOff>
      <xdr:row>10</xdr:row>
      <xdr:rowOff>33337</xdr:rowOff>
    </xdr:from>
    <xdr:to>
      <xdr:col>25</xdr:col>
      <xdr:colOff>502920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0.41042</cdr:x>
      <cdr:y>0.28125</cdr:y>
    </cdr:from>
    <cdr:to>
      <cdr:x>0.4125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A65C829-F914-4D43-B112-82634FAF33B1}"/>
            </a:ext>
          </a:extLst>
        </cdr:cNvPr>
        <cdr:cNvCxnSpPr/>
      </cdr:nvCxnSpPr>
      <cdr:spPr>
        <a:xfrm xmlns:a="http://schemas.openxmlformats.org/drawingml/2006/main" flipH="1" flipV="1">
          <a:off x="1876425" y="771525"/>
          <a:ext cx="9525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0.52083</cdr:x>
      <cdr:y>0.27778</cdr:y>
    </cdr:from>
    <cdr:to>
      <cdr:x>0.52152</cdr:x>
      <cdr:y>0.79456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4B009D-1BB6-4F87-8A9E-4ED779AD6E3E}"/>
            </a:ext>
          </a:extLst>
        </cdr:cNvPr>
        <cdr:cNvCxnSpPr/>
      </cdr:nvCxnSpPr>
      <cdr:spPr>
        <a:xfrm xmlns:a="http://schemas.openxmlformats.org/drawingml/2006/main" flipH="1" flipV="1">
          <a:off x="2381250" y="762001"/>
          <a:ext cx="3160" cy="1417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228600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stafson, Eric -FS" id="{61137D4D-7D46-4519-97E1-3C08264A79EE}" userId="S::eric.gustafson@usda.gov::4d9d2eb0-e2ec-42a1-80a3-1a9e4ccec4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E5" dT="2021-05-07T12:30:38.86" personId="{61137D4D-7D46-4519-97E1-3C08264A79EE}" id="{19269EC9-95C4-4749-9F22-F728D1E0E5AD}">
    <text>FrActWd=0.00004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E5" dT="2021-05-07T12:30:38.86" personId="{61137D4D-7D46-4519-97E1-3C08264A79EE}" id="{79D618D7-061F-47AC-B597-6B583644DAF7}">
    <text>FrActWd=0.00004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T5" dT="2021-05-07T12:30:38.86" personId="{61137D4D-7D46-4519-97E1-3C08264A79EE}" id="{E89CFD6E-E2BC-4790-B2B0-8F825172C37C}">
    <text>FrActWd=0.00004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fwater@ph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77"/>
  <sheetViews>
    <sheetView topLeftCell="O25" zoomScale="88" zoomScaleNormal="88" workbookViewId="0">
      <selection activeCell="R53" sqref="R53"/>
    </sheetView>
  </sheetViews>
  <sheetFormatPr defaultColWidth="9.109375" defaultRowHeight="14.4"/>
  <cols>
    <col min="1" max="6" width="9.109375" style="24"/>
    <col min="7" max="8" width="0" style="24" hidden="1" customWidth="1"/>
    <col min="9" max="9" width="9.109375" style="24"/>
    <col min="10" max="10" width="14.44140625" style="24" customWidth="1"/>
    <col min="11" max="11" width="15" style="24" customWidth="1"/>
    <col min="12" max="12" width="15.109375" style="24" customWidth="1"/>
    <col min="13" max="13" width="19.44140625" style="24" customWidth="1"/>
    <col min="14" max="14" width="19.6640625" style="24" customWidth="1"/>
    <col min="15" max="15" width="21.6640625" style="24" customWidth="1"/>
    <col min="16" max="16" width="19.109375" style="24" customWidth="1"/>
    <col min="17" max="17" width="13.44140625" style="24" customWidth="1"/>
    <col min="18" max="18" width="19.109375" style="24" customWidth="1"/>
    <col min="19" max="20" width="13.6640625" style="24" customWidth="1"/>
    <col min="21" max="21" width="21.6640625" style="24" customWidth="1"/>
    <col min="22" max="22" width="15.33203125" style="24" customWidth="1"/>
    <col min="23" max="23" width="19.44140625" style="24" customWidth="1"/>
    <col min="24" max="24" width="21.44140625" style="24" customWidth="1"/>
    <col min="25" max="25" width="23.33203125" style="24" customWidth="1"/>
    <col min="26" max="26" width="20.5546875" style="24" customWidth="1"/>
    <col min="27" max="27" width="7" style="24" customWidth="1"/>
    <col min="28" max="28" width="14.88671875" style="24" customWidth="1"/>
    <col min="29" max="30" width="9.109375" style="24"/>
    <col min="31" max="31" width="13.6640625" style="24" customWidth="1"/>
    <col min="32" max="32" width="9.109375" style="24"/>
    <col min="33" max="33" width="14.109375" style="24" customWidth="1"/>
    <col min="34" max="34" width="10.33203125" style="24" bestFit="1" customWidth="1"/>
    <col min="35" max="35" width="9.109375" style="24"/>
    <col min="36" max="36" width="16.33203125" style="24" customWidth="1"/>
    <col min="37" max="37" width="16.88671875" style="24" customWidth="1"/>
    <col min="38" max="43" width="9.109375" style="24"/>
    <col min="44" max="44" width="11.6640625" style="24" customWidth="1"/>
    <col min="45" max="16384" width="9.109375" style="24"/>
  </cols>
  <sheetData>
    <row r="1" spans="1:57" ht="15" thickBot="1">
      <c r="A1" s="24" t="s">
        <v>57</v>
      </c>
      <c r="B1" s="24" t="s">
        <v>17</v>
      </c>
      <c r="C1" s="24" t="s">
        <v>18</v>
      </c>
      <c r="D1" s="24" t="s">
        <v>19</v>
      </c>
      <c r="E1" s="24" t="s">
        <v>16</v>
      </c>
      <c r="F1" s="24" t="s">
        <v>110</v>
      </c>
      <c r="G1" s="37" t="s">
        <v>103</v>
      </c>
      <c r="H1" s="37" t="s">
        <v>104</v>
      </c>
      <c r="I1" s="37" t="s">
        <v>108</v>
      </c>
      <c r="J1" s="18" t="s">
        <v>58</v>
      </c>
      <c r="K1" s="18" t="s">
        <v>34</v>
      </c>
      <c r="L1" s="18" t="s">
        <v>9</v>
      </c>
      <c r="M1" s="9"/>
      <c r="N1" s="21" t="s">
        <v>59</v>
      </c>
      <c r="O1" s="59" t="s">
        <v>60</v>
      </c>
      <c r="P1" s="6" t="s">
        <v>62</v>
      </c>
      <c r="Q1" s="23" t="s">
        <v>64</v>
      </c>
      <c r="R1" s="59" t="s">
        <v>66</v>
      </c>
      <c r="S1" s="18" t="s">
        <v>12</v>
      </c>
      <c r="T1" s="18"/>
      <c r="U1" s="21" t="s">
        <v>67</v>
      </c>
      <c r="V1" s="59" t="s">
        <v>69</v>
      </c>
      <c r="W1" s="59" t="s">
        <v>71</v>
      </c>
      <c r="X1" s="14" t="s">
        <v>33</v>
      </c>
      <c r="Y1" s="14"/>
      <c r="Z1" s="59" t="s">
        <v>74</v>
      </c>
      <c r="AA1" s="30"/>
      <c r="AB1" s="29" t="s">
        <v>35</v>
      </c>
      <c r="AC1" s="28" t="s">
        <v>84</v>
      </c>
      <c r="AD1" s="28" t="s">
        <v>85</v>
      </c>
      <c r="AE1" s="26" t="s">
        <v>86</v>
      </c>
      <c r="AF1" s="26"/>
      <c r="AG1" s="26"/>
      <c r="AL1" s="33"/>
      <c r="AM1" s="3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4">
        <v>-15</v>
      </c>
      <c r="C2" s="24">
        <v>5</v>
      </c>
      <c r="D2" s="24">
        <f>(Tmin+Tmax)/2</f>
        <v>-5</v>
      </c>
      <c r="E2" s="24">
        <f>(Tave+Tmax)/2</f>
        <v>0</v>
      </c>
      <c r="F2" s="24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4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60">
        <f>Dtemp_pnet_suc * RefNetPsn_pnet_suc</f>
        <v>0</v>
      </c>
      <c r="P2" s="31">
        <f xml:space="preserve"> Fol / SLWLayer</f>
        <v>0.875</v>
      </c>
      <c r="Q2" s="15" t="e">
        <f xml:space="preserve"> (1 / IMAX) * MIN(NSC, MaintRespFTempResp * biomass)</f>
        <v>#REF!</v>
      </c>
      <c r="R2" s="60">
        <f xml:space="preserve"> fWater* fRad* fAge *FTempPSNRefNetPsn_pnet_suc * Fol</f>
        <v>0</v>
      </c>
      <c r="S2" s="8">
        <f>BaseFolRespFrac*(RespQ10^((Tave-PsnTOpt)/10))</f>
        <v>1.5389305166811452E-2</v>
      </c>
      <c r="T2" s="8"/>
      <c r="U2" s="8">
        <f xml:space="preserve"> FTempRespDay_pnet_suc * dayspan * (DayLength+NightLength) * MC / Billion * Amax</f>
        <v>8.137372114444559E-2</v>
      </c>
      <c r="V2" s="60">
        <f xml:space="preserve"> fWater* FTempRespDayRefResp_pnet_suc * Fol</f>
        <v>1.1392320960222382</v>
      </c>
      <c r="W2" s="60">
        <f xml:space="preserve"> NetPsn_pnet_suc + FolResp_pnet_suc</f>
        <v>1.1392320960222382</v>
      </c>
      <c r="X2" s="8">
        <f>(WUEconst/VPD_PnET_Succession) * (1 + 1 - Delgs)</f>
        <v>26.905528105428488</v>
      </c>
      <c r="Y2" s="8"/>
      <c r="Z2" s="60">
        <f xml:space="preserve"> GrossPsn_pnet_suc / WUE / DelAmax * MCO2_MC</f>
        <v>0.14113837077714028</v>
      </c>
      <c r="AA2" s="8"/>
      <c r="AB2" s="28" t="s">
        <v>51</v>
      </c>
      <c r="AC2" s="28" t="s">
        <v>91</v>
      </c>
      <c r="AD2" s="26">
        <v>3.6665999999999999</v>
      </c>
      <c r="AE2" s="24" t="s">
        <v>130</v>
      </c>
      <c r="AF2" s="28" t="s">
        <v>298</v>
      </c>
      <c r="AG2" s="28"/>
      <c r="AL2" s="3"/>
      <c r="AM2" s="35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4">
        <v>-10</v>
      </c>
      <c r="C3" s="24">
        <v>10</v>
      </c>
      <c r="D3" s="24">
        <f t="shared" ref="D3:D13" si="0">(B3+C3)/2</f>
        <v>0</v>
      </c>
      <c r="E3" s="24">
        <f t="shared" ref="E3:E13" si="1">(D3+C3)/2</f>
        <v>5</v>
      </c>
      <c r="F3" s="24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4">
        <f t="shared" ref="J3:J13" si="5">MAX(0,(PsnTMax - E3) * (E3 - PsnTMin) / (((PsnTMax - PsnTMin) / 2)*(PsnTMax - PsnTMin) / 2))</f>
        <v>0.10802469135802469</v>
      </c>
      <c r="K3" s="8">
        <f t="shared" ref="K3:K13" si="6">IF(E3&gt;PsnTOpt,1,MAX(0,(PsnTMax - E3) * (E3 - PsnTMin) / (((PsnTMax - PsnTMin) / 2)*(PsnTMax - PsnTMin) / 2)))</f>
        <v>0.10802469135802469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60">
        <f>J3 * N3</f>
        <v>0.28068689282376164</v>
      </c>
      <c r="P3" s="8"/>
      <c r="Q3" s="15"/>
      <c r="R3" s="60">
        <f t="shared" ref="R3:R13" si="9" xml:space="preserve"> fWater* fRad* fAge *O3 * Fol</f>
        <v>3.929616499532663</v>
      </c>
      <c r="S3" s="8">
        <f t="shared" ref="S3:S13" si="10">BaseFolRespFrac*(RespQ10^((D3-PsnTOpt)/10))</f>
        <v>2.1763764082403107E-2</v>
      </c>
      <c r="T3" s="8"/>
      <c r="U3" s="8">
        <f t="shared" ref="U3:U13" si="11" xml:space="preserve"> S3 * dayspan * (DayLength+NightLength) * MC / Billion * Amax</f>
        <v>0.11507982006324127</v>
      </c>
      <c r="V3" s="60">
        <f t="shared" ref="V3:V13" si="12" xml:space="preserve"> fWater* U3 * Fol</f>
        <v>1.6111174808853779</v>
      </c>
      <c r="W3" s="60">
        <f t="shared" ref="W3:W13" si="13" xml:space="preserve"> R3 + V3</f>
        <v>5.5407339804180413</v>
      </c>
      <c r="X3" s="8">
        <f t="shared" ref="X3:X13" si="14">(WUEconst/I3) * (1 + 1 - Delgs)</f>
        <v>19.279860641579468</v>
      </c>
      <c r="Y3" s="8"/>
      <c r="Z3" s="60">
        <f t="shared" ref="Z3:Z13" si="15" xml:space="preserve"> W3/ X3 / DelAmax * MCO2_MC</f>
        <v>0.95793891837537359</v>
      </c>
      <c r="AA3" s="8"/>
      <c r="AB3" s="28" t="s">
        <v>46</v>
      </c>
      <c r="AC3" s="28" t="s">
        <v>91</v>
      </c>
      <c r="AD3" s="26">
        <v>12</v>
      </c>
      <c r="AE3" s="24" t="s">
        <v>129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4">
        <v>-5</v>
      </c>
      <c r="C4" s="24">
        <v>15</v>
      </c>
      <c r="D4" s="24">
        <f t="shared" si="0"/>
        <v>5</v>
      </c>
      <c r="E4" s="24">
        <f t="shared" si="1"/>
        <v>10</v>
      </c>
      <c r="F4" s="24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4">
        <f t="shared" si="5"/>
        <v>0.55555555555555558</v>
      </c>
      <c r="K4" s="8">
        <f t="shared" si="6"/>
        <v>0.55555555555555558</v>
      </c>
      <c r="L4" s="8">
        <f>MAX(0,1 - DVPD1 * (I4^DVPD2))</f>
        <v>0.96745982808910902</v>
      </c>
      <c r="M4" s="8"/>
      <c r="N4" s="8">
        <f t="shared" si="8"/>
        <v>2.5578089918951101</v>
      </c>
      <c r="O4" s="60">
        <f t="shared" ref="O4:O13" si="17">J4 * N4</f>
        <v>1.4210049954972834</v>
      </c>
      <c r="P4" s="8"/>
      <c r="Q4" s="15"/>
      <c r="R4" s="60">
        <f t="shared" si="9"/>
        <v>19.894069936961969</v>
      </c>
      <c r="S4" s="8">
        <f t="shared" si="10"/>
        <v>3.0778610333622908E-2</v>
      </c>
      <c r="T4" s="8"/>
      <c r="U4" s="8">
        <f t="shared" si="11"/>
        <v>0.16274744228889118</v>
      </c>
      <c r="V4" s="60">
        <f t="shared" si="12"/>
        <v>2.2784641920444764</v>
      </c>
      <c r="W4" s="60">
        <f t="shared" si="13"/>
        <v>22.172534129006447</v>
      </c>
      <c r="X4" s="8">
        <f t="shared" si="14"/>
        <v>14.018223710413622</v>
      </c>
      <c r="Y4" s="8"/>
      <c r="Z4" s="60">
        <f t="shared" si="15"/>
        <v>5.2722592126823011</v>
      </c>
      <c r="AA4" s="8"/>
      <c r="AB4" s="28" t="s">
        <v>92</v>
      </c>
      <c r="AC4" s="28"/>
      <c r="AD4" s="26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4">
        <v>0</v>
      </c>
      <c r="C5" s="24">
        <v>20</v>
      </c>
      <c r="D5" s="24">
        <f t="shared" si="0"/>
        <v>10</v>
      </c>
      <c r="E5" s="24">
        <f t="shared" si="1"/>
        <v>15</v>
      </c>
      <c r="F5" s="24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4">
        <f t="shared" si="5"/>
        <v>0.84876543209876543</v>
      </c>
      <c r="K5" s="8">
        <f t="shared" si="6"/>
        <v>0.84876543209876543</v>
      </c>
      <c r="L5" s="8">
        <f t="shared" si="7"/>
        <v>0.94010911869918679</v>
      </c>
      <c r="M5" s="8"/>
      <c r="N5" s="8">
        <f t="shared" si="8"/>
        <v>2.4854980923816581</v>
      </c>
      <c r="O5" s="60">
        <f t="shared" si="17"/>
        <v>2.1096048623609751</v>
      </c>
      <c r="P5" s="8"/>
      <c r="Q5" s="15"/>
      <c r="R5" s="60">
        <f t="shared" si="9"/>
        <v>29.534468073053652</v>
      </c>
      <c r="S5" s="8">
        <f t="shared" si="10"/>
        <v>4.3527528164806206E-2</v>
      </c>
      <c r="T5" s="8"/>
      <c r="U5" s="8">
        <f t="shared" si="11"/>
        <v>0.23015964012648252</v>
      </c>
      <c r="V5" s="60">
        <f t="shared" si="12"/>
        <v>3.2222349617707553</v>
      </c>
      <c r="W5" s="60">
        <f t="shared" si="13"/>
        <v>32.756703034824405</v>
      </c>
      <c r="X5" s="8">
        <f t="shared" si="14"/>
        <v>10.332907842338232</v>
      </c>
      <c r="Y5" s="8"/>
      <c r="Z5" s="60">
        <f t="shared" si="15"/>
        <v>10.567008000359507</v>
      </c>
      <c r="AA5" s="8"/>
      <c r="AB5" s="29" t="s">
        <v>153</v>
      </c>
      <c r="AC5" s="28"/>
      <c r="AD5" s="28"/>
    </row>
    <row r="6" spans="1:57">
      <c r="B6" s="24">
        <v>5</v>
      </c>
      <c r="C6" s="24">
        <v>25</v>
      </c>
      <c r="D6" s="24">
        <f t="shared" si="0"/>
        <v>15</v>
      </c>
      <c r="E6" s="24">
        <f t="shared" si="1"/>
        <v>20</v>
      </c>
      <c r="F6" s="24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4">
        <f t="shared" si="5"/>
        <v>0.98765432098765427</v>
      </c>
      <c r="K6" s="8">
        <f t="shared" si="6"/>
        <v>0.98765432098765427</v>
      </c>
      <c r="L6" s="8">
        <f t="shared" si="7"/>
        <v>0.89256823099917959</v>
      </c>
      <c r="M6" s="8"/>
      <c r="N6" s="8">
        <f t="shared" si="8"/>
        <v>2.3598075918448704</v>
      </c>
      <c r="O6" s="60">
        <f t="shared" si="17"/>
        <v>2.3306741647850573</v>
      </c>
      <c r="P6" s="8"/>
      <c r="Q6" s="15"/>
      <c r="R6" s="60">
        <f t="shared" si="9"/>
        <v>32.629438306990799</v>
      </c>
      <c r="S6" s="8">
        <f t="shared" si="10"/>
        <v>6.1557220667245817E-2</v>
      </c>
      <c r="T6" s="8"/>
      <c r="U6" s="8">
        <f t="shared" si="11"/>
        <v>0.32549488457778236</v>
      </c>
      <c r="V6" s="60">
        <f t="shared" si="12"/>
        <v>4.5569283840889527</v>
      </c>
      <c r="W6" s="60">
        <f t="shared" si="13"/>
        <v>37.186366691079755</v>
      </c>
      <c r="X6" s="8">
        <f t="shared" si="14"/>
        <v>7.7150109075467039</v>
      </c>
      <c r="Y6" s="8"/>
      <c r="Z6" s="60">
        <f t="shared" si="15"/>
        <v>16.066512336225557</v>
      </c>
      <c r="AA6" s="8"/>
      <c r="AB6" s="28" t="s">
        <v>11</v>
      </c>
      <c r="AC6" s="28" t="s">
        <v>116</v>
      </c>
      <c r="AD6" s="26">
        <f>AE6*60*60</f>
        <v>43200</v>
      </c>
      <c r="AE6" s="28">
        <v>12</v>
      </c>
      <c r="AF6" s="28" t="s">
        <v>117</v>
      </c>
    </row>
    <row r="7" spans="1:57">
      <c r="B7" s="24">
        <v>10</v>
      </c>
      <c r="C7" s="24">
        <v>30</v>
      </c>
      <c r="D7" s="24">
        <f t="shared" si="0"/>
        <v>20</v>
      </c>
      <c r="E7" s="24">
        <f t="shared" si="1"/>
        <v>25</v>
      </c>
      <c r="F7" s="24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4">
        <f t="shared" si="5"/>
        <v>0.97222222222222221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60">
        <f t="shared" si="17"/>
        <v>2.0869027135211771</v>
      </c>
      <c r="P7" s="8"/>
      <c r="Q7" s="15"/>
      <c r="R7" s="60">
        <f t="shared" si="9"/>
        <v>29.21663798929648</v>
      </c>
      <c r="S7" s="8">
        <f t="shared" si="10"/>
        <v>8.7055056329612412E-2</v>
      </c>
      <c r="T7" s="8"/>
      <c r="U7" s="8">
        <f t="shared" si="11"/>
        <v>0.46031928025296504</v>
      </c>
      <c r="V7" s="60">
        <f t="shared" si="12"/>
        <v>6.4444699235415106</v>
      </c>
      <c r="W7" s="60">
        <f t="shared" si="13"/>
        <v>35.661107912837991</v>
      </c>
      <c r="X7" s="8">
        <f t="shared" si="14"/>
        <v>5.8305059604289591</v>
      </c>
      <c r="Y7" s="8"/>
      <c r="Z7" s="60">
        <f t="shared" si="15"/>
        <v>20.387454119152032</v>
      </c>
      <c r="AA7" s="8"/>
      <c r="AB7" s="10" t="s">
        <v>111</v>
      </c>
      <c r="AC7" s="28" t="s">
        <v>116</v>
      </c>
      <c r="AD7" s="41">
        <f>86400-DayLength</f>
        <v>43200</v>
      </c>
    </row>
    <row r="8" spans="1:57">
      <c r="B8" s="24">
        <v>15</v>
      </c>
      <c r="C8" s="24">
        <v>35</v>
      </c>
      <c r="D8" s="24">
        <f t="shared" si="0"/>
        <v>25</v>
      </c>
      <c r="E8" s="24">
        <f t="shared" si="1"/>
        <v>30</v>
      </c>
      <c r="F8" s="24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4">
        <f t="shared" si="5"/>
        <v>0.80246913580246915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60">
        <f t="shared" si="17"/>
        <v>1.4386108350471531</v>
      </c>
      <c r="P8" s="8"/>
      <c r="Q8" s="15"/>
      <c r="R8" s="60">
        <f t="shared" si="9"/>
        <v>20.140551690660143</v>
      </c>
      <c r="S8" s="8">
        <f t="shared" si="10"/>
        <v>0.12311444133449163</v>
      </c>
      <c r="T8" s="8"/>
      <c r="U8" s="8">
        <f t="shared" si="11"/>
        <v>0.65098976915556472</v>
      </c>
      <c r="V8" s="60">
        <f t="shared" si="12"/>
        <v>9.1138567681779055</v>
      </c>
      <c r="W8" s="60">
        <f t="shared" si="13"/>
        <v>29.25440845883805</v>
      </c>
      <c r="X8" s="8">
        <f t="shared" si="14"/>
        <v>4.4568472966066368</v>
      </c>
      <c r="Y8" s="8"/>
      <c r="Z8" s="60">
        <f t="shared" si="15"/>
        <v>21.879529332053057</v>
      </c>
      <c r="AA8" s="8"/>
      <c r="AB8" s="28" t="s">
        <v>45</v>
      </c>
      <c r="AC8" s="28" t="s">
        <v>87</v>
      </c>
      <c r="AD8" s="28">
        <v>30</v>
      </c>
    </row>
    <row r="9" spans="1:57">
      <c r="B9" s="24">
        <v>20</v>
      </c>
      <c r="C9" s="24">
        <v>40</v>
      </c>
      <c r="D9" s="24">
        <f t="shared" si="0"/>
        <v>30</v>
      </c>
      <c r="E9" s="24">
        <f t="shared" si="1"/>
        <v>35</v>
      </c>
      <c r="F9" s="24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4">
        <f t="shared" si="5"/>
        <v>0.47839506172839508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60">
        <f t="shared" si="17"/>
        <v>0.58279394434509546</v>
      </c>
      <c r="P9" s="8"/>
      <c r="Q9" s="15"/>
      <c r="R9" s="60">
        <f t="shared" si="9"/>
        <v>8.1591152208313371</v>
      </c>
      <c r="S9" s="8">
        <f t="shared" si="10"/>
        <v>0.17411011265922482</v>
      </c>
      <c r="T9" s="8"/>
      <c r="U9" s="8">
        <f t="shared" si="11"/>
        <v>0.92063856050593007</v>
      </c>
      <c r="V9" s="60">
        <f t="shared" si="12"/>
        <v>12.888939847083021</v>
      </c>
      <c r="W9" s="60">
        <f t="shared" si="13"/>
        <v>21.048055067914358</v>
      </c>
      <c r="X9" s="8">
        <f t="shared" si="14"/>
        <v>3.4436556775772398</v>
      </c>
      <c r="Y9" s="8"/>
      <c r="Z9" s="60">
        <f t="shared" si="15"/>
        <v>20.373547637140483</v>
      </c>
      <c r="AA9" s="8"/>
      <c r="AB9" s="28" t="s">
        <v>24</v>
      </c>
      <c r="AC9" s="28" t="s">
        <v>88</v>
      </c>
      <c r="AD9" s="28">
        <v>5</v>
      </c>
    </row>
    <row r="10" spans="1:57">
      <c r="B10" s="24">
        <v>25</v>
      </c>
      <c r="C10" s="24">
        <v>45</v>
      </c>
      <c r="D10" s="24">
        <f t="shared" si="0"/>
        <v>35</v>
      </c>
      <c r="E10" s="24">
        <f t="shared" si="1"/>
        <v>40</v>
      </c>
      <c r="F10" s="24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4">
        <f t="shared" si="5"/>
        <v>0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60">
        <f t="shared" si="17"/>
        <v>0</v>
      </c>
      <c r="P10" s="8"/>
      <c r="Q10" s="15"/>
      <c r="R10" s="60">
        <f t="shared" si="9"/>
        <v>0</v>
      </c>
      <c r="S10" s="8">
        <f t="shared" si="10"/>
        <v>0.24622888266898327</v>
      </c>
      <c r="T10" s="8"/>
      <c r="U10" s="8">
        <f t="shared" si="11"/>
        <v>1.3019795383111294</v>
      </c>
      <c r="V10" s="60">
        <f t="shared" si="12"/>
        <v>18.227713536355811</v>
      </c>
      <c r="W10" s="60">
        <f t="shared" si="13"/>
        <v>18.227713536355811</v>
      </c>
      <c r="X10" s="8">
        <f t="shared" si="14"/>
        <v>2.6879507610572184</v>
      </c>
      <c r="Y10" s="8"/>
      <c r="Z10" s="60">
        <f t="shared" si="15"/>
        <v>22.603999785800536</v>
      </c>
      <c r="AA10" s="8"/>
      <c r="AB10" s="28" t="s">
        <v>90</v>
      </c>
      <c r="AC10" s="28" t="s">
        <v>89</v>
      </c>
      <c r="AD10" s="26">
        <f>AE10/IMAX</f>
        <v>14</v>
      </c>
      <c r="AE10" s="28">
        <v>70</v>
      </c>
      <c r="AF10" s="28" t="s">
        <v>118</v>
      </c>
    </row>
    <row r="11" spans="1:57">
      <c r="B11" s="24">
        <v>30</v>
      </c>
      <c r="C11" s="24">
        <v>50</v>
      </c>
      <c r="D11" s="24">
        <f t="shared" si="0"/>
        <v>40</v>
      </c>
      <c r="E11" s="24">
        <f t="shared" si="1"/>
        <v>45</v>
      </c>
      <c r="F11" s="24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4">
        <f t="shared" si="5"/>
        <v>0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60">
        <f t="shared" si="17"/>
        <v>0</v>
      </c>
      <c r="P11" s="8"/>
      <c r="Q11" s="15"/>
      <c r="R11" s="60">
        <f t="shared" si="9"/>
        <v>0</v>
      </c>
      <c r="S11" s="8">
        <f t="shared" si="10"/>
        <v>0.34822022531844965</v>
      </c>
      <c r="T11" s="8"/>
      <c r="U11" s="8">
        <f t="shared" si="11"/>
        <v>1.8412771210118601</v>
      </c>
      <c r="V11" s="60">
        <f t="shared" si="12"/>
        <v>25.777879694166042</v>
      </c>
      <c r="W11" s="60">
        <f t="shared" si="13"/>
        <v>25.777879694166042</v>
      </c>
      <c r="X11" s="8">
        <f t="shared" si="14"/>
        <v>2.1183142679167029</v>
      </c>
      <c r="Y11" s="8"/>
      <c r="Z11" s="60">
        <f t="shared" si="15"/>
        <v>40.563106689940419</v>
      </c>
      <c r="AA11" s="8"/>
      <c r="AB11" s="28" t="s">
        <v>5</v>
      </c>
      <c r="AC11" s="28" t="s">
        <v>76</v>
      </c>
      <c r="AD11" s="28">
        <v>170</v>
      </c>
      <c r="AE11" s="24" t="s">
        <v>94</v>
      </c>
    </row>
    <row r="12" spans="1:57">
      <c r="B12" s="24">
        <v>35</v>
      </c>
      <c r="C12" s="24">
        <v>55</v>
      </c>
      <c r="D12" s="24">
        <f t="shared" si="0"/>
        <v>45</v>
      </c>
      <c r="E12" s="24">
        <f t="shared" si="1"/>
        <v>50</v>
      </c>
      <c r="F12" s="24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4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60">
        <f t="shared" si="17"/>
        <v>0</v>
      </c>
      <c r="P12" s="8"/>
      <c r="Q12" s="15"/>
      <c r="R12" s="60">
        <f t="shared" si="9"/>
        <v>0</v>
      </c>
      <c r="S12" s="8">
        <f t="shared" si="10"/>
        <v>0.49245776533796648</v>
      </c>
      <c r="T12" s="8"/>
      <c r="U12" s="8">
        <f t="shared" si="11"/>
        <v>2.6039590766222589</v>
      </c>
      <c r="V12" s="60">
        <f t="shared" si="12"/>
        <v>36.455427072711622</v>
      </c>
      <c r="W12" s="60">
        <f t="shared" si="13"/>
        <v>36.455427072711622</v>
      </c>
      <c r="X12" s="8">
        <f t="shared" si="14"/>
        <v>1.6846198912095649</v>
      </c>
      <c r="Y12" s="8"/>
      <c r="Z12" s="60">
        <f t="shared" si="15"/>
        <v>72.133112928584637</v>
      </c>
      <c r="AA12" s="8"/>
      <c r="AB12" s="28" t="s">
        <v>93</v>
      </c>
      <c r="AC12" s="28"/>
      <c r="AD12" s="28">
        <v>1</v>
      </c>
      <c r="AE12" s="43" t="s">
        <v>131</v>
      </c>
      <c r="AF12" s="43"/>
      <c r="AG12" s="43"/>
      <c r="AH12" s="43"/>
      <c r="AI12" s="43"/>
    </row>
    <row r="13" spans="1:57" ht="15" thickBot="1">
      <c r="B13" s="24">
        <v>40</v>
      </c>
      <c r="C13" s="24">
        <v>60</v>
      </c>
      <c r="D13" s="24">
        <f t="shared" si="0"/>
        <v>50</v>
      </c>
      <c r="E13" s="24">
        <f t="shared" si="1"/>
        <v>55</v>
      </c>
      <c r="F13" s="24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4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60">
        <f t="shared" si="17"/>
        <v>0</v>
      </c>
      <c r="P13" s="13"/>
      <c r="Q13" s="16"/>
      <c r="R13" s="60">
        <f t="shared" si="9"/>
        <v>0</v>
      </c>
      <c r="S13" s="8">
        <f t="shared" si="10"/>
        <v>0.6964404506368993</v>
      </c>
      <c r="T13" s="13"/>
      <c r="U13" s="8">
        <f t="shared" si="11"/>
        <v>3.6825542420237203</v>
      </c>
      <c r="V13" s="60">
        <f t="shared" si="12"/>
        <v>51.555759388332085</v>
      </c>
      <c r="W13" s="60">
        <f t="shared" si="13"/>
        <v>51.555759388332085</v>
      </c>
      <c r="X13" s="8">
        <f t="shared" si="14"/>
        <v>1.3512835339507625</v>
      </c>
      <c r="Y13" s="13"/>
      <c r="Z13" s="60">
        <f t="shared" si="15"/>
        <v>127.17598563657056</v>
      </c>
      <c r="AA13" s="8"/>
      <c r="AB13" s="28" t="s">
        <v>95</v>
      </c>
      <c r="AC13" s="28"/>
      <c r="AD13" s="28">
        <v>1</v>
      </c>
      <c r="AE13" s="43" t="s">
        <v>132</v>
      </c>
      <c r="AF13" s="43"/>
      <c r="AG13" s="43"/>
      <c r="AH13" s="43"/>
      <c r="AI13" s="43"/>
    </row>
    <row r="14" spans="1:57">
      <c r="A14" s="48" t="s">
        <v>175</v>
      </c>
      <c r="B14" s="42" t="s">
        <v>123</v>
      </c>
      <c r="C14" s="42" t="s">
        <v>123</v>
      </c>
      <c r="D14" s="42" t="s">
        <v>123</v>
      </c>
      <c r="E14" s="42" t="s">
        <v>123</v>
      </c>
      <c r="F14" s="42" t="s">
        <v>123</v>
      </c>
      <c r="G14" s="42" t="s">
        <v>123</v>
      </c>
      <c r="H14" s="42" t="s">
        <v>124</v>
      </c>
      <c r="I14" s="42" t="s">
        <v>176</v>
      </c>
      <c r="J14" s="24" t="s">
        <v>75</v>
      </c>
      <c r="K14" s="24" t="s">
        <v>78</v>
      </c>
      <c r="L14" s="24" t="s">
        <v>75</v>
      </c>
      <c r="N14" s="25" t="s">
        <v>79</v>
      </c>
      <c r="O14" s="51" t="s">
        <v>83</v>
      </c>
      <c r="P14" s="25" t="s">
        <v>121</v>
      </c>
      <c r="Q14" s="27" t="s">
        <v>80</v>
      </c>
      <c r="R14" s="51" t="s">
        <v>81</v>
      </c>
      <c r="S14" s="24" t="s">
        <v>119</v>
      </c>
      <c r="U14" s="24" t="s">
        <v>82</v>
      </c>
      <c r="V14" s="51" t="s">
        <v>81</v>
      </c>
      <c r="W14" s="51" t="s">
        <v>81</v>
      </c>
      <c r="X14" s="24" t="s">
        <v>120</v>
      </c>
      <c r="Z14" s="51" t="s">
        <v>125</v>
      </c>
      <c r="AB14" s="28" t="s">
        <v>96</v>
      </c>
      <c r="AC14" s="28"/>
      <c r="AD14" s="28">
        <v>1</v>
      </c>
    </row>
    <row r="15" spans="1:57">
      <c r="AB15" s="28" t="s">
        <v>98</v>
      </c>
      <c r="AC15" s="28"/>
      <c r="AD15" s="28">
        <v>10.9</v>
      </c>
      <c r="AE15" s="24" t="s">
        <v>290</v>
      </c>
    </row>
    <row r="16" spans="1:57">
      <c r="AB16" s="28" t="s">
        <v>39</v>
      </c>
      <c r="AC16" s="28"/>
      <c r="AD16" s="26">
        <f>1+(((1.22*(((AD26*0.68)-68)/((AD26*0.68)+136)))-0.55455)/0.55455)</f>
        <v>1.0999909836804616</v>
      </c>
    </row>
    <row r="17" spans="1:49">
      <c r="AB17" s="28" t="s">
        <v>100</v>
      </c>
      <c r="AC17" s="28" t="s">
        <v>97</v>
      </c>
      <c r="AD17" s="28">
        <v>4</v>
      </c>
    </row>
    <row r="18" spans="1:49">
      <c r="AB18" s="28" t="s">
        <v>2</v>
      </c>
      <c r="AC18" s="28" t="s">
        <v>97</v>
      </c>
      <c r="AD18" s="28">
        <v>22</v>
      </c>
      <c r="AE18" s="4"/>
    </row>
    <row r="19" spans="1:49" ht="15" thickBot="1">
      <c r="G19" s="24" t="s">
        <v>105</v>
      </c>
      <c r="H19" s="24" t="s">
        <v>105</v>
      </c>
      <c r="I19" s="24" t="s">
        <v>105</v>
      </c>
      <c r="J19" s="24" t="s">
        <v>53</v>
      </c>
      <c r="L19" s="8" t="s">
        <v>53</v>
      </c>
      <c r="M19" s="8" t="s">
        <v>53</v>
      </c>
      <c r="N19" s="8" t="s">
        <v>53</v>
      </c>
      <c r="O19" s="8" t="s">
        <v>53</v>
      </c>
      <c r="AB19" s="28" t="s">
        <v>3</v>
      </c>
      <c r="AC19" s="28" t="s">
        <v>97</v>
      </c>
      <c r="AD19" s="26">
        <f>PsnTOpt+(PsnTOpt-PsnTMin)</f>
        <v>40</v>
      </c>
      <c r="AE19" s="24" t="s">
        <v>291</v>
      </c>
    </row>
    <row r="20" spans="1:49" ht="15" thickBot="1">
      <c r="A20" s="24" t="s">
        <v>54</v>
      </c>
      <c r="G20" s="9" t="s">
        <v>106</v>
      </c>
      <c r="H20" s="9" t="s">
        <v>107</v>
      </c>
      <c r="I20" s="9" t="s">
        <v>109</v>
      </c>
      <c r="J20" s="18" t="s">
        <v>58</v>
      </c>
      <c r="K20" s="19"/>
      <c r="L20" s="18" t="s">
        <v>9</v>
      </c>
      <c r="M20" s="20" t="s">
        <v>55</v>
      </c>
      <c r="N20" s="20" t="s">
        <v>55</v>
      </c>
      <c r="O20" s="59" t="s">
        <v>55</v>
      </c>
      <c r="P20" s="6" t="s">
        <v>61</v>
      </c>
      <c r="Q20" s="23" t="s">
        <v>63</v>
      </c>
      <c r="R20" s="59" t="s">
        <v>65</v>
      </c>
      <c r="S20" s="36" t="s">
        <v>56</v>
      </c>
      <c r="T20" s="40" t="s">
        <v>112</v>
      </c>
      <c r="U20" s="6" t="s">
        <v>99</v>
      </c>
      <c r="V20" s="59" t="s">
        <v>68</v>
      </c>
      <c r="W20" s="59" t="s">
        <v>70</v>
      </c>
      <c r="X20" s="14" t="s">
        <v>122</v>
      </c>
      <c r="Y20" s="6" t="s">
        <v>72</v>
      </c>
      <c r="Z20" s="36" t="s">
        <v>73</v>
      </c>
      <c r="AA20" s="8"/>
      <c r="AB20" s="28" t="s">
        <v>29</v>
      </c>
      <c r="AC20" s="28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4">
        <f>MAX(0,(PsnTMax - Tday) * (Tday - PsnTMin) / (((PsnTMax - PsnTMin) / 2)*(PsnTMax - PsnTMin) / 2))</f>
        <v>0</v>
      </c>
      <c r="K21" s="31"/>
      <c r="L21" s="31">
        <f>MAX(0,1 - DVPD1 * (VPD_PnET_II^DVPD2))</f>
        <v>0.99005619684076951</v>
      </c>
      <c r="M21" s="8">
        <f t="shared" ref="M21:M32" si="18">(Amax*AMaxFrac) + BaseFolResp_pnet_ii</f>
        <v>187</v>
      </c>
      <c r="N21" s="38">
        <f>(GrossAmax_temp1_pnet_ii * DVPD_pnet_ii * Dtemp_pnet_ii * DayLength * MC) /Billion</f>
        <v>0</v>
      </c>
      <c r="O21" s="60">
        <f>GrossAmax_temp2_pnet_ii * fRad*dayspan</f>
        <v>0</v>
      </c>
      <c r="P21" s="31">
        <f xml:space="preserve"> Fol / SLWLayer</f>
        <v>0.875</v>
      </c>
      <c r="Q21" s="39" t="e">
        <f>CanopyGrossPsnActMo * WoodMRespA</f>
        <v>#NAME?</v>
      </c>
      <c r="R21" s="60">
        <f>LayerGrossPsnRate_pnet_ii*(Fol)</f>
        <v>0</v>
      </c>
      <c r="S21" s="31">
        <f>(BaseFolResp_pnet_ii*(RespQ10^((Tday-PsnTOpt)/10))*DayLength*MC)/Billion</f>
        <v>1.9179970010540211E-3</v>
      </c>
      <c r="T21" s="31">
        <f>(BaseFolResp_pnet_ii*(RespQ10^((Tnight-PsnTOpt)/10))*NightLength*MC)/Billion</f>
        <v>9.5899850052701054E-4</v>
      </c>
      <c r="U21" s="31">
        <f>BaseFolRespFrac * Amax</f>
        <v>17</v>
      </c>
      <c r="V21" s="60">
        <f>(DayResp_pnet_ii + NightResp)* dayspan * Fol</f>
        <v>1.2083381106640332</v>
      </c>
      <c r="W21" s="60">
        <f>GrossAmax_pnet_ii * fRad*fWater</f>
        <v>0</v>
      </c>
      <c r="X21" s="8">
        <f>(WUEconst/VPD_PnET_Succession) * (1 + 1 - Delgs)</f>
        <v>26.905528105428488</v>
      </c>
      <c r="Y21" s="31">
        <f>LayerGrossPsn_pnet_ii - LayerResp_pnet_ii</f>
        <v>-1.2083381106640332</v>
      </c>
      <c r="Z21" s="59">
        <f>(LayerGrossPsn_pnet_ii/ DelAmax /X21)*MCO2_MC</f>
        <v>0</v>
      </c>
      <c r="AA21" s="8"/>
      <c r="AB21" s="28" t="s">
        <v>30</v>
      </c>
      <c r="AC21" s="28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4">
        <f t="shared" ref="J22:J32" si="20">MAX(0,(PsnTMax - E3) * (E3 - PsnTMin) / (((PsnTMax - PsnTMin) / 2)*(PsnTMax - PsnTMin) / 2))</f>
        <v>0.10802469135802469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1.0275366245571143E-2</v>
      </c>
      <c r="O22" s="60">
        <f t="shared" ref="O22:O32" si="23">N22 * fRad * dayspan</f>
        <v>0.30826098736713425</v>
      </c>
      <c r="P22" s="8"/>
      <c r="Q22" s="15"/>
      <c r="R22" s="60">
        <f t="shared" ref="R22:R32" si="24">W22*(Fol)</f>
        <v>4.3156538231398791</v>
      </c>
      <c r="S22" s="31">
        <f t="shared" ref="S22:S32" si="25">(BaseFolResp_pnet_ii*(RespQ10^((E3-PsnTOpt)/10))*DayLength*MC)/Billion</f>
        <v>2.7124573714815202E-3</v>
      </c>
      <c r="T22" s="31">
        <f t="shared" ref="T22:T32" si="26">(BaseFolResp_pnet_ii*(RespQ10^((F3-PsnTOpt)/10))*NightLength*MC)/Billion</f>
        <v>1.3562286857407594E-3</v>
      </c>
      <c r="U22" s="8"/>
      <c r="V22" s="60">
        <f t="shared" ref="V22:V32" si="27">(S22 + T22) * dayspan*Fol</f>
        <v>1.7088481440333574</v>
      </c>
      <c r="W22" s="60">
        <f t="shared" ref="W22:W32" si="28">O22 * fRad*fWater</f>
        <v>0.30826098736713425</v>
      </c>
      <c r="X22" s="8">
        <f t="shared" ref="X22:X32" si="29">(WUEconst/I22) * (1 + 1 - Delgs)</f>
        <v>18.453922352793494</v>
      </c>
      <c r="Y22" s="8">
        <f>R22 - V22</f>
        <v>2.6068056791065217</v>
      </c>
      <c r="Z22" s="60">
        <f t="shared" ref="Z22:Z32" si="30">(R22/DelAmax/X22)*MCO2_MC</f>
        <v>0.77952907928757054</v>
      </c>
      <c r="AA22" s="8"/>
      <c r="AB22" s="28" t="s">
        <v>101</v>
      </c>
      <c r="AC22" s="28"/>
      <c r="AD22" s="28">
        <v>2</v>
      </c>
      <c r="AQ22" s="8"/>
      <c r="AR22" s="8"/>
      <c r="AS22" s="8"/>
      <c r="AT22" s="8"/>
      <c r="AU22" s="8"/>
      <c r="AV22" s="8"/>
      <c r="AW22" s="8"/>
    </row>
    <row r="23" spans="1:49" ht="1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4">
        <f t="shared" si="20"/>
        <v>0.55555555555555558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5.2016436525415266E-2</v>
      </c>
      <c r="O23" s="60">
        <f t="shared" si="23"/>
        <v>1.5604930957624581</v>
      </c>
      <c r="P23" s="8"/>
      <c r="Q23" s="15"/>
      <c r="R23" s="60">
        <f t="shared" si="24"/>
        <v>21.846903340674412</v>
      </c>
      <c r="S23" s="31">
        <f t="shared" si="25"/>
        <v>3.8359940021080413E-3</v>
      </c>
      <c r="T23" s="31">
        <f t="shared" si="26"/>
        <v>1.9179970010540211E-3</v>
      </c>
      <c r="U23" s="8"/>
      <c r="V23" s="60">
        <f t="shared" si="27"/>
        <v>2.4166762213280659</v>
      </c>
      <c r="W23" s="60">
        <f t="shared" si="28"/>
        <v>1.5604930957624581</v>
      </c>
      <c r="X23" s="8">
        <f t="shared" si="29"/>
        <v>13.682408928824644</v>
      </c>
      <c r="Y23" s="8">
        <f t="shared" ref="Y23:Y32" si="33">R23 - V23</f>
        <v>19.430227119346348</v>
      </c>
      <c r="Z23" s="60">
        <f t="shared" si="30"/>
        <v>5.3223291570019988</v>
      </c>
      <c r="AA23" s="8"/>
      <c r="AB23" s="28" t="s">
        <v>102</v>
      </c>
      <c r="AC23" s="28"/>
      <c r="AD23" s="28">
        <v>0.1</v>
      </c>
      <c r="AE23" s="32"/>
      <c r="AQ23" s="8"/>
      <c r="AR23" s="8"/>
      <c r="AS23" s="8"/>
      <c r="AT23" s="8"/>
      <c r="AU23" s="8"/>
      <c r="AV23" s="8"/>
      <c r="AW23" s="8"/>
    </row>
    <row r="24" spans="1:49" ht="1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4">
        <f t="shared" si="20"/>
        <v>0.84876543209876543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7.7352178286569095E-2</v>
      </c>
      <c r="O24" s="60">
        <f t="shared" si="23"/>
        <v>2.3205653485970728</v>
      </c>
      <c r="P24" s="8"/>
      <c r="Q24" s="15"/>
      <c r="R24" s="60">
        <f t="shared" si="24"/>
        <v>32.487914880359021</v>
      </c>
      <c r="S24" s="31">
        <f t="shared" si="25"/>
        <v>5.4249147429630403E-3</v>
      </c>
      <c r="T24" s="31">
        <f t="shared" si="26"/>
        <v>2.7124573714815202E-3</v>
      </c>
      <c r="U24" s="8"/>
      <c r="V24" s="60">
        <f t="shared" si="27"/>
        <v>3.4176962880667152</v>
      </c>
      <c r="W24" s="60">
        <f t="shared" si="28"/>
        <v>2.3205653485970728</v>
      </c>
      <c r="X24" s="8">
        <f t="shared" si="29"/>
        <v>10.332907842338232</v>
      </c>
      <c r="Y24" s="8">
        <f t="shared" si="33"/>
        <v>29.070218592292306</v>
      </c>
      <c r="Z24" s="60">
        <f t="shared" si="30"/>
        <v>10.480299439500437</v>
      </c>
      <c r="AA24" s="8"/>
      <c r="AB24" s="22" t="s">
        <v>40</v>
      </c>
      <c r="AC24" s="28"/>
      <c r="AD24" s="26">
        <f xml:space="preserve"> DelAmax / ((AD26 - AD26*0.68) / (350 - 238))</f>
        <v>0.96249211072040386</v>
      </c>
      <c r="AE24" s="32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4">
        <f t="shared" si="20"/>
        <v>0.98765432098765427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8.545805270878544E-2</v>
      </c>
      <c r="O25" s="60">
        <f t="shared" si="23"/>
        <v>2.5637415812635633</v>
      </c>
      <c r="P25" s="8"/>
      <c r="Q25" s="15"/>
      <c r="R25" s="60">
        <f t="shared" si="24"/>
        <v>35.892382137689886</v>
      </c>
      <c r="S25" s="31">
        <f t="shared" si="25"/>
        <v>7.6719880042160826E-3</v>
      </c>
      <c r="T25" s="31">
        <f t="shared" si="26"/>
        <v>3.8359940021080413E-3</v>
      </c>
      <c r="U25" s="8"/>
      <c r="V25" s="60">
        <f t="shared" si="27"/>
        <v>4.8333524426561318</v>
      </c>
      <c r="W25" s="60">
        <f t="shared" si="28"/>
        <v>2.5637415812635633</v>
      </c>
      <c r="X25" s="8">
        <f t="shared" si="29"/>
        <v>7.7150109075467039</v>
      </c>
      <c r="Y25" s="8">
        <f t="shared" si="33"/>
        <v>31.059029695033754</v>
      </c>
      <c r="Z25" s="60">
        <f t="shared" si="30"/>
        <v>15.507441347585232</v>
      </c>
      <c r="AA25" s="8"/>
      <c r="AB25" s="22" t="s">
        <v>115</v>
      </c>
      <c r="AC25" s="28"/>
      <c r="AD25" s="26">
        <f>AE25/IMAX</f>
        <v>16</v>
      </c>
      <c r="AE25" s="22">
        <v>80</v>
      </c>
      <c r="AF25" s="22" t="s">
        <v>142</v>
      </c>
      <c r="AG25" s="8"/>
      <c r="AQ25" s="8"/>
      <c r="AR25" s="8"/>
      <c r="AS25" s="8"/>
      <c r="AT25" s="8"/>
      <c r="AU25" s="8"/>
      <c r="AV25" s="8"/>
      <c r="AW25" s="8"/>
    </row>
    <row r="26" spans="1:49" ht="1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4">
        <f t="shared" si="20"/>
        <v>0.97222222222222221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7.6519766162443159E-2</v>
      </c>
      <c r="O26" s="60">
        <f t="shared" si="23"/>
        <v>2.295592984873295</v>
      </c>
      <c r="P26" s="8"/>
      <c r="Q26" s="15"/>
      <c r="R26" s="60">
        <f t="shared" si="24"/>
        <v>32.13830178822613</v>
      </c>
      <c r="S26" s="31">
        <f t="shared" si="25"/>
        <v>1.0849829485926081E-2</v>
      </c>
      <c r="T26" s="31">
        <f t="shared" si="26"/>
        <v>5.4249147429630403E-3</v>
      </c>
      <c r="U26" s="8"/>
      <c r="V26" s="60">
        <f t="shared" si="27"/>
        <v>6.8353925761334304</v>
      </c>
      <c r="W26" s="60">
        <f t="shared" si="28"/>
        <v>2.295592984873295</v>
      </c>
      <c r="X26" s="8">
        <f t="shared" si="29"/>
        <v>5.8305059604289591</v>
      </c>
      <c r="Y26" s="8">
        <f t="shared" si="33"/>
        <v>25.3029092120927</v>
      </c>
      <c r="Z26" s="60">
        <f t="shared" si="30"/>
        <v>18.373465983625362</v>
      </c>
      <c r="AA26" s="8"/>
      <c r="AB26" s="22" t="s">
        <v>140</v>
      </c>
      <c r="AC26" s="28" t="s">
        <v>141</v>
      </c>
      <c r="AD26" s="28">
        <v>400</v>
      </c>
      <c r="AE26" s="43" t="s">
        <v>143</v>
      </c>
      <c r="AF26" s="43"/>
      <c r="AG26" s="8"/>
      <c r="AQ26" s="8"/>
      <c r="AR26" s="8"/>
      <c r="AS26" s="8"/>
      <c r="AT26" s="8"/>
      <c r="AU26" s="8"/>
      <c r="AV26" s="8"/>
      <c r="AW26" s="8"/>
    </row>
    <row r="27" spans="1:49" ht="1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4">
        <f t="shared" si="20"/>
        <v>0.80246913580246915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5.2749063951728958E-2</v>
      </c>
      <c r="O27" s="60">
        <f t="shared" si="23"/>
        <v>1.5824719185518688</v>
      </c>
      <c r="P27" s="8"/>
      <c r="Q27" s="15"/>
      <c r="R27" s="60">
        <f t="shared" si="24"/>
        <v>22.154606859726162</v>
      </c>
      <c r="S27" s="31">
        <f t="shared" si="25"/>
        <v>1.5343976008432165E-2</v>
      </c>
      <c r="T27" s="31">
        <f t="shared" si="26"/>
        <v>7.6719880042160826E-3</v>
      </c>
      <c r="U27" s="8"/>
      <c r="V27" s="60">
        <f t="shared" si="27"/>
        <v>9.6667048853122637</v>
      </c>
      <c r="W27" s="60">
        <f t="shared" si="28"/>
        <v>1.5824719185518688</v>
      </c>
      <c r="X27" s="8">
        <f t="shared" si="29"/>
        <v>4.4568472966066368</v>
      </c>
      <c r="Y27" s="8">
        <f t="shared" si="33"/>
        <v>12.487901974413898</v>
      </c>
      <c r="Z27" s="60">
        <f t="shared" si="30"/>
        <v>16.569549553856724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4">
        <f t="shared" si="20"/>
        <v>0.47839506172839508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2.1369111292653502E-2</v>
      </c>
      <c r="O28" s="60">
        <f t="shared" si="23"/>
        <v>0.64107333877960504</v>
      </c>
      <c r="P28" s="8"/>
      <c r="Q28" s="15"/>
      <c r="R28" s="60">
        <f t="shared" si="24"/>
        <v>8.975026742914471</v>
      </c>
      <c r="S28" s="31">
        <f t="shared" si="25"/>
        <v>2.1699658971852161E-2</v>
      </c>
      <c r="T28" s="31">
        <f t="shared" si="26"/>
        <v>1.0849829485926081E-2</v>
      </c>
      <c r="U28" s="8"/>
      <c r="V28" s="60">
        <f t="shared" si="27"/>
        <v>13.670785152266861</v>
      </c>
      <c r="W28" s="60">
        <f t="shared" si="28"/>
        <v>0.64107333877960504</v>
      </c>
      <c r="X28" s="8">
        <f t="shared" si="29"/>
        <v>3.4436556775772398</v>
      </c>
      <c r="Y28" s="8">
        <f t="shared" si="33"/>
        <v>-4.6957584093523899</v>
      </c>
      <c r="Z28" s="60">
        <f t="shared" si="30"/>
        <v>8.6874124141816313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4">
        <f t="shared" si="20"/>
        <v>0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0</v>
      </c>
      <c r="O29" s="60">
        <f t="shared" si="23"/>
        <v>0</v>
      </c>
      <c r="P29" s="8"/>
      <c r="Q29" s="15"/>
      <c r="R29" s="60">
        <f t="shared" si="24"/>
        <v>0</v>
      </c>
      <c r="S29" s="31">
        <f t="shared" si="25"/>
        <v>3.068795201686433E-2</v>
      </c>
      <c r="T29" s="31">
        <f t="shared" si="26"/>
        <v>1.5343976008432165E-2</v>
      </c>
      <c r="U29" s="8"/>
      <c r="V29" s="60">
        <f t="shared" si="27"/>
        <v>19.333409770624527</v>
      </c>
      <c r="W29" s="60">
        <f t="shared" si="28"/>
        <v>0</v>
      </c>
      <c r="X29" s="8">
        <f t="shared" si="29"/>
        <v>2.6879507610572184</v>
      </c>
      <c r="Y29" s="8">
        <f t="shared" si="33"/>
        <v>-19.333409770624527</v>
      </c>
      <c r="Z29" s="60">
        <f t="shared" si="30"/>
        <v>0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4">
        <f t="shared" si="20"/>
        <v>0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60">
        <f t="shared" si="23"/>
        <v>0</v>
      </c>
      <c r="P30" s="8"/>
      <c r="Q30" s="15"/>
      <c r="R30" s="60">
        <f t="shared" si="24"/>
        <v>0</v>
      </c>
      <c r="S30" s="31">
        <f t="shared" si="25"/>
        <v>4.3399317943704302E-2</v>
      </c>
      <c r="T30" s="31">
        <f t="shared" si="26"/>
        <v>2.1699658971852161E-2</v>
      </c>
      <c r="U30" s="8"/>
      <c r="V30" s="60">
        <f t="shared" si="27"/>
        <v>27.341570304533718</v>
      </c>
      <c r="W30" s="60">
        <f t="shared" si="28"/>
        <v>0</v>
      </c>
      <c r="X30" s="8">
        <f t="shared" si="29"/>
        <v>2.1183142679167029</v>
      </c>
      <c r="Y30" s="8">
        <f t="shared" si="33"/>
        <v>-27.341570304533718</v>
      </c>
      <c r="Z30" s="60">
        <f t="shared" si="30"/>
        <v>0</v>
      </c>
      <c r="AA30" s="8"/>
      <c r="AB30" s="27" t="s">
        <v>113</v>
      </c>
      <c r="AC30" s="27"/>
      <c r="AD30" s="27">
        <v>1</v>
      </c>
      <c r="AE30" s="24" t="s">
        <v>128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4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60">
        <f t="shared" si="23"/>
        <v>0</v>
      </c>
      <c r="P31" s="8"/>
      <c r="Q31" s="15"/>
      <c r="R31" s="60">
        <f t="shared" si="24"/>
        <v>0</v>
      </c>
      <c r="S31" s="31">
        <f t="shared" si="25"/>
        <v>6.1375904033728661E-2</v>
      </c>
      <c r="T31" s="31">
        <f t="shared" si="26"/>
        <v>3.068795201686433E-2</v>
      </c>
      <c r="U31" s="8"/>
      <c r="V31" s="60">
        <f t="shared" si="27"/>
        <v>38.666819541249055</v>
      </c>
      <c r="W31" s="60">
        <f t="shared" si="28"/>
        <v>0</v>
      </c>
      <c r="X31" s="8">
        <f t="shared" si="29"/>
        <v>1.6846198912095649</v>
      </c>
      <c r="Y31" s="8">
        <f t="shared" si="33"/>
        <v>-38.666819541249055</v>
      </c>
      <c r="Z31" s="60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4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60">
        <f t="shared" si="23"/>
        <v>0</v>
      </c>
      <c r="P32" s="13"/>
      <c r="Q32" s="16"/>
      <c r="R32" s="60">
        <f t="shared" si="24"/>
        <v>0</v>
      </c>
      <c r="S32" s="31">
        <f t="shared" si="25"/>
        <v>8.6798635887408604E-2</v>
      </c>
      <c r="T32" s="31">
        <f t="shared" si="26"/>
        <v>4.3399317943704302E-2</v>
      </c>
      <c r="U32" s="13"/>
      <c r="V32" s="60">
        <f t="shared" si="27"/>
        <v>54.683140609067422</v>
      </c>
      <c r="W32" s="60">
        <f t="shared" si="28"/>
        <v>0</v>
      </c>
      <c r="X32" s="8">
        <f t="shared" si="29"/>
        <v>1.3512835339507625</v>
      </c>
      <c r="Y32" s="13">
        <f t="shared" si="33"/>
        <v>-54.683140609067422</v>
      </c>
      <c r="Z32" s="60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15" thickBot="1">
      <c r="A33" s="48" t="s">
        <v>175</v>
      </c>
      <c r="D33" s="42"/>
      <c r="E33" s="42"/>
      <c r="G33" s="42" t="s">
        <v>123</v>
      </c>
      <c r="H33" s="42" t="s">
        <v>123</v>
      </c>
      <c r="I33" s="42" t="s">
        <v>176</v>
      </c>
      <c r="J33" s="24" t="s">
        <v>75</v>
      </c>
      <c r="L33" s="24" t="s">
        <v>75</v>
      </c>
      <c r="M33" s="24" t="s">
        <v>114</v>
      </c>
      <c r="N33" s="24" t="s">
        <v>77</v>
      </c>
      <c r="O33" s="51" t="s">
        <v>83</v>
      </c>
      <c r="P33" s="25" t="s">
        <v>121</v>
      </c>
      <c r="Q33" s="15"/>
      <c r="R33" s="51" t="s">
        <v>81</v>
      </c>
      <c r="S33" s="24" t="s">
        <v>77</v>
      </c>
      <c r="T33" s="24" t="s">
        <v>77</v>
      </c>
      <c r="U33" s="24" t="s">
        <v>76</v>
      </c>
      <c r="V33" s="51" t="s">
        <v>81</v>
      </c>
      <c r="W33" s="51" t="s">
        <v>83</v>
      </c>
      <c r="X33" s="24" t="s">
        <v>120</v>
      </c>
      <c r="Y33" s="59" t="s">
        <v>81</v>
      </c>
      <c r="Z33" s="60" t="s">
        <v>125</v>
      </c>
      <c r="AA33" s="8"/>
      <c r="AF33" s="44" t="s">
        <v>126</v>
      </c>
      <c r="AG33" s="44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Y34" s="60"/>
      <c r="AA34" s="4"/>
      <c r="AB34" s="4"/>
      <c r="AC34" s="4"/>
      <c r="AD34" s="4"/>
      <c r="AF34" s="61" t="s">
        <v>127</v>
      </c>
      <c r="AG34" s="61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60" t="s">
        <v>139</v>
      </c>
      <c r="AB35" s="2" t="s">
        <v>177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Y36" s="60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Y37" s="60"/>
    </row>
    <row r="38" spans="1:49">
      <c r="Y38" s="60"/>
    </row>
    <row r="39" spans="1:49">
      <c r="Y39" s="60"/>
    </row>
    <row r="40" spans="1:49">
      <c r="Y40" s="60"/>
    </row>
    <row r="41" spans="1:49">
      <c r="Y41" s="60"/>
    </row>
    <row r="42" spans="1:49">
      <c r="Y42" s="60"/>
    </row>
    <row r="43" spans="1:49">
      <c r="Y43" s="60"/>
    </row>
    <row r="44" spans="1:49">
      <c r="Y44" s="60"/>
    </row>
    <row r="45" spans="1:49">
      <c r="Y45" s="60"/>
    </row>
    <row r="46" spans="1:49">
      <c r="Y46" s="51"/>
    </row>
    <row r="50" spans="17:48">
      <c r="Q50" s="2" t="s">
        <v>304</v>
      </c>
      <c r="R50" s="2"/>
      <c r="S50" s="2"/>
    </row>
    <row r="51" spans="17:48">
      <c r="Q51" s="2" t="s">
        <v>305</v>
      </c>
      <c r="R51" s="2"/>
      <c r="S51" s="2"/>
      <c r="X51" s="2" t="s">
        <v>144</v>
      </c>
      <c r="Y51" s="2"/>
      <c r="Z51" s="2"/>
    </row>
    <row r="52" spans="17:48">
      <c r="Q52" s="2" t="s">
        <v>306</v>
      </c>
      <c r="X52" s="45" t="s">
        <v>134</v>
      </c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17:48">
      <c r="X53" s="46" t="s">
        <v>136</v>
      </c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17:48">
      <c r="X54" s="46" t="s">
        <v>137</v>
      </c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17:48">
      <c r="X55" s="46" t="s">
        <v>138</v>
      </c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17:48">
      <c r="X56" s="46" t="s">
        <v>133</v>
      </c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17:48">
      <c r="X57" s="46" t="s">
        <v>135</v>
      </c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17:48"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17:48"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7"/>
      <c r="AK59" s="4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7:48"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7"/>
      <c r="AK60" s="4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7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7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7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7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S25"/>
  <sheetViews>
    <sheetView workbookViewId="0">
      <selection activeCell="L15" sqref="L15"/>
    </sheetView>
  </sheetViews>
  <sheetFormatPr defaultColWidth="9.109375" defaultRowHeight="14.4"/>
  <cols>
    <col min="1" max="1" width="9.109375" style="24"/>
    <col min="2" max="2" width="9.109375" style="24" customWidth="1"/>
    <col min="3" max="4" width="9.109375" style="24" hidden="1" customWidth="1"/>
    <col min="5" max="11" width="9.109375" style="24"/>
    <col min="12" max="12" width="16" style="24" customWidth="1"/>
    <col min="13" max="16" width="9.109375" style="24"/>
    <col min="17" max="17" width="12" style="24" bestFit="1" customWidth="1"/>
    <col min="18" max="16384" width="9.109375" style="24"/>
  </cols>
  <sheetData>
    <row r="1" spans="1:19">
      <c r="A1" s="24" t="s">
        <v>222</v>
      </c>
      <c r="B1" s="24" t="s">
        <v>222</v>
      </c>
      <c r="C1" s="24" t="s">
        <v>155</v>
      </c>
      <c r="D1" s="24" t="s">
        <v>249</v>
      </c>
      <c r="E1" s="24" t="s">
        <v>156</v>
      </c>
      <c r="F1" s="24" t="s">
        <v>156</v>
      </c>
      <c r="G1" s="24" t="s">
        <v>156</v>
      </c>
      <c r="H1" s="24" t="s">
        <v>155</v>
      </c>
      <c r="I1" s="24" t="s">
        <v>156</v>
      </c>
      <c r="J1" s="24" t="s">
        <v>259</v>
      </c>
      <c r="O1" s="51" t="s">
        <v>293</v>
      </c>
      <c r="P1" s="51"/>
      <c r="Q1" s="51"/>
      <c r="R1" s="51"/>
    </row>
    <row r="2" spans="1:19">
      <c r="A2" s="57" t="s">
        <v>95</v>
      </c>
      <c r="B2" s="57" t="s">
        <v>93</v>
      </c>
      <c r="C2" s="57" t="s">
        <v>154</v>
      </c>
      <c r="D2" s="57" t="s">
        <v>221</v>
      </c>
      <c r="E2" s="57" t="s">
        <v>95</v>
      </c>
      <c r="F2" s="57" t="s">
        <v>93</v>
      </c>
      <c r="G2" s="57" t="s">
        <v>154</v>
      </c>
      <c r="H2" s="57" t="s">
        <v>154</v>
      </c>
      <c r="I2" s="57" t="s">
        <v>221</v>
      </c>
      <c r="J2" s="57" t="s">
        <v>221</v>
      </c>
      <c r="M2" s="24" t="s">
        <v>276</v>
      </c>
      <c r="O2" s="51" t="s">
        <v>95</v>
      </c>
      <c r="P2" s="51" t="s">
        <v>93</v>
      </c>
      <c r="Q2" s="51" t="s">
        <v>221</v>
      </c>
      <c r="R2" s="51" t="s">
        <v>262</v>
      </c>
    </row>
    <row r="3" spans="1:19">
      <c r="A3" s="24">
        <v>0</v>
      </c>
      <c r="B3" s="24">
        <f>A3</f>
        <v>0</v>
      </c>
      <c r="C3" s="24">
        <f t="shared" ref="C3:C13" si="0">1 - (A3* B3)</f>
        <v>1</v>
      </c>
      <c r="D3" s="24">
        <f t="shared" ref="D3:D24" si="1">1-(C3^$M$8)</f>
        <v>0</v>
      </c>
      <c r="E3" s="24">
        <f>MIN(1,(A3^2)*(1/($M$4^2)))</f>
        <v>0</v>
      </c>
      <c r="F3" s="24">
        <f>MIN(1,(B3^2)*(1/($M$5^2)))</f>
        <v>0</v>
      </c>
      <c r="G3" s="24">
        <f>1 - (E3* F3)</f>
        <v>1</v>
      </c>
      <c r="H3" s="24">
        <f>1 - ((A3^$M$10)* (B3^$M$11))</f>
        <v>1</v>
      </c>
      <c r="I3" s="24">
        <f t="shared" ref="I3:I24" si="2">(1-((G3)^$M$8))*$M$6</f>
        <v>0</v>
      </c>
      <c r="J3" s="24">
        <f t="shared" ref="J3:J24" si="3">1-(H3^$M$8)</f>
        <v>0</v>
      </c>
      <c r="L3" s="28" t="s">
        <v>224</v>
      </c>
      <c r="M3" s="28"/>
      <c r="N3" s="24" t="s">
        <v>266</v>
      </c>
      <c r="O3" s="51">
        <v>1</v>
      </c>
      <c r="P3" s="51">
        <v>0.8</v>
      </c>
      <c r="Q3" s="26">
        <f>1-((1 - ((MIN(1,(O3^2)*(1/($M$4^2))))* (MIN(1,(P3^2)*(1/($M$5^2))))*$M$6))^$M$8)</f>
        <v>1</v>
      </c>
      <c r="R3" s="26">
        <f>1-((1 - ((O3^$M$10)* (P3^$M$11)))^$M$8)</f>
        <v>0.98571044020355092</v>
      </c>
      <c r="S3" s="24" t="s">
        <v>265</v>
      </c>
    </row>
    <row r="4" spans="1:19">
      <c r="A4" s="24">
        <v>0.1</v>
      </c>
      <c r="B4" s="24">
        <f t="shared" ref="B4:B13" si="4">A4</f>
        <v>0.1</v>
      </c>
      <c r="C4" s="24">
        <f t="shared" si="0"/>
        <v>0.99</v>
      </c>
      <c r="D4" s="24">
        <f t="shared" si="1"/>
        <v>4.9009950100000088E-2</v>
      </c>
      <c r="E4" s="24">
        <f>MIN(1,(A4^2)*(1/($M$4^2)))</f>
        <v>1.0000000000000002E-2</v>
      </c>
      <c r="F4" s="24">
        <f t="shared" ref="F4:F13" si="5">MIN(1,(B4^2)*(1/($M$5^2)))</f>
        <v>1.5625E-2</v>
      </c>
      <c r="G4" s="24">
        <f t="shared" ref="G4:G24" si="6">1 - (E4* F4)</f>
        <v>0.99984375000000003</v>
      </c>
      <c r="H4" s="24">
        <f t="shared" ref="H4:H13" si="7">1 - ((A4^$M$10)* (B4^$M$11))</f>
        <v>0.99999000000000005</v>
      </c>
      <c r="I4" s="24">
        <f t="shared" si="2"/>
        <v>7.8100589751872729E-4</v>
      </c>
      <c r="J4" s="24">
        <f t="shared" si="3"/>
        <v>4.9999000009681716E-5</v>
      </c>
      <c r="L4" s="28" t="s">
        <v>219</v>
      </c>
      <c r="M4" s="28">
        <v>1</v>
      </c>
      <c r="N4" s="24" t="s">
        <v>260</v>
      </c>
    </row>
    <row r="5" spans="1:19">
      <c r="A5" s="24">
        <v>0.2</v>
      </c>
      <c r="B5" s="24">
        <f t="shared" si="4"/>
        <v>0.2</v>
      </c>
      <c r="C5" s="24">
        <f t="shared" si="0"/>
        <v>0.96</v>
      </c>
      <c r="D5" s="24">
        <f t="shared" si="1"/>
        <v>0.18462730240000003</v>
      </c>
      <c r="E5" s="24">
        <f t="shared" ref="E5:E13" si="8">MIN(1,(A5^2)*(1/($M$4^2)))</f>
        <v>4.0000000000000008E-2</v>
      </c>
      <c r="F5" s="24">
        <f t="shared" si="5"/>
        <v>6.25E-2</v>
      </c>
      <c r="G5" s="24">
        <f t="shared" si="6"/>
        <v>0.99750000000000005</v>
      </c>
      <c r="H5" s="24">
        <f t="shared" si="7"/>
        <v>0.99968000000000001</v>
      </c>
      <c r="I5" s="24">
        <f t="shared" si="2"/>
        <v>1.2437656054784862E-2</v>
      </c>
      <c r="J5" s="24">
        <f t="shared" si="3"/>
        <v>1.5989763276273994E-3</v>
      </c>
      <c r="L5" s="28" t="s">
        <v>220</v>
      </c>
      <c r="M5" s="28">
        <v>0.8</v>
      </c>
      <c r="N5" s="24" t="s">
        <v>284</v>
      </c>
    </row>
    <row r="6" spans="1:19">
      <c r="A6" s="24">
        <v>0.3</v>
      </c>
      <c r="B6" s="24">
        <f t="shared" si="4"/>
        <v>0.3</v>
      </c>
      <c r="C6" s="24">
        <f t="shared" si="0"/>
        <v>0.91</v>
      </c>
      <c r="D6" s="24">
        <f t="shared" si="1"/>
        <v>0.37596785489999984</v>
      </c>
      <c r="E6" s="24">
        <f t="shared" si="8"/>
        <v>0.09</v>
      </c>
      <c r="F6" s="24">
        <f t="shared" si="5"/>
        <v>0.14062499999999997</v>
      </c>
      <c r="G6" s="24">
        <f t="shared" si="6"/>
        <v>0.98734374999999996</v>
      </c>
      <c r="H6" s="24">
        <f t="shared" si="7"/>
        <v>0.99756999999999996</v>
      </c>
      <c r="I6" s="24">
        <f t="shared" si="2"/>
        <v>6.1699588260176963E-2</v>
      </c>
      <c r="J6" s="24">
        <f t="shared" si="3"/>
        <v>1.2091094314815809E-2</v>
      </c>
      <c r="L6" s="28" t="s">
        <v>263</v>
      </c>
      <c r="M6" s="28">
        <v>1</v>
      </c>
    </row>
    <row r="7" spans="1:19">
      <c r="A7" s="24">
        <v>0.4</v>
      </c>
      <c r="B7" s="24">
        <f t="shared" si="4"/>
        <v>0.4</v>
      </c>
      <c r="C7" s="24">
        <f t="shared" si="0"/>
        <v>0.84</v>
      </c>
      <c r="D7" s="24">
        <f t="shared" si="1"/>
        <v>0.58178805760000007</v>
      </c>
      <c r="E7" s="24">
        <f t="shared" si="8"/>
        <v>0.16000000000000003</v>
      </c>
      <c r="F7" s="24">
        <f t="shared" si="5"/>
        <v>0.25</v>
      </c>
      <c r="G7" s="24">
        <f t="shared" si="6"/>
        <v>0.96</v>
      </c>
      <c r="H7" s="24">
        <f t="shared" si="7"/>
        <v>0.98975999999999997</v>
      </c>
      <c r="I7" s="24">
        <f t="shared" si="2"/>
        <v>0.18462730240000003</v>
      </c>
      <c r="J7" s="24">
        <f t="shared" si="3"/>
        <v>5.0162106555248775E-2</v>
      </c>
      <c r="L7" s="26" t="s">
        <v>300</v>
      </c>
      <c r="M7" s="26">
        <v>1</v>
      </c>
      <c r="N7" s="24" t="s">
        <v>264</v>
      </c>
    </row>
    <row r="8" spans="1:19">
      <c r="A8" s="24">
        <v>0.5</v>
      </c>
      <c r="B8" s="24">
        <f t="shared" si="4"/>
        <v>0.5</v>
      </c>
      <c r="C8" s="24">
        <f t="shared" si="0"/>
        <v>0.75</v>
      </c>
      <c r="D8" s="24">
        <f t="shared" si="1"/>
        <v>0.7626953125</v>
      </c>
      <c r="E8" s="24">
        <f t="shared" si="8"/>
        <v>0.25</v>
      </c>
      <c r="F8" s="24">
        <f t="shared" si="5"/>
        <v>0.39062499999999994</v>
      </c>
      <c r="G8" s="24">
        <f t="shared" si="6"/>
        <v>0.90234375</v>
      </c>
      <c r="H8" s="24">
        <f t="shared" si="7"/>
        <v>0.96875</v>
      </c>
      <c r="I8" s="24">
        <f t="shared" si="2"/>
        <v>0.40178117853884032</v>
      </c>
      <c r="J8" s="24">
        <f t="shared" si="3"/>
        <v>0.14678481221199036</v>
      </c>
      <c r="L8" s="28" t="s">
        <v>223</v>
      </c>
      <c r="M8" s="28">
        <v>5</v>
      </c>
    </row>
    <row r="9" spans="1:19">
      <c r="A9" s="24">
        <v>0.6</v>
      </c>
      <c r="B9" s="24">
        <f t="shared" si="4"/>
        <v>0.6</v>
      </c>
      <c r="C9" s="24">
        <f t="shared" si="0"/>
        <v>0.64</v>
      </c>
      <c r="D9" s="24">
        <f t="shared" si="1"/>
        <v>0.89262581760000004</v>
      </c>
      <c r="E9" s="24">
        <f t="shared" si="8"/>
        <v>0.36</v>
      </c>
      <c r="F9" s="24">
        <f t="shared" si="5"/>
        <v>0.56249999999999989</v>
      </c>
      <c r="G9" s="24">
        <f t="shared" si="6"/>
        <v>0.7975000000000001</v>
      </c>
      <c r="H9" s="24">
        <f t="shared" si="7"/>
        <v>0.92223999999999995</v>
      </c>
      <c r="I9" s="24">
        <f t="shared" si="2"/>
        <v>0.67740809984384742</v>
      </c>
      <c r="J9" s="24">
        <f t="shared" si="3"/>
        <v>0.33285570895256</v>
      </c>
      <c r="L9" s="26" t="s">
        <v>261</v>
      </c>
      <c r="M9" s="26"/>
    </row>
    <row r="10" spans="1:19">
      <c r="A10" s="24">
        <v>0.7</v>
      </c>
      <c r="B10" s="24">
        <f t="shared" si="4"/>
        <v>0.7</v>
      </c>
      <c r="C10" s="24">
        <f t="shared" si="0"/>
        <v>0.51</v>
      </c>
      <c r="D10" s="24">
        <f t="shared" si="1"/>
        <v>0.96549747490000004</v>
      </c>
      <c r="E10" s="24">
        <f t="shared" si="8"/>
        <v>0.48999999999999994</v>
      </c>
      <c r="F10" s="24">
        <f t="shared" si="5"/>
        <v>0.76562499999999978</v>
      </c>
      <c r="G10" s="24">
        <f t="shared" si="6"/>
        <v>0.62484375000000014</v>
      </c>
      <c r="H10" s="24">
        <f t="shared" si="7"/>
        <v>0.83193000000000006</v>
      </c>
      <c r="I10" s="24">
        <f t="shared" si="2"/>
        <v>0.9047517180591802</v>
      </c>
      <c r="J10" s="24">
        <f t="shared" si="3"/>
        <v>0.60149485964651572</v>
      </c>
      <c r="L10" s="26" t="s">
        <v>219</v>
      </c>
      <c r="M10" s="26">
        <v>2.5</v>
      </c>
    </row>
    <row r="11" spans="1:19">
      <c r="A11" s="24">
        <v>0.8</v>
      </c>
      <c r="B11" s="24">
        <f t="shared" si="4"/>
        <v>0.8</v>
      </c>
      <c r="C11" s="24">
        <f t="shared" si="0"/>
        <v>0.35999999999999988</v>
      </c>
      <c r="D11" s="24">
        <f t="shared" si="1"/>
        <v>0.99395338239999997</v>
      </c>
      <c r="E11" s="24">
        <f t="shared" si="8"/>
        <v>0.64000000000000012</v>
      </c>
      <c r="F11" s="24">
        <f t="shared" si="5"/>
        <v>1</v>
      </c>
      <c r="G11" s="24">
        <f t="shared" si="6"/>
        <v>0.35999999999999988</v>
      </c>
      <c r="H11" s="24">
        <f t="shared" si="7"/>
        <v>0.67232000000000003</v>
      </c>
      <c r="I11" s="24">
        <f t="shared" si="2"/>
        <v>0.99395338239999997</v>
      </c>
      <c r="J11" s="24">
        <f t="shared" si="3"/>
        <v>0.86263371484427331</v>
      </c>
      <c r="L11" s="26" t="s">
        <v>220</v>
      </c>
      <c r="M11" s="26">
        <v>2.5</v>
      </c>
    </row>
    <row r="12" spans="1:19">
      <c r="A12" s="24">
        <v>0.9</v>
      </c>
      <c r="B12" s="24">
        <f t="shared" si="4"/>
        <v>0.9</v>
      </c>
      <c r="C12" s="24">
        <f t="shared" si="0"/>
        <v>0.18999999999999995</v>
      </c>
      <c r="D12" s="24">
        <f t="shared" si="1"/>
        <v>0.99975239010000005</v>
      </c>
      <c r="E12" s="24">
        <f t="shared" si="8"/>
        <v>0.81</v>
      </c>
      <c r="F12" s="24">
        <f t="shared" si="5"/>
        <v>1</v>
      </c>
      <c r="G12" s="24">
        <f t="shared" si="6"/>
        <v>0.18999999999999995</v>
      </c>
      <c r="H12" s="24">
        <f t="shared" si="7"/>
        <v>0.40950999999999993</v>
      </c>
      <c r="I12" s="24">
        <f t="shared" si="2"/>
        <v>0.99975239010000005</v>
      </c>
      <c r="J12" s="24">
        <f t="shared" si="3"/>
        <v>0.98848344576282887</v>
      </c>
    </row>
    <row r="13" spans="1:19">
      <c r="A13" s="57">
        <v>1</v>
      </c>
      <c r="B13" s="57">
        <f t="shared" si="4"/>
        <v>1</v>
      </c>
      <c r="C13" s="57">
        <f t="shared" si="0"/>
        <v>0</v>
      </c>
      <c r="D13" s="57">
        <f t="shared" si="1"/>
        <v>1</v>
      </c>
      <c r="E13" s="57">
        <f t="shared" si="8"/>
        <v>1</v>
      </c>
      <c r="F13" s="57">
        <f t="shared" si="5"/>
        <v>1</v>
      </c>
      <c r="G13" s="57">
        <f t="shared" si="6"/>
        <v>0</v>
      </c>
      <c r="H13" s="57">
        <f t="shared" si="7"/>
        <v>0</v>
      </c>
      <c r="I13" s="57">
        <f t="shared" si="2"/>
        <v>1</v>
      </c>
      <c r="J13" s="57">
        <f t="shared" si="3"/>
        <v>1</v>
      </c>
      <c r="L13" s="26" t="s">
        <v>86</v>
      </c>
      <c r="M13" s="26"/>
      <c r="N13" s="26"/>
    </row>
    <row r="14" spans="1:19">
      <c r="A14" s="24">
        <v>1</v>
      </c>
      <c r="B14" s="24">
        <v>0</v>
      </c>
      <c r="C14" s="24">
        <f t="shared" ref="C14:C24" si="9">1 - (A14* B14)</f>
        <v>1</v>
      </c>
      <c r="D14" s="24">
        <f t="shared" si="1"/>
        <v>0</v>
      </c>
      <c r="E14" s="24">
        <f>MIN(1,(A14^2)*(1/($M$4^2)))</f>
        <v>1</v>
      </c>
      <c r="F14" s="24">
        <f>MIN(1,(B14^2)*(1/($M$5^2)))</f>
        <v>0</v>
      </c>
      <c r="G14" s="24">
        <f t="shared" si="6"/>
        <v>1</v>
      </c>
      <c r="H14" s="24">
        <f>1 - ((A14^$M$10)* (B14^$M$11))</f>
        <v>1</v>
      </c>
      <c r="I14" s="24">
        <f t="shared" si="2"/>
        <v>0</v>
      </c>
      <c r="J14" s="24">
        <f t="shared" si="3"/>
        <v>0</v>
      </c>
      <c r="L14" s="28" t="s">
        <v>298</v>
      </c>
      <c r="M14" s="28"/>
      <c r="N14" s="28"/>
    </row>
    <row r="15" spans="1:19">
      <c r="A15" s="24">
        <v>1</v>
      </c>
      <c r="B15" s="24">
        <v>0.1</v>
      </c>
      <c r="C15" s="24">
        <f t="shared" si="9"/>
        <v>0.9</v>
      </c>
      <c r="D15" s="24">
        <f t="shared" si="1"/>
        <v>0.40950999999999982</v>
      </c>
      <c r="E15" s="24">
        <f>MIN(1,(A15^2)*(1/($M$4^2)))</f>
        <v>1</v>
      </c>
      <c r="F15" s="24">
        <f t="shared" ref="F15:F24" si="10">MIN(1,(B15^2)*(1/($M$5^2)))</f>
        <v>1.5625E-2</v>
      </c>
      <c r="G15" s="24">
        <f t="shared" si="6"/>
        <v>0.984375</v>
      </c>
      <c r="H15" s="24">
        <f t="shared" ref="H15:H24" si="11">1 - ((A15^$M$10)* (B15^$M$11))</f>
        <v>0.99683772233983159</v>
      </c>
      <c r="I15" s="24">
        <f t="shared" si="2"/>
        <v>7.5721443630754948E-2</v>
      </c>
      <c r="J15" s="24">
        <f t="shared" si="3"/>
        <v>1.5711704028924411E-2</v>
      </c>
    </row>
    <row r="16" spans="1:19">
      <c r="A16" s="24">
        <v>1</v>
      </c>
      <c r="B16" s="24">
        <v>0.2</v>
      </c>
      <c r="C16" s="24">
        <f t="shared" si="9"/>
        <v>0.8</v>
      </c>
      <c r="D16" s="24">
        <f t="shared" si="1"/>
        <v>0.67231999999999981</v>
      </c>
      <c r="E16" s="24">
        <f t="shared" ref="E16:E24" si="12">MIN(1,(A16^2)*(1/($M$4^2)))</f>
        <v>1</v>
      </c>
      <c r="F16" s="24">
        <f t="shared" si="10"/>
        <v>6.25E-2</v>
      </c>
      <c r="G16" s="24">
        <f t="shared" si="6"/>
        <v>0.9375</v>
      </c>
      <c r="H16" s="24">
        <f t="shared" si="11"/>
        <v>0.98211145618000173</v>
      </c>
      <c r="I16" s="24">
        <f t="shared" si="2"/>
        <v>0.27580356597900391</v>
      </c>
      <c r="J16" s="24">
        <f t="shared" si="3"/>
        <v>8.6299452272002308E-2</v>
      </c>
    </row>
    <row r="17" spans="1:16">
      <c r="A17" s="24">
        <v>1</v>
      </c>
      <c r="B17" s="24">
        <v>0.3</v>
      </c>
      <c r="C17" s="24">
        <f t="shared" si="9"/>
        <v>0.7</v>
      </c>
      <c r="D17" s="24">
        <f t="shared" si="1"/>
        <v>0.83193000000000006</v>
      </c>
      <c r="E17" s="24">
        <f t="shared" si="12"/>
        <v>1</v>
      </c>
      <c r="F17" s="24">
        <f t="shared" si="10"/>
        <v>0.14062499999999997</v>
      </c>
      <c r="G17" s="24">
        <f t="shared" si="6"/>
        <v>0.859375</v>
      </c>
      <c r="H17" s="24">
        <f t="shared" si="11"/>
        <v>0.95070496982453512</v>
      </c>
      <c r="I17" s="24">
        <f t="shared" si="2"/>
        <v>0.53127990011125803</v>
      </c>
      <c r="J17" s="24">
        <f t="shared" si="3"/>
        <v>0.22334378669281185</v>
      </c>
    </row>
    <row r="18" spans="1:16">
      <c r="A18" s="24">
        <v>1</v>
      </c>
      <c r="B18" s="24">
        <v>0.4</v>
      </c>
      <c r="C18" s="24">
        <f t="shared" si="9"/>
        <v>0.6</v>
      </c>
      <c r="D18" s="24">
        <f t="shared" si="1"/>
        <v>0.92223999999999995</v>
      </c>
      <c r="E18" s="24">
        <f t="shared" si="12"/>
        <v>1</v>
      </c>
      <c r="F18" s="24">
        <f t="shared" si="10"/>
        <v>0.25</v>
      </c>
      <c r="G18" s="24">
        <f t="shared" si="6"/>
        <v>0.75</v>
      </c>
      <c r="H18" s="24">
        <f t="shared" si="11"/>
        <v>0.89880711487461185</v>
      </c>
      <c r="I18" s="24">
        <f t="shared" si="2"/>
        <v>0.7626953125</v>
      </c>
      <c r="J18" s="24">
        <f t="shared" si="3"/>
        <v>0.41341289990685182</v>
      </c>
    </row>
    <row r="19" spans="1:16">
      <c r="A19" s="24">
        <v>1</v>
      </c>
      <c r="B19" s="24">
        <v>0.5</v>
      </c>
      <c r="C19" s="24">
        <f t="shared" si="9"/>
        <v>0.5</v>
      </c>
      <c r="D19" s="24">
        <f t="shared" si="1"/>
        <v>0.96875</v>
      </c>
      <c r="E19" s="24">
        <f t="shared" si="12"/>
        <v>1</v>
      </c>
      <c r="F19" s="24">
        <f t="shared" si="10"/>
        <v>0.39062499999999994</v>
      </c>
      <c r="G19" s="24">
        <f t="shared" si="6"/>
        <v>0.609375</v>
      </c>
      <c r="H19" s="24">
        <f t="shared" si="11"/>
        <v>0.82322330470336313</v>
      </c>
      <c r="I19" s="24">
        <f t="shared" si="2"/>
        <v>0.91597216669470072</v>
      </c>
      <c r="J19" s="24">
        <f t="shared" si="3"/>
        <v>0.62191601475488401</v>
      </c>
    </row>
    <row r="20" spans="1:16">
      <c r="A20" s="24">
        <v>1</v>
      </c>
      <c r="B20" s="24">
        <v>0.6</v>
      </c>
      <c r="C20" s="24">
        <f t="shared" si="9"/>
        <v>0.4</v>
      </c>
      <c r="D20" s="24">
        <f t="shared" si="1"/>
        <v>0.98975999999999997</v>
      </c>
      <c r="E20" s="24">
        <f t="shared" si="12"/>
        <v>1</v>
      </c>
      <c r="F20" s="24">
        <f t="shared" si="10"/>
        <v>0.56249999999999989</v>
      </c>
      <c r="G20" s="24">
        <f t="shared" si="6"/>
        <v>0.43750000000000011</v>
      </c>
      <c r="H20" s="24">
        <f t="shared" si="11"/>
        <v>0.72114519907306596</v>
      </c>
      <c r="I20" s="24">
        <f t="shared" si="2"/>
        <v>0.98397159576416016</v>
      </c>
      <c r="J20" s="24">
        <f t="shared" si="3"/>
        <v>0.80496453818258329</v>
      </c>
    </row>
    <row r="21" spans="1:16">
      <c r="A21" s="24">
        <v>1</v>
      </c>
      <c r="B21" s="24">
        <v>0.7</v>
      </c>
      <c r="C21" s="24">
        <f t="shared" si="9"/>
        <v>0.30000000000000004</v>
      </c>
      <c r="D21" s="24">
        <f t="shared" si="1"/>
        <v>0.99756999999999996</v>
      </c>
      <c r="E21" s="24">
        <f t="shared" si="12"/>
        <v>1</v>
      </c>
      <c r="F21" s="24">
        <f t="shared" si="10"/>
        <v>0.76562499999999978</v>
      </c>
      <c r="G21" s="24">
        <f t="shared" si="6"/>
        <v>0.23437500000000022</v>
      </c>
      <c r="H21" s="24">
        <f t="shared" si="11"/>
        <v>0.59003658699830308</v>
      </c>
      <c r="I21" s="24">
        <f t="shared" si="2"/>
        <v>0.99929277691990137</v>
      </c>
      <c r="J21" s="24">
        <f t="shared" si="3"/>
        <v>0.92848540045729167</v>
      </c>
    </row>
    <row r="22" spans="1:16">
      <c r="A22" s="24">
        <v>1</v>
      </c>
      <c r="B22" s="24">
        <v>0.8</v>
      </c>
      <c r="C22" s="24">
        <f t="shared" si="9"/>
        <v>0.19999999999999996</v>
      </c>
      <c r="D22" s="24">
        <f t="shared" si="1"/>
        <v>0.99968000000000001</v>
      </c>
      <c r="E22" s="24">
        <f t="shared" si="12"/>
        <v>1</v>
      </c>
      <c r="F22" s="24">
        <f t="shared" si="10"/>
        <v>1</v>
      </c>
      <c r="G22" s="24">
        <f t="shared" si="6"/>
        <v>0</v>
      </c>
      <c r="H22" s="24">
        <f t="shared" si="11"/>
        <v>0.42756659776005379</v>
      </c>
      <c r="I22" s="24">
        <f t="shared" si="2"/>
        <v>1</v>
      </c>
      <c r="J22" s="24">
        <f t="shared" si="3"/>
        <v>0.98571044020355092</v>
      </c>
    </row>
    <row r="23" spans="1:16">
      <c r="A23" s="24">
        <v>1</v>
      </c>
      <c r="B23" s="24">
        <v>0.9</v>
      </c>
      <c r="C23" s="24">
        <f t="shared" si="9"/>
        <v>9.9999999999999978E-2</v>
      </c>
      <c r="D23" s="24">
        <f t="shared" si="1"/>
        <v>0.99999000000000005</v>
      </c>
      <c r="E23" s="24">
        <f t="shared" si="12"/>
        <v>1</v>
      </c>
      <c r="F23" s="24">
        <f t="shared" si="10"/>
        <v>1</v>
      </c>
      <c r="G23" s="24">
        <f t="shared" si="6"/>
        <v>0</v>
      </c>
      <c r="H23" s="24">
        <f t="shared" si="11"/>
        <v>0.23156652857908377</v>
      </c>
      <c r="I23" s="24">
        <f t="shared" si="2"/>
        <v>1</v>
      </c>
      <c r="J23" s="24">
        <f t="shared" si="3"/>
        <v>0.99933414613362181</v>
      </c>
      <c r="L23" s="2" t="s">
        <v>285</v>
      </c>
      <c r="M23" s="2"/>
      <c r="N23" s="2"/>
      <c r="O23" s="2"/>
      <c r="P23" s="2"/>
    </row>
    <row r="24" spans="1:16">
      <c r="A24" s="57">
        <v>1</v>
      </c>
      <c r="B24" s="57">
        <v>1</v>
      </c>
      <c r="C24" s="57">
        <f t="shared" si="9"/>
        <v>0</v>
      </c>
      <c r="D24" s="57">
        <f t="shared" si="1"/>
        <v>1</v>
      </c>
      <c r="E24" s="57">
        <f t="shared" si="12"/>
        <v>1</v>
      </c>
      <c r="F24" s="57">
        <f t="shared" si="10"/>
        <v>1</v>
      </c>
      <c r="G24" s="57">
        <f t="shared" si="6"/>
        <v>0</v>
      </c>
      <c r="H24" s="57">
        <f t="shared" si="11"/>
        <v>0</v>
      </c>
      <c r="I24" s="57">
        <f t="shared" si="2"/>
        <v>1</v>
      </c>
      <c r="J24" s="57">
        <f t="shared" si="3"/>
        <v>1</v>
      </c>
      <c r="L24" s="2" t="s">
        <v>286</v>
      </c>
      <c r="M24" s="2"/>
      <c r="N24" s="2"/>
      <c r="O24" s="2"/>
      <c r="P24" s="2"/>
    </row>
    <row r="25" spans="1:16">
      <c r="L25" s="2" t="s">
        <v>287</v>
      </c>
      <c r="M25" s="2"/>
      <c r="N25" s="2"/>
      <c r="O25" s="2"/>
      <c r="P2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O33"/>
  <sheetViews>
    <sheetView workbookViewId="0">
      <selection activeCell="G5" sqref="G5"/>
    </sheetView>
  </sheetViews>
  <sheetFormatPr defaultRowHeight="14.4"/>
  <cols>
    <col min="5" max="5" width="10.33203125" customWidth="1"/>
    <col min="8" max="8" width="8.88671875" style="24"/>
    <col min="12" max="12" width="8.88671875" style="24"/>
  </cols>
  <sheetData>
    <row r="1" spans="1:9" s="24" customFormat="1">
      <c r="C1" s="24" t="s">
        <v>254</v>
      </c>
    </row>
    <row r="2" spans="1:9">
      <c r="A2" s="24" t="s">
        <v>189</v>
      </c>
      <c r="C2" s="28" t="s">
        <v>8</v>
      </c>
      <c r="D2" s="28" t="s">
        <v>197</v>
      </c>
      <c r="E2" s="28" t="s">
        <v>289</v>
      </c>
      <c r="F2" s="24" t="s">
        <v>198</v>
      </c>
      <c r="G2" s="53" t="s">
        <v>199</v>
      </c>
      <c r="H2" s="4" t="s">
        <v>202</v>
      </c>
      <c r="I2" s="24"/>
    </row>
    <row r="3" spans="1:9">
      <c r="A3" s="24">
        <v>0</v>
      </c>
      <c r="B3" s="24" t="s">
        <v>297</v>
      </c>
      <c r="C3" s="28">
        <v>2.2999999999999998</v>
      </c>
      <c r="D3" s="28">
        <v>2.7</v>
      </c>
      <c r="E3" s="28">
        <v>3</v>
      </c>
      <c r="F3" s="24">
        <f t="shared" ref="F3:F13" si="0">A3^$E$3</f>
        <v>0</v>
      </c>
      <c r="G3" s="53">
        <f>$C$3+(($D$3-$C$3)*F3)</f>
        <v>2.2999999999999998</v>
      </c>
      <c r="H3" s="24">
        <v>2.6</v>
      </c>
      <c r="I3" s="24"/>
    </row>
    <row r="4" spans="1:9">
      <c r="A4" s="24">
        <v>0.1</v>
      </c>
      <c r="B4" s="24" t="s">
        <v>296</v>
      </c>
      <c r="C4" s="28"/>
      <c r="D4" s="28"/>
      <c r="E4" s="26">
        <v>0</v>
      </c>
      <c r="F4" s="24">
        <f t="shared" si="0"/>
        <v>1.0000000000000002E-3</v>
      </c>
      <c r="G4" s="53">
        <f>$C$3+(($D$3-$C$3)*F4)</f>
        <v>2.3003999999999998</v>
      </c>
      <c r="I4" s="24"/>
    </row>
    <row r="5" spans="1:9">
      <c r="A5" s="24">
        <v>0.2</v>
      </c>
      <c r="B5" s="24"/>
      <c r="C5" s="24"/>
      <c r="D5" s="24"/>
      <c r="E5" s="24"/>
      <c r="F5" s="24">
        <f t="shared" si="0"/>
        <v>8.0000000000000019E-3</v>
      </c>
      <c r="G5" s="53">
        <f t="shared" ref="G5:G13" si="1">$C$3+(($D$3-$C$3)*F5)</f>
        <v>2.3031999999999999</v>
      </c>
      <c r="I5" s="24"/>
    </row>
    <row r="6" spans="1:9">
      <c r="A6" s="24">
        <v>0.3</v>
      </c>
      <c r="B6" s="24"/>
      <c r="C6" s="26" t="s">
        <v>86</v>
      </c>
      <c r="D6" s="26"/>
      <c r="E6" s="26"/>
      <c r="F6" s="24">
        <f t="shared" si="0"/>
        <v>2.7E-2</v>
      </c>
      <c r="G6" s="53">
        <f t="shared" si="1"/>
        <v>2.3108</v>
      </c>
      <c r="I6" s="24"/>
    </row>
    <row r="7" spans="1:9">
      <c r="A7" s="24">
        <v>0.4</v>
      </c>
      <c r="B7" s="24"/>
      <c r="C7" s="28" t="s">
        <v>298</v>
      </c>
      <c r="D7" s="28"/>
      <c r="E7" s="28"/>
      <c r="F7" s="24">
        <f t="shared" si="0"/>
        <v>6.4000000000000015E-2</v>
      </c>
      <c r="G7" s="53">
        <f t="shared" si="1"/>
        <v>2.3255999999999997</v>
      </c>
      <c r="I7" s="24"/>
    </row>
    <row r="8" spans="1:9">
      <c r="A8" s="24">
        <v>0.5</v>
      </c>
      <c r="B8" s="24"/>
      <c r="C8" s="24"/>
      <c r="D8" s="24"/>
      <c r="E8" s="24"/>
      <c r="F8" s="24">
        <f t="shared" si="0"/>
        <v>0.125</v>
      </c>
      <c r="G8" s="53">
        <f t="shared" si="1"/>
        <v>2.3499999999999996</v>
      </c>
      <c r="H8" s="24">
        <v>2.63</v>
      </c>
      <c r="I8" s="24"/>
    </row>
    <row r="9" spans="1:9">
      <c r="A9" s="24">
        <v>0.6</v>
      </c>
      <c r="B9" s="24"/>
      <c r="C9" s="24"/>
      <c r="D9" s="24"/>
      <c r="E9" s="24"/>
      <c r="F9" s="24">
        <f t="shared" si="0"/>
        <v>0.216</v>
      </c>
      <c r="G9" s="53">
        <f t="shared" si="1"/>
        <v>2.3864000000000001</v>
      </c>
      <c r="I9" s="24"/>
    </row>
    <row r="10" spans="1:9">
      <c r="A10" s="24">
        <v>0.7</v>
      </c>
      <c r="B10" s="24"/>
      <c r="C10" s="24"/>
      <c r="D10" s="24"/>
      <c r="E10" s="24"/>
      <c r="F10" s="24">
        <f t="shared" si="0"/>
        <v>0.34299999999999992</v>
      </c>
      <c r="G10" s="53">
        <f t="shared" si="1"/>
        <v>2.4371999999999998</v>
      </c>
      <c r="I10" s="24"/>
    </row>
    <row r="11" spans="1:9">
      <c r="A11" s="24">
        <v>0.8</v>
      </c>
      <c r="B11" s="24"/>
      <c r="C11" s="24"/>
      <c r="D11" s="24"/>
      <c r="E11" s="24"/>
      <c r="F11" s="24">
        <f t="shared" si="0"/>
        <v>0.51200000000000012</v>
      </c>
      <c r="G11" s="53">
        <f t="shared" si="1"/>
        <v>2.5047999999999999</v>
      </c>
      <c r="H11" s="24">
        <v>2.75</v>
      </c>
      <c r="I11" s="24"/>
    </row>
    <row r="12" spans="1:9">
      <c r="A12" s="24">
        <v>0.9</v>
      </c>
      <c r="B12" s="24"/>
      <c r="C12" s="24"/>
      <c r="D12" s="24"/>
      <c r="E12" s="24"/>
      <c r="F12" s="24">
        <f t="shared" si="0"/>
        <v>0.72900000000000009</v>
      </c>
      <c r="G12" s="53">
        <f t="shared" si="1"/>
        <v>2.5916000000000001</v>
      </c>
      <c r="I12" s="24"/>
    </row>
    <row r="13" spans="1:9">
      <c r="A13" s="24">
        <v>1</v>
      </c>
      <c r="B13" s="24"/>
      <c r="C13" s="24"/>
      <c r="D13" s="24"/>
      <c r="E13" s="24"/>
      <c r="F13" s="24">
        <f t="shared" si="0"/>
        <v>1</v>
      </c>
      <c r="G13" s="53">
        <f t="shared" si="1"/>
        <v>2.7</v>
      </c>
      <c r="H13" s="24">
        <v>3</v>
      </c>
      <c r="I13" s="24"/>
    </row>
    <row r="14" spans="1:9">
      <c r="A14" s="24"/>
      <c r="B14" s="24"/>
      <c r="C14" s="24"/>
      <c r="D14" s="24"/>
      <c r="E14" s="24"/>
      <c r="F14" s="24"/>
      <c r="G14" s="24"/>
    </row>
    <row r="15" spans="1:9">
      <c r="A15" s="24"/>
      <c r="B15" s="24"/>
      <c r="C15" s="24"/>
      <c r="D15" s="24"/>
      <c r="E15" s="24"/>
      <c r="F15" s="24"/>
      <c r="G15" s="24"/>
    </row>
    <row r="16" spans="1:9">
      <c r="A16" s="24"/>
      <c r="B16" s="24"/>
      <c r="C16" s="24"/>
      <c r="D16" s="24"/>
      <c r="E16" s="24"/>
      <c r="F16" s="24"/>
      <c r="G16" s="24"/>
    </row>
    <row r="17" spans="1:15">
      <c r="A17" s="24"/>
      <c r="B17" s="24"/>
      <c r="C17" s="24"/>
      <c r="D17" s="24"/>
      <c r="E17" s="24"/>
      <c r="F17" s="24"/>
      <c r="G17" s="24"/>
      <c r="I17" s="24"/>
    </row>
    <row r="18" spans="1:15">
      <c r="A18" s="24"/>
      <c r="B18" s="24"/>
      <c r="C18" s="24"/>
      <c r="D18" s="24"/>
      <c r="E18" s="24"/>
      <c r="F18" s="24"/>
      <c r="G18" s="24"/>
      <c r="I18" s="24"/>
      <c r="O18" s="24"/>
    </row>
    <row r="19" spans="1:15">
      <c r="A19" s="24"/>
      <c r="B19" s="24"/>
      <c r="C19" s="24"/>
      <c r="D19" s="24"/>
      <c r="E19" s="24"/>
      <c r="F19" s="24"/>
      <c r="G19" s="24"/>
      <c r="I19" s="24"/>
      <c r="O19" s="24"/>
    </row>
    <row r="20" spans="1:15">
      <c r="A20" s="24"/>
      <c r="B20" s="24"/>
      <c r="C20" s="24"/>
      <c r="D20" s="24"/>
      <c r="E20" s="24"/>
      <c r="F20" s="24"/>
      <c r="G20" s="24"/>
      <c r="I20" s="24"/>
      <c r="O20" s="24"/>
    </row>
    <row r="21" spans="1:15">
      <c r="A21" s="24"/>
      <c r="B21" s="24"/>
      <c r="C21" s="24"/>
      <c r="D21" s="24"/>
      <c r="E21" s="24"/>
      <c r="F21" s="24"/>
      <c r="G21" s="24"/>
      <c r="I21" s="24"/>
      <c r="O21" s="24"/>
    </row>
    <row r="22" spans="1:15">
      <c r="A22" s="24"/>
      <c r="B22" s="24"/>
      <c r="C22" s="24"/>
      <c r="D22" s="24"/>
      <c r="E22" s="24"/>
      <c r="F22" s="24"/>
      <c r="G22" s="24"/>
    </row>
    <row r="23" spans="1:15">
      <c r="A23" s="24"/>
      <c r="B23" s="24"/>
      <c r="C23" s="24"/>
      <c r="D23" s="24"/>
      <c r="E23" s="24"/>
      <c r="F23" s="24"/>
      <c r="G23" s="24"/>
    </row>
    <row r="24" spans="1:15">
      <c r="A24" s="24"/>
      <c r="B24" s="24"/>
      <c r="C24" s="24"/>
      <c r="D24" s="24"/>
      <c r="E24" s="24"/>
      <c r="F24" s="24"/>
      <c r="G24" s="24"/>
    </row>
    <row r="25" spans="1:15">
      <c r="A25" s="24"/>
      <c r="B25" s="24"/>
      <c r="C25" s="24"/>
      <c r="D25" s="24"/>
      <c r="E25" s="24"/>
      <c r="F25" s="24"/>
      <c r="G25" s="24"/>
    </row>
    <row r="26" spans="1:15">
      <c r="A26" s="24"/>
      <c r="B26" s="24"/>
      <c r="C26" s="24"/>
      <c r="D26" s="24"/>
      <c r="E26" s="24"/>
      <c r="F26" s="24"/>
      <c r="G26" s="24"/>
    </row>
    <row r="27" spans="1:15">
      <c r="A27" s="24"/>
      <c r="B27" s="24"/>
      <c r="C27" s="24"/>
      <c r="D27" s="24"/>
      <c r="E27" s="24"/>
      <c r="F27" s="24"/>
      <c r="G27" s="24"/>
    </row>
    <row r="28" spans="1:15">
      <c r="A28" s="24"/>
      <c r="B28" s="24"/>
      <c r="C28" s="24"/>
      <c r="D28" s="24"/>
      <c r="E28" s="24"/>
      <c r="F28" s="24"/>
      <c r="G28" s="24"/>
    </row>
    <row r="29" spans="1:15">
      <c r="A29" s="24"/>
      <c r="B29" s="24"/>
      <c r="C29" s="24"/>
      <c r="D29" s="24"/>
      <c r="E29" s="24"/>
      <c r="F29" s="24"/>
      <c r="G29" s="24"/>
    </row>
    <row r="30" spans="1:15">
      <c r="A30" s="24"/>
      <c r="B30" s="24"/>
      <c r="C30" s="24"/>
      <c r="D30" s="24"/>
      <c r="E30" s="24"/>
      <c r="F30" s="24"/>
      <c r="G30" s="24"/>
    </row>
    <row r="31" spans="1:15">
      <c r="A31" s="24"/>
      <c r="B31" s="24"/>
      <c r="C31" s="24"/>
      <c r="D31" s="24"/>
      <c r="E31" s="24"/>
      <c r="F31" s="24"/>
      <c r="G31" s="24"/>
    </row>
    <row r="32" spans="1:15">
      <c r="A32" s="24"/>
      <c r="B32" s="24"/>
      <c r="C32" s="24"/>
      <c r="D32" s="24"/>
      <c r="E32" s="24"/>
      <c r="F32" s="24"/>
      <c r="G32" s="24"/>
    </row>
    <row r="33" spans="1:7">
      <c r="A33" s="24"/>
      <c r="B33" s="24"/>
      <c r="C33" s="24"/>
      <c r="D33" s="24"/>
      <c r="E33" s="24"/>
      <c r="F33" s="24"/>
      <c r="G33" s="2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12"/>
  <sheetViews>
    <sheetView workbookViewId="0">
      <selection activeCell="G3" sqref="G3"/>
    </sheetView>
  </sheetViews>
  <sheetFormatPr defaultColWidth="9.109375" defaultRowHeight="14.4"/>
  <cols>
    <col min="1" max="1" width="9.109375" style="24"/>
    <col min="2" max="2" width="10.109375" style="24" customWidth="1"/>
    <col min="3" max="3" width="11.5546875" style="24" customWidth="1"/>
    <col min="4" max="4" width="10.44140625" style="24" customWidth="1"/>
    <col min="5" max="5" width="12.44140625" style="24" customWidth="1"/>
    <col min="6" max="6" width="9.88671875" style="24" customWidth="1"/>
    <col min="7" max="7" width="11.33203125" style="24" customWidth="1"/>
    <col min="8" max="8" width="7.88671875" style="24" customWidth="1"/>
    <col min="9" max="16384" width="9.109375" style="24"/>
  </cols>
  <sheetData>
    <row r="1" spans="1:9">
      <c r="A1" s="24" t="s">
        <v>189</v>
      </c>
      <c r="C1" s="28" t="s">
        <v>288</v>
      </c>
      <c r="D1" s="28" t="s">
        <v>201</v>
      </c>
      <c r="E1" s="28" t="s">
        <v>211</v>
      </c>
      <c r="F1" s="24" t="s">
        <v>200</v>
      </c>
      <c r="G1" s="54" t="s">
        <v>196</v>
      </c>
      <c r="H1" s="28" t="s">
        <v>202</v>
      </c>
      <c r="I1" s="24" t="s">
        <v>189</v>
      </c>
    </row>
    <row r="2" spans="1:9">
      <c r="A2" s="24">
        <v>0</v>
      </c>
      <c r="B2" s="24" t="s">
        <v>297</v>
      </c>
      <c r="C2" s="28">
        <v>7</v>
      </c>
      <c r="D2" s="28">
        <v>7.1999999999999995E-2</v>
      </c>
      <c r="E2" s="28">
        <v>0.08</v>
      </c>
      <c r="F2" s="24">
        <f>A2^$C$2</f>
        <v>0</v>
      </c>
      <c r="G2" s="54">
        <f>$D$2+(($E$2-$D$2)*F2)</f>
        <v>7.1999999999999995E-2</v>
      </c>
      <c r="H2" s="28">
        <v>7.1999999999999995E-2</v>
      </c>
      <c r="I2" s="24">
        <v>0</v>
      </c>
    </row>
    <row r="3" spans="1:9">
      <c r="A3" s="24">
        <v>0.1</v>
      </c>
      <c r="B3" s="24" t="s">
        <v>296</v>
      </c>
      <c r="C3" s="26">
        <v>0</v>
      </c>
      <c r="D3" s="26">
        <v>1</v>
      </c>
      <c r="E3" s="26">
        <v>1</v>
      </c>
      <c r="F3" s="24">
        <f>A3^$C$2</f>
        <v>1.0000000000000007E-7</v>
      </c>
      <c r="G3" s="54">
        <f t="shared" ref="G3:G12" si="0">$D$2+(($E$2-$D$2)*F3)</f>
        <v>7.2000000799999991E-2</v>
      </c>
      <c r="H3" s="28"/>
      <c r="I3" s="24">
        <v>0.1</v>
      </c>
    </row>
    <row r="4" spans="1:9">
      <c r="A4" s="24">
        <v>0.2</v>
      </c>
      <c r="F4" s="24">
        <f>A4^$C$2</f>
        <v>1.280000000000001E-5</v>
      </c>
      <c r="G4" s="54">
        <f t="shared" si="0"/>
        <v>7.2000102399999988E-2</v>
      </c>
      <c r="H4" s="28"/>
      <c r="I4" s="24">
        <v>0.2</v>
      </c>
    </row>
    <row r="5" spans="1:9">
      <c r="A5" s="24">
        <v>0.3</v>
      </c>
      <c r="C5" s="26" t="s">
        <v>86</v>
      </c>
      <c r="D5" s="26"/>
      <c r="E5" s="26"/>
      <c r="F5" s="24">
        <f t="shared" ref="F5:F12" si="1">A5^$C$2</f>
        <v>2.1869999999999998E-4</v>
      </c>
      <c r="G5" s="54">
        <f t="shared" si="0"/>
        <v>7.2001749599999998E-2</v>
      </c>
      <c r="H5" s="28"/>
      <c r="I5" s="24">
        <v>0.3</v>
      </c>
    </row>
    <row r="6" spans="1:9">
      <c r="A6" s="24">
        <v>0.4</v>
      </c>
      <c r="C6" s="28" t="s">
        <v>298</v>
      </c>
      <c r="D6" s="28"/>
      <c r="E6" s="28"/>
      <c r="F6" s="24">
        <f t="shared" si="1"/>
        <v>1.6384000000000012E-3</v>
      </c>
      <c r="G6" s="54">
        <f t="shared" si="0"/>
        <v>7.2013107199999996E-2</v>
      </c>
      <c r="H6" s="28"/>
      <c r="I6" s="24">
        <v>0.4</v>
      </c>
    </row>
    <row r="7" spans="1:9">
      <c r="A7" s="24">
        <v>0.5</v>
      </c>
      <c r="F7" s="24">
        <f t="shared" si="1"/>
        <v>7.8125E-3</v>
      </c>
      <c r="G7" s="54">
        <f t="shared" si="0"/>
        <v>7.2062500000000002E-2</v>
      </c>
      <c r="H7" s="28"/>
      <c r="I7" s="24">
        <v>0.5</v>
      </c>
    </row>
    <row r="8" spans="1:9">
      <c r="A8" s="24">
        <v>0.6</v>
      </c>
      <c r="F8" s="24">
        <f t="shared" si="1"/>
        <v>2.7993599999999997E-2</v>
      </c>
      <c r="G8" s="54">
        <f t="shared" si="0"/>
        <v>7.2223948799999993E-2</v>
      </c>
      <c r="H8" s="28">
        <v>7.2499999999999995E-2</v>
      </c>
      <c r="I8" s="24">
        <v>0.6</v>
      </c>
    </row>
    <row r="9" spans="1:9">
      <c r="A9" s="24">
        <v>0.7</v>
      </c>
      <c r="F9" s="24">
        <f t="shared" si="1"/>
        <v>8.235429999999995E-2</v>
      </c>
      <c r="G9" s="54">
        <f t="shared" si="0"/>
        <v>7.2658834399999997E-2</v>
      </c>
      <c r="H9" s="28"/>
      <c r="I9" s="24">
        <v>0.7</v>
      </c>
    </row>
    <row r="10" spans="1:9">
      <c r="A10" s="24">
        <v>0.8</v>
      </c>
      <c r="F10" s="24">
        <f t="shared" si="1"/>
        <v>0.20971520000000016</v>
      </c>
      <c r="G10" s="54">
        <f t="shared" si="0"/>
        <v>7.3677721599999996E-2</v>
      </c>
      <c r="H10" s="28">
        <v>7.2999999999999995E-2</v>
      </c>
      <c r="I10" s="24">
        <v>0.8</v>
      </c>
    </row>
    <row r="11" spans="1:9">
      <c r="A11" s="24">
        <v>0.9</v>
      </c>
      <c r="F11" s="24">
        <f t="shared" si="1"/>
        <v>0.47829690000000014</v>
      </c>
      <c r="G11" s="54">
        <f t="shared" si="0"/>
        <v>7.5826375200000004E-2</v>
      </c>
      <c r="H11" s="28"/>
      <c r="I11" s="24">
        <v>0.9</v>
      </c>
    </row>
    <row r="12" spans="1:9">
      <c r="A12" s="24">
        <v>1</v>
      </c>
      <c r="F12" s="24">
        <f t="shared" si="1"/>
        <v>1</v>
      </c>
      <c r="G12" s="54">
        <f t="shared" si="0"/>
        <v>0.08</v>
      </c>
      <c r="H12" s="28"/>
      <c r="I12" s="24">
        <v>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P22"/>
  <sheetViews>
    <sheetView workbookViewId="0">
      <selection activeCell="I5" sqref="I5:K6"/>
    </sheetView>
  </sheetViews>
  <sheetFormatPr defaultColWidth="9.109375" defaultRowHeight="14.4"/>
  <cols>
    <col min="1" max="1" width="13" style="24" customWidth="1"/>
    <col min="2" max="2" width="7" style="24" customWidth="1"/>
    <col min="3" max="16384" width="9.109375" style="24"/>
  </cols>
  <sheetData>
    <row r="1" spans="1:16">
      <c r="B1" s="24" t="s">
        <v>213</v>
      </c>
      <c r="C1" s="24" t="s">
        <v>184</v>
      </c>
      <c r="D1" s="24" t="s">
        <v>185</v>
      </c>
      <c r="E1" s="24" t="s">
        <v>204</v>
      </c>
      <c r="F1" s="24" t="s">
        <v>205</v>
      </c>
      <c r="G1" s="24" t="s">
        <v>206</v>
      </c>
    </row>
    <row r="2" spans="1:16">
      <c r="A2" s="24" t="s">
        <v>253</v>
      </c>
      <c r="C2" s="24">
        <v>302</v>
      </c>
      <c r="D2" s="24">
        <v>252</v>
      </c>
      <c r="E2" s="24">
        <v>201</v>
      </c>
      <c r="F2" s="24">
        <v>151</v>
      </c>
      <c r="G2" s="24">
        <v>101.4</v>
      </c>
      <c r="H2" s="2" t="s">
        <v>294</v>
      </c>
      <c r="I2" s="2"/>
      <c r="J2" s="2"/>
      <c r="K2" s="2"/>
      <c r="L2" s="2"/>
      <c r="M2" s="2"/>
      <c r="N2" s="2"/>
      <c r="O2" s="2"/>
      <c r="P2" s="2"/>
    </row>
    <row r="3" spans="1:16">
      <c r="A3" s="24" t="s">
        <v>187</v>
      </c>
      <c r="C3" s="28">
        <v>-0.05</v>
      </c>
      <c r="D3" s="28">
        <v>-0.04</v>
      </c>
      <c r="E3" s="28">
        <v>-0.03</v>
      </c>
      <c r="F3" s="28">
        <v>-0.02</v>
      </c>
      <c r="G3" s="28">
        <v>-0.01</v>
      </c>
      <c r="H3" s="2" t="s">
        <v>283</v>
      </c>
      <c r="I3" s="2"/>
      <c r="J3" s="2"/>
      <c r="K3" s="2"/>
      <c r="L3" s="2"/>
      <c r="M3" s="2"/>
      <c r="N3" s="28" t="s">
        <v>258</v>
      </c>
      <c r="O3" s="28"/>
      <c r="P3" s="28"/>
    </row>
    <row r="4" spans="1:16">
      <c r="A4" s="24" t="s">
        <v>203</v>
      </c>
      <c r="B4" s="26">
        <f>L4</f>
        <v>385</v>
      </c>
      <c r="C4" s="26">
        <f>C$3*$L$4 + (C$2 - (350*C$3))</f>
        <v>300.25</v>
      </c>
      <c r="D4" s="26">
        <f>D$3*$L$4 + (D$2 - (350*D$3))</f>
        <v>250.6</v>
      </c>
      <c r="E4" s="26">
        <f>E$3*$L$4 + (E$2 - (350*E$3))</f>
        <v>199.95</v>
      </c>
      <c r="F4" s="26">
        <f>F$3*$L$4 + (F$2 - (350*F$3))</f>
        <v>150.30000000000001</v>
      </c>
      <c r="G4" s="26">
        <f>G$3*$L$4 + (G$2 - (350*G$3))</f>
        <v>101.05000000000001</v>
      </c>
      <c r="H4" s="24" t="s">
        <v>212</v>
      </c>
      <c r="L4" s="28">
        <v>385</v>
      </c>
      <c r="M4" s="2" t="s">
        <v>282</v>
      </c>
      <c r="N4" s="2"/>
      <c r="O4" s="2"/>
      <c r="P4" s="2"/>
    </row>
    <row r="5" spans="1:16">
      <c r="C5" s="24" t="s">
        <v>207</v>
      </c>
      <c r="E5" s="24" t="s">
        <v>209</v>
      </c>
      <c r="G5" s="24" t="s">
        <v>208</v>
      </c>
      <c r="I5" s="26" t="s">
        <v>86</v>
      </c>
      <c r="J5" s="26"/>
      <c r="K5" s="26"/>
    </row>
    <row r="6" spans="1:16">
      <c r="A6" s="24" t="s">
        <v>195</v>
      </c>
      <c r="C6" s="24" t="s">
        <v>188</v>
      </c>
      <c r="D6" s="24" t="s">
        <v>188</v>
      </c>
      <c r="E6" s="24" t="s">
        <v>188</v>
      </c>
      <c r="F6" s="24" t="s">
        <v>188</v>
      </c>
      <c r="G6" s="24" t="s">
        <v>188</v>
      </c>
      <c r="I6" s="28" t="s">
        <v>298</v>
      </c>
      <c r="J6" s="28"/>
      <c r="K6" s="28"/>
    </row>
    <row r="7" spans="1:16">
      <c r="A7" s="24">
        <v>300</v>
      </c>
      <c r="C7" s="24">
        <f>C$3*A7 + (C$2 - (350*C$3))</f>
        <v>304.5</v>
      </c>
      <c r="D7" s="24">
        <f>D$3*$A7 + (D$2 - (350*D$3))</f>
        <v>254</v>
      </c>
      <c r="E7" s="24">
        <f>E$3*$A7 + (E$2 - (350*E$3))</f>
        <v>202.5</v>
      </c>
      <c r="F7" s="24">
        <f>F$3*$A7 + (F$2 - (350*F$3))</f>
        <v>152</v>
      </c>
      <c r="G7" s="24">
        <f>G$3*$A7 + (G$2 - (350*G$3))</f>
        <v>101.9</v>
      </c>
    </row>
    <row r="8" spans="1:16">
      <c r="A8" s="24">
        <v>350</v>
      </c>
      <c r="C8" s="24">
        <f t="shared" ref="C8:C21" si="0">C$3*A8 + (C$2 - (350*C$3))</f>
        <v>302</v>
      </c>
      <c r="D8" s="24">
        <f t="shared" ref="D8:G21" si="1">D$3*$A8 + (D$2 - (350*D$3))</f>
        <v>252</v>
      </c>
      <c r="E8" s="24">
        <f t="shared" si="1"/>
        <v>201</v>
      </c>
      <c r="F8" s="24">
        <f t="shared" si="1"/>
        <v>151</v>
      </c>
      <c r="G8" s="24">
        <f t="shared" si="1"/>
        <v>101.4</v>
      </c>
      <c r="H8" s="2" t="s">
        <v>295</v>
      </c>
      <c r="I8" s="2"/>
      <c r="J8" s="2"/>
      <c r="K8" s="2"/>
      <c r="L8" s="2"/>
      <c r="M8" s="2"/>
      <c r="N8" s="2"/>
    </row>
    <row r="9" spans="1:16">
      <c r="A9" s="24">
        <v>400</v>
      </c>
      <c r="C9" s="24">
        <f t="shared" si="0"/>
        <v>299.5</v>
      </c>
      <c r="D9" s="24">
        <f t="shared" si="1"/>
        <v>250</v>
      </c>
      <c r="E9" s="24">
        <f t="shared" si="1"/>
        <v>199.5</v>
      </c>
      <c r="F9" s="24">
        <f t="shared" si="1"/>
        <v>150</v>
      </c>
      <c r="G9" s="24">
        <f t="shared" si="1"/>
        <v>100.9</v>
      </c>
    </row>
    <row r="10" spans="1:16">
      <c r="A10" s="24">
        <v>450</v>
      </c>
      <c r="C10" s="24">
        <f t="shared" si="0"/>
        <v>297</v>
      </c>
      <c r="D10" s="24">
        <f t="shared" si="1"/>
        <v>248</v>
      </c>
      <c r="E10" s="24">
        <f t="shared" si="1"/>
        <v>198</v>
      </c>
      <c r="F10" s="24">
        <f t="shared" si="1"/>
        <v>149</v>
      </c>
      <c r="G10" s="24">
        <f t="shared" si="1"/>
        <v>100.4</v>
      </c>
    </row>
    <row r="11" spans="1:16">
      <c r="A11" s="24">
        <v>500</v>
      </c>
      <c r="C11" s="24">
        <f t="shared" si="0"/>
        <v>294.5</v>
      </c>
      <c r="D11" s="24">
        <f t="shared" si="1"/>
        <v>246</v>
      </c>
      <c r="E11" s="24">
        <f t="shared" si="1"/>
        <v>196.5</v>
      </c>
      <c r="F11" s="24">
        <f t="shared" si="1"/>
        <v>148</v>
      </c>
      <c r="G11" s="24">
        <f t="shared" si="1"/>
        <v>99.9</v>
      </c>
    </row>
    <row r="12" spans="1:16">
      <c r="A12" s="24">
        <v>550</v>
      </c>
      <c r="C12" s="24">
        <f t="shared" si="0"/>
        <v>292</v>
      </c>
      <c r="D12" s="24">
        <f t="shared" si="1"/>
        <v>244</v>
      </c>
      <c r="E12" s="24">
        <f t="shared" si="1"/>
        <v>195</v>
      </c>
      <c r="F12" s="24">
        <f t="shared" si="1"/>
        <v>147</v>
      </c>
      <c r="G12" s="24">
        <f t="shared" si="1"/>
        <v>99.4</v>
      </c>
    </row>
    <row r="13" spans="1:16">
      <c r="A13" s="24">
        <v>600</v>
      </c>
      <c r="C13" s="24">
        <f t="shared" si="0"/>
        <v>289.5</v>
      </c>
      <c r="D13" s="24">
        <f t="shared" si="1"/>
        <v>242</v>
      </c>
      <c r="E13" s="24">
        <f t="shared" si="1"/>
        <v>193.5</v>
      </c>
      <c r="F13" s="24">
        <f t="shared" si="1"/>
        <v>146</v>
      </c>
      <c r="G13" s="24">
        <f t="shared" si="1"/>
        <v>98.9</v>
      </c>
    </row>
    <row r="14" spans="1:16">
      <c r="A14" s="24">
        <v>650</v>
      </c>
      <c r="C14" s="24">
        <f t="shared" si="0"/>
        <v>287</v>
      </c>
      <c r="D14" s="24">
        <f t="shared" si="1"/>
        <v>240</v>
      </c>
      <c r="E14" s="24">
        <f t="shared" si="1"/>
        <v>192</v>
      </c>
      <c r="F14" s="24">
        <f t="shared" si="1"/>
        <v>145</v>
      </c>
      <c r="G14" s="24">
        <f t="shared" si="1"/>
        <v>98.4</v>
      </c>
    </row>
    <row r="15" spans="1:16">
      <c r="A15" s="24">
        <v>700</v>
      </c>
      <c r="C15" s="24">
        <f t="shared" si="0"/>
        <v>284.5</v>
      </c>
      <c r="D15" s="24">
        <f t="shared" si="1"/>
        <v>238</v>
      </c>
      <c r="E15" s="24">
        <f t="shared" si="1"/>
        <v>190.5</v>
      </c>
      <c r="F15" s="24">
        <f t="shared" si="1"/>
        <v>144</v>
      </c>
      <c r="G15" s="24">
        <f t="shared" si="1"/>
        <v>97.9</v>
      </c>
    </row>
    <row r="16" spans="1:16">
      <c r="A16" s="24">
        <v>750</v>
      </c>
      <c r="C16" s="24">
        <f t="shared" si="0"/>
        <v>282</v>
      </c>
      <c r="D16" s="24">
        <f t="shared" si="1"/>
        <v>236</v>
      </c>
      <c r="E16" s="24">
        <f t="shared" si="1"/>
        <v>189</v>
      </c>
      <c r="F16" s="24">
        <f t="shared" si="1"/>
        <v>143</v>
      </c>
      <c r="G16" s="24">
        <f t="shared" si="1"/>
        <v>97.4</v>
      </c>
    </row>
    <row r="17" spans="1:7">
      <c r="A17" s="24">
        <v>800</v>
      </c>
      <c r="C17" s="24">
        <f t="shared" si="0"/>
        <v>279.5</v>
      </c>
      <c r="D17" s="24">
        <f t="shared" si="1"/>
        <v>234</v>
      </c>
      <c r="E17" s="24">
        <f t="shared" si="1"/>
        <v>187.5</v>
      </c>
      <c r="F17" s="24">
        <f t="shared" si="1"/>
        <v>142</v>
      </c>
      <c r="G17" s="24">
        <f t="shared" si="1"/>
        <v>96.9</v>
      </c>
    </row>
    <row r="18" spans="1:7">
      <c r="A18" s="24">
        <v>850</v>
      </c>
      <c r="C18" s="24">
        <f t="shared" si="0"/>
        <v>277</v>
      </c>
      <c r="D18" s="24">
        <f t="shared" si="1"/>
        <v>232</v>
      </c>
      <c r="E18" s="24">
        <f t="shared" si="1"/>
        <v>186</v>
      </c>
      <c r="F18" s="24">
        <f t="shared" si="1"/>
        <v>141</v>
      </c>
      <c r="G18" s="24">
        <f t="shared" si="1"/>
        <v>96.4</v>
      </c>
    </row>
    <row r="19" spans="1:7">
      <c r="A19" s="24">
        <v>900</v>
      </c>
      <c r="C19" s="24">
        <f t="shared" si="0"/>
        <v>274.5</v>
      </c>
      <c r="D19" s="24">
        <f t="shared" si="1"/>
        <v>230</v>
      </c>
      <c r="E19" s="24">
        <f t="shared" si="1"/>
        <v>184.5</v>
      </c>
      <c r="F19" s="24">
        <f t="shared" si="1"/>
        <v>140</v>
      </c>
      <c r="G19" s="24">
        <f t="shared" si="1"/>
        <v>95.9</v>
      </c>
    </row>
    <row r="20" spans="1:7">
      <c r="A20" s="24">
        <v>950</v>
      </c>
      <c r="C20" s="24">
        <f t="shared" si="0"/>
        <v>272</v>
      </c>
      <c r="D20" s="24">
        <f t="shared" si="1"/>
        <v>228</v>
      </c>
      <c r="E20" s="24">
        <f t="shared" si="1"/>
        <v>183</v>
      </c>
      <c r="F20" s="24">
        <f t="shared" si="1"/>
        <v>139</v>
      </c>
      <c r="G20" s="24">
        <f t="shared" si="1"/>
        <v>95.4</v>
      </c>
    </row>
    <row r="21" spans="1:7">
      <c r="A21" s="24">
        <v>1000</v>
      </c>
      <c r="C21" s="24">
        <f t="shared" si="0"/>
        <v>269.5</v>
      </c>
      <c r="D21" s="24">
        <f t="shared" si="1"/>
        <v>226</v>
      </c>
      <c r="E21" s="24">
        <f t="shared" si="1"/>
        <v>181.5</v>
      </c>
      <c r="F21" s="24">
        <f t="shared" si="1"/>
        <v>138</v>
      </c>
      <c r="G21" s="24">
        <f t="shared" si="1"/>
        <v>94.9</v>
      </c>
    </row>
    <row r="22" spans="1:7">
      <c r="C22" s="24">
        <f>C10/C8</f>
        <v>0.98344370860927155</v>
      </c>
      <c r="D22" s="24">
        <f>D10/D8</f>
        <v>0.98412698412698407</v>
      </c>
      <c r="E22" s="24">
        <f>E10/E8</f>
        <v>0.9850746268656716</v>
      </c>
      <c r="F22" s="24">
        <f>F10/F8</f>
        <v>0.98675496688741726</v>
      </c>
      <c r="G22" s="24">
        <f>G10/G8</f>
        <v>0.99013806706114393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DB00-0EE1-4308-8BD7-3B8D7B766590}">
  <dimension ref="A1:BM74"/>
  <sheetViews>
    <sheetView tabSelected="1" topLeftCell="I1" zoomScale="70" zoomScaleNormal="70" workbookViewId="0">
      <pane ySplit="3" topLeftCell="A4" activePane="bottomLeft" state="frozen"/>
      <selection pane="bottomLeft" activeCell="Z5" sqref="Z5"/>
    </sheetView>
  </sheetViews>
  <sheetFormatPr defaultRowHeight="14.4"/>
  <cols>
    <col min="1" max="1" width="9.109375" style="24"/>
    <col min="3" max="3" width="9.109375" style="24"/>
    <col min="6" max="14" width="9.109375" style="24"/>
    <col min="15" max="17" width="8.88671875" style="24"/>
    <col min="18" max="18" width="10.33203125" style="24" bestFit="1" customWidth="1"/>
    <col min="19" max="19" width="10.33203125" style="24" customWidth="1"/>
    <col min="20" max="20" width="9.109375" style="24"/>
    <col min="24" max="33" width="9.109375" style="24"/>
    <col min="34" max="38" width="9.6640625" style="24" customWidth="1"/>
    <col min="39" max="51" width="8.88671875" style="24"/>
    <col min="52" max="52" width="9.109375" style="3"/>
    <col min="53" max="53" width="12.21875" style="3" bestFit="1" customWidth="1"/>
    <col min="54" max="54" width="12" style="3" bestFit="1" customWidth="1"/>
    <col min="55" max="56" width="12" style="68" customWidth="1"/>
    <col min="59" max="59" width="12" customWidth="1"/>
    <col min="60" max="60" width="19.44140625" bestFit="1" customWidth="1"/>
    <col min="61" max="61" width="11" bestFit="1" customWidth="1"/>
    <col min="62" max="63" width="10.6640625" customWidth="1"/>
    <col min="64" max="64" width="12" bestFit="1" customWidth="1"/>
  </cols>
  <sheetData>
    <row r="1" spans="1:65" s="24" customFormat="1">
      <c r="A1" s="48" t="s">
        <v>373</v>
      </c>
      <c r="AZ1" s="3"/>
      <c r="BA1" s="3"/>
      <c r="BB1" s="3"/>
      <c r="BC1" s="68"/>
      <c r="BD1" s="68"/>
    </row>
    <row r="2" spans="1:65">
      <c r="A2" s="62" t="s">
        <v>309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7"/>
      <c r="T2" s="63" t="s">
        <v>319</v>
      </c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46" t="s">
        <v>320</v>
      </c>
      <c r="AN2" s="46"/>
      <c r="AO2" s="46"/>
      <c r="AP2" s="46"/>
      <c r="AQ2" s="46"/>
      <c r="AR2" s="46"/>
      <c r="AS2" s="46"/>
      <c r="AT2" s="64" t="s">
        <v>338</v>
      </c>
      <c r="AU2" s="64"/>
      <c r="AV2" s="64"/>
      <c r="AW2" s="64"/>
      <c r="AX2" s="64"/>
      <c r="AY2" s="64"/>
      <c r="BE2" s="28" t="s">
        <v>323</v>
      </c>
      <c r="BF2" s="28"/>
      <c r="BI2" s="62" t="s">
        <v>311</v>
      </c>
      <c r="BJ2" s="63" t="s">
        <v>312</v>
      </c>
      <c r="BK2" s="46" t="s">
        <v>313</v>
      </c>
      <c r="BL2" s="64" t="s">
        <v>314</v>
      </c>
    </row>
    <row r="3" spans="1:65">
      <c r="A3" s="62" t="s">
        <v>363</v>
      </c>
      <c r="B3" s="62" t="s">
        <v>310</v>
      </c>
      <c r="C3" s="62" t="s">
        <v>364</v>
      </c>
      <c r="D3" s="62" t="s">
        <v>317</v>
      </c>
      <c r="E3" s="62" t="s">
        <v>376</v>
      </c>
      <c r="F3" s="62" t="s">
        <v>366</v>
      </c>
      <c r="G3" s="62" t="s">
        <v>361</v>
      </c>
      <c r="H3" s="62" t="s">
        <v>354</v>
      </c>
      <c r="I3" s="62" t="s">
        <v>22</v>
      </c>
      <c r="J3" s="62" t="s">
        <v>355</v>
      </c>
      <c r="K3" s="62" t="s">
        <v>361</v>
      </c>
      <c r="L3" s="62" t="s">
        <v>362</v>
      </c>
      <c r="M3" s="62" t="s">
        <v>363</v>
      </c>
      <c r="N3" s="62" t="s">
        <v>361</v>
      </c>
      <c r="O3" s="2" t="s">
        <v>324</v>
      </c>
      <c r="P3" s="2" t="s">
        <v>325</v>
      </c>
      <c r="Q3" s="2" t="s">
        <v>377</v>
      </c>
      <c r="R3" s="2" t="s">
        <v>378</v>
      </c>
      <c r="S3" s="67" t="s">
        <v>380</v>
      </c>
      <c r="T3" s="63" t="s">
        <v>363</v>
      </c>
      <c r="U3" s="63" t="s">
        <v>310</v>
      </c>
      <c r="V3" s="63" t="s">
        <v>364</v>
      </c>
      <c r="W3" s="63" t="s">
        <v>317</v>
      </c>
      <c r="X3" s="63" t="s">
        <v>379</v>
      </c>
      <c r="Y3" s="63" t="s">
        <v>366</v>
      </c>
      <c r="Z3" s="63" t="s">
        <v>361</v>
      </c>
      <c r="AA3" s="63" t="s">
        <v>354</v>
      </c>
      <c r="AB3" s="63" t="s">
        <v>22</v>
      </c>
      <c r="AC3" s="63" t="s">
        <v>355</v>
      </c>
      <c r="AD3" s="63" t="s">
        <v>361</v>
      </c>
      <c r="AE3" s="63" t="s">
        <v>362</v>
      </c>
      <c r="AF3" s="63" t="s">
        <v>363</v>
      </c>
      <c r="AG3" s="63" t="s">
        <v>361</v>
      </c>
      <c r="AH3" s="2" t="s">
        <v>324</v>
      </c>
      <c r="AI3" s="2" t="s">
        <v>325</v>
      </c>
      <c r="AJ3" s="2" t="s">
        <v>377</v>
      </c>
      <c r="AK3" s="2" t="s">
        <v>378</v>
      </c>
      <c r="AL3" s="67" t="s">
        <v>380</v>
      </c>
      <c r="AM3" s="46" t="s">
        <v>310</v>
      </c>
      <c r="AN3" s="46" t="s">
        <v>317</v>
      </c>
      <c r="AO3" s="62" t="s">
        <v>376</v>
      </c>
      <c r="AP3" s="2" t="s">
        <v>324</v>
      </c>
      <c r="AQ3" s="2" t="s">
        <v>325</v>
      </c>
      <c r="AR3" s="2" t="s">
        <v>377</v>
      </c>
      <c r="AS3" s="2" t="s">
        <v>378</v>
      </c>
      <c r="AT3" s="64" t="s">
        <v>384</v>
      </c>
      <c r="AU3" s="64" t="s">
        <v>317</v>
      </c>
      <c r="AV3" s="64" t="s">
        <v>383</v>
      </c>
      <c r="AW3" s="64"/>
      <c r="AX3" s="2" t="s">
        <v>324</v>
      </c>
      <c r="AY3" s="2" t="s">
        <v>325</v>
      </c>
      <c r="AZ3" s="64" t="s">
        <v>308</v>
      </c>
      <c r="BA3" s="64" t="s">
        <v>374</v>
      </c>
      <c r="BB3" s="64" t="s">
        <v>375</v>
      </c>
      <c r="BC3" s="68" t="s">
        <v>381</v>
      </c>
      <c r="BD3" s="68" t="s">
        <v>382</v>
      </c>
      <c r="BE3" s="28" t="s">
        <v>308</v>
      </c>
      <c r="BF3" s="28">
        <f>BL56</f>
        <v>3.5203774274779174</v>
      </c>
      <c r="BG3" t="s">
        <v>341</v>
      </c>
      <c r="BH3" t="s">
        <v>201</v>
      </c>
      <c r="BI3" s="28">
        <v>2.4E-2</v>
      </c>
      <c r="BJ3" s="28">
        <v>0.03</v>
      </c>
      <c r="BK3" s="28">
        <v>0.08</v>
      </c>
    </row>
    <row r="4" spans="1:65">
      <c r="A4" s="62">
        <f>ROUNDDOWN(B4/(1-$BI$16),0)</f>
        <v>6349</v>
      </c>
      <c r="B4" s="62">
        <v>4000</v>
      </c>
      <c r="C4" s="62">
        <f>EXP(-$BI$4*A4)</f>
        <v>0.7757228303391196</v>
      </c>
      <c r="D4" s="65">
        <f>A4*$BI$3*C4</f>
        <v>118.20154199575369</v>
      </c>
      <c r="E4" s="62">
        <f t="shared" ref="E4:E54" si="0">D4/$BI$6</f>
        <v>1.7382579705257895</v>
      </c>
      <c r="F4" s="62">
        <f>$BI$30*A4*$BI$7</f>
        <v>3.2456524235681536</v>
      </c>
      <c r="G4" s="62">
        <f>$BI$9 - (F4*12) - (D4*$BI$7)</f>
        <v>-85.138522980906998</v>
      </c>
      <c r="H4" s="62">
        <f>$BF$6*$BF$7*$BF$8*$BF$9*$BI$26*D4</f>
        <v>124.52116513287422</v>
      </c>
      <c r="I4" s="62">
        <f>$BF$7*$BI$29*D4</f>
        <v>13.697527239617918</v>
      </c>
      <c r="J4" s="62">
        <f>H4-I4</f>
        <v>110.8236378932563</v>
      </c>
      <c r="K4" s="62">
        <f>G4+(J4*$BF$20)</f>
        <v>468.97966648537448</v>
      </c>
      <c r="L4" s="62">
        <f>(K4-($BI$8*C4*A4*$BI$7))</f>
        <v>358.16572086435542</v>
      </c>
      <c r="M4" s="62">
        <f>A4+(L4/$BI$7)</f>
        <v>7144.9238241430121</v>
      </c>
      <c r="N4" s="62">
        <f>K4 -L4</f>
        <v>110.81394562101906</v>
      </c>
      <c r="O4" s="2">
        <f>P4*$BI$6</f>
        <v>97.527221642021004</v>
      </c>
      <c r="P4" s="2">
        <f t="shared" ref="P4:P33" si="1">R4*$BI$56</f>
        <v>1.4342238476767795</v>
      </c>
      <c r="Q4" s="2">
        <f t="shared" ref="Q4:Q33" si="2">E4*(1/$BI$56)</f>
        <v>0.53550850617149326</v>
      </c>
      <c r="R4" s="2">
        <f t="shared" ref="R4:R54" si="3">IF($BA4&gt;1, Q4/$BA4, Q4)</f>
        <v>0.44184412394933903</v>
      </c>
      <c r="S4" s="67">
        <f>B4*R4</f>
        <v>1767.376495797356</v>
      </c>
      <c r="T4" s="63">
        <f>ROUNDDOWN(U4/(1-$BJ$16),0)</f>
        <v>5633</v>
      </c>
      <c r="U4" s="63">
        <v>4000</v>
      </c>
      <c r="V4" s="63">
        <f>EXP(-$BJ$4*T4)</f>
        <v>0.70125829032834786</v>
      </c>
      <c r="W4" s="63">
        <f>T4*$BJ$3*V4</f>
        <v>118.50563848258749</v>
      </c>
      <c r="X4" s="63">
        <f>W4/$BJ$6</f>
        <v>1.2742541772321234</v>
      </c>
      <c r="Y4" s="63">
        <f>$BJ$30*T4*$BJ$7</f>
        <v>2.8796283039784867</v>
      </c>
      <c r="Z4" s="63">
        <f>$BJ$9 - (Y4*12) - (AH4*$BJ$7)</f>
        <v>-80.883076964906209</v>
      </c>
      <c r="AA4" s="63">
        <f>$BF$6*$BF$7*$BF$8*$BF$9*$BJ$26*AH4</f>
        <v>180.1163555159126</v>
      </c>
      <c r="AB4" s="63">
        <f>$BF$7*$BJ$29*AH4</f>
        <v>19.813087063129132</v>
      </c>
      <c r="AC4" s="63">
        <f>AA4-AB4</f>
        <v>160.30326845278347</v>
      </c>
      <c r="AD4" s="63">
        <f>Z4+(AC4*$BF$20)</f>
        <v>720.6332652990111</v>
      </c>
      <c r="AE4" s="63">
        <f>(AD4-($BJ$8*V4*T4*$BJ$7))</f>
        <v>631.75403643707045</v>
      </c>
      <c r="AF4" s="63">
        <f>T4+(AE4/$BJ$7)</f>
        <v>7036.8978587490456</v>
      </c>
      <c r="AG4" s="63">
        <f>AD4 -AE4</f>
        <v>88.879228861940646</v>
      </c>
      <c r="AH4" s="2">
        <f>W4</f>
        <v>118.50563848258749</v>
      </c>
      <c r="AI4" s="2">
        <f>AH4/$BJ$6</f>
        <v>1.2742541772321234</v>
      </c>
      <c r="AJ4" s="2">
        <f t="shared" ref="AJ4:AJ25" si="4">X4*(1/$BJ$56)</f>
        <v>0.67647661968002448</v>
      </c>
      <c r="AK4" s="2">
        <f t="shared" ref="AK4:AK23" si="5">IF($BA4&gt;1, AJ4/$BA4, AJ4)</f>
        <v>0.55815587605066097</v>
      </c>
      <c r="AL4" s="67">
        <f>U4*AK4</f>
        <v>2232.6235042026437</v>
      </c>
      <c r="AM4" s="46">
        <v>0</v>
      </c>
      <c r="AN4" s="46">
        <f t="shared" ref="AN4:AN33" si="6">AM4*$BK$3*EXP(-$BK$4*AM4)</f>
        <v>0</v>
      </c>
      <c r="AO4" s="46">
        <f t="shared" ref="AO4:AO33" si="7">AN4/$BK$6</f>
        <v>0</v>
      </c>
      <c r="AP4" s="2">
        <f>AN4</f>
        <v>0</v>
      </c>
      <c r="AQ4" s="2">
        <f>AP4/$BK$6</f>
        <v>0</v>
      </c>
      <c r="AR4" s="2">
        <f t="shared" ref="AR4:AR33" si="8">AQ4*(1/$BK$56)</f>
        <v>0</v>
      </c>
      <c r="AS4" s="2">
        <f>IF($BA4&gt;1, AR4/$BA4, AR4)</f>
        <v>0</v>
      </c>
      <c r="AT4" s="64">
        <f t="shared" ref="AT4:AT33" si="9">B4+U4+AM4</f>
        <v>8000</v>
      </c>
      <c r="AU4" s="64">
        <f t="shared" ref="AU4:AU33" si="10">SUM(AP4,AH4,O4)</f>
        <v>216.03286012460848</v>
      </c>
      <c r="AV4" s="64">
        <f>SUM(AO4,X4,E4)</f>
        <v>3.0125121477579127</v>
      </c>
      <c r="AW4" s="64">
        <f>IF($AY4&lt;($AZ4/2),1,1-((($AY4-($AZ4/2))/($AZ4/2))^$BF$4))</f>
        <v>0.33118783781148309</v>
      </c>
      <c r="AX4" s="2">
        <f t="shared" ref="AX4:AX33" si="11">O4+AH4+AP4</f>
        <v>216.03286012460848</v>
      </c>
      <c r="AY4" s="2">
        <f t="shared" ref="AY4:AY33" si="12">P4+AI4+AQ4</f>
        <v>2.7084780249089029</v>
      </c>
      <c r="AZ4" s="3">
        <f t="shared" ref="AZ4:AZ33" si="13">MAX(IF(B4&gt;0,$BI$56,0),IF(U4&gt;0,$BJ$56,0),IF(AM4&gt;0,$BK$56,0))</f>
        <v>3.2459950691597852</v>
      </c>
      <c r="BA4" s="3">
        <f t="shared" ref="BA4:BA33" si="14">Q4+AJ4+AR4</f>
        <v>1.2119851258515177</v>
      </c>
      <c r="BB4" s="3">
        <f t="shared" ref="BB4:BB33" si="15">SUM(AS4,AK4,R4)</f>
        <v>1</v>
      </c>
      <c r="BC4" s="68">
        <f>SUM(B4*R4,U4*AK4)</f>
        <v>4000</v>
      </c>
      <c r="BD4" s="68">
        <f>SUM(E4*R4,X4*AK4)</f>
        <v>1.4792715267891334</v>
      </c>
      <c r="BE4" s="28" t="s">
        <v>322</v>
      </c>
      <c r="BF4" s="28">
        <v>1</v>
      </c>
      <c r="BH4" t="s">
        <v>190</v>
      </c>
      <c r="BI4" s="66">
        <v>4.0000000000000003E-5</v>
      </c>
      <c r="BJ4" s="28">
        <v>6.3E-5</v>
      </c>
      <c r="BK4" s="69">
        <v>4.3999999999999999E-5</v>
      </c>
    </row>
    <row r="5" spans="1:65">
      <c r="A5" s="62">
        <f>M4</f>
        <v>7144.9238241430121</v>
      </c>
      <c r="B5" s="62">
        <f>A5*(1-$BI$16) +D4</f>
        <v>4619.5035512058512</v>
      </c>
      <c r="C5" s="62">
        <f>EXP(-$BI$4*M4)</f>
        <v>0.75141517308063177</v>
      </c>
      <c r="D5" s="65">
        <f>A5*$BI$3*C5</f>
        <v>128.85130012719242</v>
      </c>
      <c r="E5" s="62">
        <f t="shared" si="0"/>
        <v>1.8948720606940062</v>
      </c>
      <c r="F5" s="62">
        <f>$BI$30*A5*$BI$7</f>
        <v>3.6525341512111531</v>
      </c>
      <c r="G5" s="62">
        <f>N4 - (F5*12) - (D5*$BI$7)</f>
        <v>9.0004507492486354</v>
      </c>
      <c r="H5" s="62">
        <f>$BF$6*$BF$7*$BF$8*$BF$9*$BI$26*D5</f>
        <v>135.74031057310623</v>
      </c>
      <c r="I5" s="62">
        <f>$BF$7*$BI$29*D5</f>
        <v>14.931651174362903</v>
      </c>
      <c r="J5" s="62">
        <f>H5-I5</f>
        <v>120.80865939874333</v>
      </c>
      <c r="K5" s="62">
        <f>G5+(J5*$BF$20)</f>
        <v>613.04374774296537</v>
      </c>
      <c r="L5" s="62">
        <f>(K5-($BI$8*C5*A5*$BI$7))</f>
        <v>492.24565387372246</v>
      </c>
      <c r="M5" s="62">
        <f>A5+(L5/$BI$7)</f>
        <v>8238.8030549735067</v>
      </c>
      <c r="N5" s="62">
        <f>K5 -L5</f>
        <v>120.7980938692429</v>
      </c>
      <c r="O5" s="2">
        <f t="shared" ref="O5:O33" si="16">P5*$BI$6</f>
        <v>94.932275806049589</v>
      </c>
      <c r="P5" s="2">
        <f t="shared" si="1"/>
        <v>1.3960628795007293</v>
      </c>
      <c r="Q5" s="2">
        <f t="shared" si="2"/>
        <v>0.58375691284844966</v>
      </c>
      <c r="R5" s="2">
        <f t="shared" si="3"/>
        <v>0.43008780042974476</v>
      </c>
      <c r="S5" s="67">
        <f t="shared" ref="S5:S54" si="17">B5*R5</f>
        <v>1986.7921214155194</v>
      </c>
      <c r="T5" s="63">
        <f>AF4</f>
        <v>7036.8978587490456</v>
      </c>
      <c r="U5" s="63">
        <f>T5*(1-$BJ$16) +W4</f>
        <v>5114.7031181944094</v>
      </c>
      <c r="V5" s="63">
        <f>EXP(-$BJ$4*T5)</f>
        <v>0.64189883531408409</v>
      </c>
      <c r="W5" s="63">
        <f>T5*$BJ$3*V5</f>
        <v>135.50929619265554</v>
      </c>
      <c r="X5" s="63">
        <f>W5/$BJ$6</f>
        <v>1.4570892063726402</v>
      </c>
      <c r="Y5" s="63">
        <f>$BJ$30*T5*$BJ$7</f>
        <v>3.5973105354623391</v>
      </c>
      <c r="Z5" s="63">
        <f>AG4 - (Y5*12) - (W5*$BJ$7)</f>
        <v>-15.267680850302419</v>
      </c>
      <c r="AA5" s="63">
        <f>$BF$6*$BF$7*$BF$8*$BF$9*$BJ$26*W5</f>
        <v>205.96016258191574</v>
      </c>
      <c r="AB5" s="63">
        <f>$BF$7*$BJ$29*W5</f>
        <v>22.655947157509591</v>
      </c>
      <c r="AC5" s="63">
        <f>AA5-AB5</f>
        <v>183.30421542440615</v>
      </c>
      <c r="AD5" s="63">
        <f>Z5+(AC5*$BF$20)</f>
        <v>901.25339627172832</v>
      </c>
      <c r="AE5" s="63">
        <f>(AD5-($BJ$8*V5*T5*$BJ$7))</f>
        <v>799.62142412723665</v>
      </c>
      <c r="AF5" s="63">
        <f>T5+(AE5/$BJ$7)</f>
        <v>8813.8343568095715</v>
      </c>
      <c r="AG5" s="63">
        <f>AD5 -AE5</f>
        <v>101.63197214449167</v>
      </c>
      <c r="AH5" s="2">
        <f t="shared" ref="AH5:AH23" si="18">MIN(W5,AH4+((W5-AH4)*$AW4))</f>
        <v>124.13704311447148</v>
      </c>
      <c r="AI5" s="2">
        <f t="shared" ref="AI5:AI25" si="19">AH5/$BJ$6</f>
        <v>1.3348069152093707</v>
      </c>
      <c r="AJ5" s="2">
        <f t="shared" si="4"/>
        <v>0.77354016059831709</v>
      </c>
      <c r="AK5" s="2">
        <f t="shared" si="5"/>
        <v>0.56991219957025518</v>
      </c>
      <c r="AL5" s="67">
        <f t="shared" ref="AL5:AL54" si="20">U5*AK5</f>
        <v>2914.9317042390189</v>
      </c>
      <c r="AM5" s="46">
        <v>0</v>
      </c>
      <c r="AN5" s="46">
        <f t="shared" si="6"/>
        <v>0</v>
      </c>
      <c r="AO5" s="46">
        <f t="shared" si="7"/>
        <v>0</v>
      </c>
      <c r="AP5" s="2">
        <f>MIN(AN5,AP4+((AN5-AP4)*$AW4))</f>
        <v>0</v>
      </c>
      <c r="AQ5" s="2">
        <f t="shared" ref="AQ5:AQ19" si="21">AP5/$BK$6</f>
        <v>0</v>
      </c>
      <c r="AR5" s="2">
        <f t="shared" si="8"/>
        <v>0</v>
      </c>
      <c r="AS5" s="2">
        <f t="shared" ref="AS5:AS33" si="22">IF($BA5&gt;1, AR5/$BA5, AR5)</f>
        <v>0</v>
      </c>
      <c r="AT5" s="64">
        <f t="shared" si="9"/>
        <v>9734.2066694002606</v>
      </c>
      <c r="AU5" s="64">
        <f t="shared" si="10"/>
        <v>219.06931892052108</v>
      </c>
      <c r="AV5" s="64">
        <f t="shared" ref="AV5:AV54" si="23">SUM(AO5,X5,E5)</f>
        <v>3.3519612670666463</v>
      </c>
      <c r="AW5" s="64">
        <f t="shared" ref="AW5:AW54" si="24">IF($AY5&lt;($AZ5/2),1,1-((($AY5-($AZ5/2))/($AZ5/2))^$BF$4))</f>
        <v>0.31739128586108656</v>
      </c>
      <c r="AX5" s="2">
        <f t="shared" si="11"/>
        <v>219.06931892052108</v>
      </c>
      <c r="AY5" s="2">
        <f t="shared" si="12"/>
        <v>2.7308697947100997</v>
      </c>
      <c r="AZ5" s="3">
        <f t="shared" si="13"/>
        <v>3.2459950691597852</v>
      </c>
      <c r="BA5" s="3">
        <f t="shared" si="14"/>
        <v>1.3572970734467669</v>
      </c>
      <c r="BB5" s="3">
        <f t="shared" si="15"/>
        <v>1</v>
      </c>
      <c r="BC5" s="68">
        <f t="shared" ref="BC5:BC33" si="25">SUM(B5*R5,U5*AK5)</f>
        <v>4901.7238256545388</v>
      </c>
      <c r="BD5" s="68">
        <f t="shared" ref="BD5:BD33" si="26">SUM(E5*R5,X5*AK5)</f>
        <v>1.6453742712535719</v>
      </c>
      <c r="BE5" s="28" t="s">
        <v>326</v>
      </c>
      <c r="BF5" s="28">
        <v>25144.23</v>
      </c>
      <c r="BG5" t="s">
        <v>337</v>
      </c>
      <c r="BH5" t="s">
        <v>315</v>
      </c>
      <c r="BI5" s="28">
        <v>1</v>
      </c>
      <c r="BJ5" s="28">
        <v>1</v>
      </c>
      <c r="BK5" s="28">
        <v>0.4</v>
      </c>
    </row>
    <row r="6" spans="1:65">
      <c r="A6" s="62">
        <f t="shared" ref="A6:A54" si="27">M5</f>
        <v>8238.8030549735067</v>
      </c>
      <c r="B6" s="62">
        <f t="shared" ref="B6:B54" si="28">A6*(1-$BI$16) +D5</f>
        <v>5319.2972247605012</v>
      </c>
      <c r="C6" s="62">
        <f t="shared" ref="C6:C54" si="29">EXP(-$BI$4*M5)</f>
        <v>0.71924579552963364</v>
      </c>
      <c r="D6" s="65">
        <f t="shared" ref="D6:D54" si="30">A6*$BI$3*C6</f>
        <v>142.21738697967351</v>
      </c>
      <c r="E6" s="62">
        <f t="shared" si="0"/>
        <v>2.0914321614657867</v>
      </c>
      <c r="F6" s="62">
        <f t="shared" ref="F6:F54" si="31">$BI$30*A6*$BI$7</f>
        <v>4.2117327299851111</v>
      </c>
      <c r="G6" s="62">
        <f t="shared" ref="G6:G54" si="32">N5 - (F6*12) - (D6*$BI$7)</f>
        <v>6.2594769685684994</v>
      </c>
      <c r="H6" s="62">
        <f t="shared" ref="H6:H54" si="33">$BF$6*$BF$7*$BF$8*$BF$9*$BI$26*D6</f>
        <v>149.82101273685572</v>
      </c>
      <c r="I6" s="62">
        <f t="shared" ref="I6:I54" si="34">$BF$7*$BI$29*D6</f>
        <v>16.480550923534839</v>
      </c>
      <c r="J6" s="62">
        <f t="shared" ref="J6:J54" si="35">H6-I6</f>
        <v>133.34046181332087</v>
      </c>
      <c r="K6" s="62">
        <f t="shared" ref="K6:K54" si="36">G6+(J6*$BF$20)</f>
        <v>672.96178603517285</v>
      </c>
      <c r="L6" s="62">
        <f t="shared" ref="L6:L54" si="37">(K6-($BI$8*C6*A6*$BI$7))</f>
        <v>539.63298574172893</v>
      </c>
      <c r="M6" s="62">
        <f t="shared" ref="M6:M54" si="38">A6+(L6/$BI$7)</f>
        <v>9437.9874677329044</v>
      </c>
      <c r="N6" s="62">
        <f t="shared" ref="N6:N54" si="39">K6 -L6</f>
        <v>133.32880029344392</v>
      </c>
      <c r="O6" s="2">
        <f t="shared" si="16"/>
        <v>94.148028521680018</v>
      </c>
      <c r="P6" s="2">
        <f t="shared" si="1"/>
        <v>1.3845298312011767</v>
      </c>
      <c r="Q6" s="2">
        <f t="shared" si="2"/>
        <v>0.64431156452962413</v>
      </c>
      <c r="R6" s="2">
        <f t="shared" si="3"/>
        <v>0.42653479185954452</v>
      </c>
      <c r="S6" s="67">
        <f t="shared" si="17"/>
        <v>2268.8653346022734</v>
      </c>
      <c r="T6" s="63">
        <f t="shared" ref="T6:T25" si="40">AF5</f>
        <v>8813.8343568095715</v>
      </c>
      <c r="U6" s="63">
        <f t="shared" ref="U6:U25" si="41">T6*(1-$BJ$16) +W5</f>
        <v>6393.3316895274511</v>
      </c>
      <c r="V6" s="63">
        <f t="shared" ref="V6:V25" si="42">EXP(-$BJ$4*AF5)</f>
        <v>0.573916384728128</v>
      </c>
      <c r="W6" s="63">
        <f t="shared" ref="W6:W25" si="43">T6*$BJ$3*V6</f>
        <v>151.75211848958142</v>
      </c>
      <c r="X6" s="63">
        <f t="shared" ref="X6:X54" si="44">W6/$BJ$6</f>
        <v>1.6317432095653917</v>
      </c>
      <c r="Y6" s="63">
        <f t="shared" ref="Y6:Y25" si="45">$BJ$30*T6*$BJ$7</f>
        <v>4.505692682486572</v>
      </c>
      <c r="Z6" s="63">
        <f t="shared" ref="Z6:Z25" si="46">AG5 - (Y6*12) - (W6*$BJ$7)</f>
        <v>-20.72479336565884</v>
      </c>
      <c r="AA6" s="63">
        <f t="shared" ref="AA6:AA25" si="47">$BF$6*$BF$7*$BF$8*$BF$9*$BJ$26*W6</f>
        <v>230.6475782431103</v>
      </c>
      <c r="AB6" s="63">
        <f t="shared" ref="AB6:AB25" si="48">$BF$7*$BJ$29*W6</f>
        <v>25.371602348610171</v>
      </c>
      <c r="AC6" s="63">
        <f t="shared" ref="AC6:AC25" si="49">AA6-AB6</f>
        <v>205.27597589450014</v>
      </c>
      <c r="AD6" s="63">
        <f t="shared" ref="AD6:AD25" si="50">Z6+(AC6*$BF$20)</f>
        <v>1005.655086106842</v>
      </c>
      <c r="AE6" s="63">
        <f t="shared" ref="AE6:AE25" si="51">(AD6-($BJ$8*V6*T6*$BJ$7))</f>
        <v>891.84099723965585</v>
      </c>
      <c r="AF6" s="63">
        <f t="shared" ref="AF6:AF25" si="52">T6+(AE6/$BJ$7)</f>
        <v>10795.703239564362</v>
      </c>
      <c r="AG6" s="63">
        <f t="shared" ref="AG6:AG25" si="53">AD6 -AE6</f>
        <v>113.81408886718611</v>
      </c>
      <c r="AH6" s="2">
        <f t="shared" si="18"/>
        <v>132.90182739692844</v>
      </c>
      <c r="AI6" s="2">
        <f t="shared" si="19"/>
        <v>1.4290519074938541</v>
      </c>
      <c r="AJ6" s="2">
        <f t="shared" si="4"/>
        <v>0.86626055485282549</v>
      </c>
      <c r="AK6" s="2">
        <f t="shared" si="5"/>
        <v>0.57346520814045554</v>
      </c>
      <c r="AL6" s="67">
        <f t="shared" si="20"/>
        <v>3666.3532880458301</v>
      </c>
      <c r="AM6" s="46">
        <v>0</v>
      </c>
      <c r="AN6" s="46">
        <f t="shared" si="6"/>
        <v>0</v>
      </c>
      <c r="AO6" s="46">
        <f t="shared" si="7"/>
        <v>0</v>
      </c>
      <c r="AP6" s="2">
        <f t="shared" ref="AP6:AP28" si="54">MIN(AN6,AP5+((AN6-AP5)*$AW5))</f>
        <v>0</v>
      </c>
      <c r="AQ6" s="2">
        <f t="shared" si="21"/>
        <v>0</v>
      </c>
      <c r="AR6" s="2">
        <f t="shared" si="8"/>
        <v>0</v>
      </c>
      <c r="AS6" s="2">
        <f t="shared" si="22"/>
        <v>0</v>
      </c>
      <c r="AT6" s="64">
        <f t="shared" si="9"/>
        <v>11712.628914287952</v>
      </c>
      <c r="AU6" s="64">
        <f t="shared" si="10"/>
        <v>227.04985591860844</v>
      </c>
      <c r="AV6" s="64">
        <f t="shared" si="23"/>
        <v>3.7231753710311786</v>
      </c>
      <c r="AW6" s="64">
        <f t="shared" si="24"/>
        <v>0.26642882767944764</v>
      </c>
      <c r="AX6" s="2">
        <f t="shared" si="11"/>
        <v>227.04985591860844</v>
      </c>
      <c r="AY6" s="2">
        <f t="shared" si="12"/>
        <v>2.8135817386950306</v>
      </c>
      <c r="AZ6" s="3">
        <f t="shared" si="13"/>
        <v>3.2459950691597852</v>
      </c>
      <c r="BA6" s="3">
        <f t="shared" si="14"/>
        <v>1.5105721193824495</v>
      </c>
      <c r="BB6" s="3">
        <f t="shared" si="15"/>
        <v>1</v>
      </c>
      <c r="BC6" s="68">
        <f t="shared" si="25"/>
        <v>5935.2186226481035</v>
      </c>
      <c r="BD6" s="68">
        <f t="shared" si="26"/>
        <v>1.827816540984359</v>
      </c>
      <c r="BE6" s="28" t="s">
        <v>34</v>
      </c>
      <c r="BF6" s="28">
        <v>0.94943730000000004</v>
      </c>
      <c r="BG6" s="24"/>
      <c r="BH6" t="s">
        <v>316</v>
      </c>
      <c r="BI6" s="28">
        <v>68</v>
      </c>
      <c r="BJ6" s="28">
        <v>93</v>
      </c>
      <c r="BK6" s="28">
        <v>190</v>
      </c>
    </row>
    <row r="7" spans="1:65">
      <c r="A7" s="62">
        <f t="shared" si="27"/>
        <v>9437.9874677329044</v>
      </c>
      <c r="B7" s="62">
        <f t="shared" si="28"/>
        <v>6088.149491651403</v>
      </c>
      <c r="C7" s="62">
        <f t="shared" si="29"/>
        <v>0.685559833922047</v>
      </c>
      <c r="D7" s="65">
        <f t="shared" si="30"/>
        <v>155.28732290249596</v>
      </c>
      <c r="E7" s="62">
        <f t="shared" si="0"/>
        <v>2.2836371015072934</v>
      </c>
      <c r="F7" s="62">
        <f t="shared" si="31"/>
        <v>4.8247640413062163</v>
      </c>
      <c r="G7" s="62">
        <f t="shared" si="32"/>
        <v>5.5523364916461446</v>
      </c>
      <c r="H7" s="62">
        <f t="shared" si="33"/>
        <v>163.58973031737872</v>
      </c>
      <c r="I7" s="62">
        <f t="shared" si="34"/>
        <v>17.995131869774546</v>
      </c>
      <c r="J7" s="62">
        <f t="shared" si="35"/>
        <v>145.59459844760417</v>
      </c>
      <c r="K7" s="62">
        <f t="shared" si="36"/>
        <v>733.52532872966708</v>
      </c>
      <c r="L7" s="62">
        <f t="shared" si="37"/>
        <v>587.94346350857711</v>
      </c>
      <c r="M7" s="62">
        <f t="shared" si="38"/>
        <v>10744.528497751964</v>
      </c>
      <c r="N7" s="62">
        <f t="shared" si="39"/>
        <v>145.58186522108997</v>
      </c>
      <c r="O7" s="2">
        <f t="shared" si="16"/>
        <v>94.685754655212548</v>
      </c>
      <c r="P7" s="2">
        <f t="shared" si="1"/>
        <v>1.392437568459008</v>
      </c>
      <c r="Q7" s="2">
        <f t="shared" si="2"/>
        <v>0.70352451339317812</v>
      </c>
      <c r="R7" s="2">
        <f t="shared" si="3"/>
        <v>0.42897094382199286</v>
      </c>
      <c r="S7" s="67">
        <f t="shared" si="17"/>
        <v>2611.6392335630885</v>
      </c>
      <c r="T7" s="63">
        <f t="shared" si="40"/>
        <v>10795.703239564362</v>
      </c>
      <c r="U7" s="63">
        <f t="shared" si="41"/>
        <v>7816.7014185802782</v>
      </c>
      <c r="V7" s="63">
        <f t="shared" si="42"/>
        <v>0.50655148895014002</v>
      </c>
      <c r="W7" s="63">
        <f t="shared" si="43"/>
        <v>164.05738650795533</v>
      </c>
      <c r="X7" s="63">
        <f t="shared" si="44"/>
        <v>1.7640579194403798</v>
      </c>
      <c r="Y7" s="63">
        <f t="shared" si="45"/>
        <v>5.5188376726436665</v>
      </c>
      <c r="Z7" s="63">
        <f t="shared" si="46"/>
        <v>-26.237787133117777</v>
      </c>
      <c r="AA7" s="63">
        <f t="shared" si="47"/>
        <v>249.35031726461</v>
      </c>
      <c r="AB7" s="63">
        <f t="shared" si="48"/>
        <v>27.428933541496864</v>
      </c>
      <c r="AC7" s="63">
        <f t="shared" si="49"/>
        <v>221.92138372311314</v>
      </c>
      <c r="AD7" s="63">
        <f t="shared" si="50"/>
        <v>1083.369131482448</v>
      </c>
      <c r="AE7" s="63">
        <f t="shared" si="51"/>
        <v>960.32609160148149</v>
      </c>
      <c r="AF7" s="63">
        <f t="shared" si="52"/>
        <v>12929.761220900988</v>
      </c>
      <c r="AG7" s="63">
        <f t="shared" si="53"/>
        <v>123.04303988096649</v>
      </c>
      <c r="AH7" s="2">
        <f t="shared" si="18"/>
        <v>141.20256648657707</v>
      </c>
      <c r="AI7" s="2">
        <f t="shared" si="19"/>
        <v>1.518307166522334</v>
      </c>
      <c r="AJ7" s="2">
        <f t="shared" si="4"/>
        <v>0.93650384639501993</v>
      </c>
      <c r="AK7" s="2">
        <f t="shared" si="5"/>
        <v>0.57102905617800725</v>
      </c>
      <c r="AL7" s="67">
        <f t="shared" si="20"/>
        <v>4463.5636334771871</v>
      </c>
      <c r="AM7" s="46">
        <v>0</v>
      </c>
      <c r="AN7" s="46">
        <f t="shared" si="6"/>
        <v>0</v>
      </c>
      <c r="AO7" s="46">
        <f t="shared" si="7"/>
        <v>0</v>
      </c>
      <c r="AP7" s="2">
        <f t="shared" si="54"/>
        <v>0</v>
      </c>
      <c r="AQ7" s="2">
        <f t="shared" si="21"/>
        <v>0</v>
      </c>
      <c r="AR7" s="2">
        <f t="shared" si="8"/>
        <v>0</v>
      </c>
      <c r="AS7" s="2">
        <f t="shared" si="22"/>
        <v>0</v>
      </c>
      <c r="AT7" s="64">
        <f t="shared" si="9"/>
        <v>13904.850910231682</v>
      </c>
      <c r="AU7" s="64">
        <f t="shared" si="10"/>
        <v>235.88832114178962</v>
      </c>
      <c r="AV7" s="64">
        <f t="shared" si="23"/>
        <v>4.047695020947673</v>
      </c>
      <c r="AW7" s="64">
        <f t="shared" si="24"/>
        <v>0.20656244204660601</v>
      </c>
      <c r="AX7" s="2">
        <f t="shared" si="11"/>
        <v>235.88832114178962</v>
      </c>
      <c r="AY7" s="2">
        <f t="shared" si="12"/>
        <v>2.9107447349813418</v>
      </c>
      <c r="AZ7" s="3">
        <f t="shared" si="13"/>
        <v>3.2459950691597852</v>
      </c>
      <c r="BA7" s="3">
        <f t="shared" si="14"/>
        <v>1.6400283597881979</v>
      </c>
      <c r="BB7" s="3">
        <f t="shared" si="15"/>
        <v>1</v>
      </c>
      <c r="BC7" s="68">
        <f t="shared" si="25"/>
        <v>7075.202867040276</v>
      </c>
      <c r="BD7" s="68">
        <f t="shared" si="26"/>
        <v>1.9869422915618831</v>
      </c>
      <c r="BE7" s="28" t="s">
        <v>20</v>
      </c>
      <c r="BF7" s="28">
        <v>1</v>
      </c>
      <c r="BG7" s="24"/>
      <c r="BH7" s="24" t="s">
        <v>343</v>
      </c>
      <c r="BI7" s="28">
        <v>0.45</v>
      </c>
      <c r="BJ7" s="28">
        <v>0.45</v>
      </c>
      <c r="BK7" s="28">
        <v>0.45</v>
      </c>
      <c r="BL7" s="24"/>
      <c r="BM7" s="24"/>
    </row>
    <row r="8" spans="1:65">
      <c r="A8" s="62">
        <f t="shared" si="27"/>
        <v>10744.528497751964</v>
      </c>
      <c r="B8" s="62">
        <f t="shared" si="28"/>
        <v>6924.340276486234</v>
      </c>
      <c r="C8" s="62">
        <f t="shared" si="29"/>
        <v>0.65065148078302693</v>
      </c>
      <c r="D8" s="65">
        <f t="shared" si="30"/>
        <v>167.78264105706594</v>
      </c>
      <c r="E8" s="62">
        <f t="shared" si="0"/>
        <v>2.4673917802509697</v>
      </c>
      <c r="F8" s="62">
        <f t="shared" si="31"/>
        <v>5.4926767930108298</v>
      </c>
      <c r="G8" s="62">
        <f t="shared" si="32"/>
        <v>4.1675552292803388</v>
      </c>
      <c r="H8" s="62">
        <f t="shared" si="33"/>
        <v>176.75310829910509</v>
      </c>
      <c r="I8" s="62">
        <f t="shared" si="34"/>
        <v>19.443124492375556</v>
      </c>
      <c r="J8" s="62">
        <f t="shared" si="35"/>
        <v>157.30998380672955</v>
      </c>
      <c r="K8" s="62">
        <f t="shared" si="36"/>
        <v>790.71747426292802</v>
      </c>
      <c r="L8" s="62">
        <f t="shared" si="37"/>
        <v>633.42124827192868</v>
      </c>
      <c r="M8" s="62">
        <f t="shared" si="38"/>
        <v>12152.131271689583</v>
      </c>
      <c r="N8" s="62">
        <f t="shared" si="39"/>
        <v>157.29622599099935</v>
      </c>
      <c r="O8" s="2">
        <f t="shared" si="16"/>
        <v>96.390107104063731</v>
      </c>
      <c r="P8" s="2">
        <f t="shared" si="1"/>
        <v>1.4175015750597608</v>
      </c>
      <c r="Q8" s="2">
        <f t="shared" si="2"/>
        <v>0.76013417386048154</v>
      </c>
      <c r="R8" s="2">
        <f t="shared" si="3"/>
        <v>0.4366924609736626</v>
      </c>
      <c r="S8" s="67">
        <f t="shared" si="17"/>
        <v>3023.8071959578247</v>
      </c>
      <c r="T8" s="63">
        <f t="shared" si="40"/>
        <v>12929.761220900988</v>
      </c>
      <c r="U8" s="63">
        <f t="shared" si="41"/>
        <v>9344.1878533476556</v>
      </c>
      <c r="V8" s="63">
        <f t="shared" si="42"/>
        <v>0.44282750813545024</v>
      </c>
      <c r="W8" s="63">
        <f t="shared" si="43"/>
        <v>171.76961826713884</v>
      </c>
      <c r="X8" s="63">
        <f t="shared" si="44"/>
        <v>1.8469851426574069</v>
      </c>
      <c r="Y8" s="63">
        <f t="shared" si="45"/>
        <v>6.6097827756772443</v>
      </c>
      <c r="Z8" s="63">
        <f t="shared" si="46"/>
        <v>-33.570681647372908</v>
      </c>
      <c r="AA8" s="63">
        <f t="shared" si="47"/>
        <v>261.07211459969898</v>
      </c>
      <c r="AB8" s="63">
        <f t="shared" si="48"/>
        <v>28.718349988277868</v>
      </c>
      <c r="AC8" s="63">
        <f t="shared" si="49"/>
        <v>232.3537646114211</v>
      </c>
      <c r="AD8" s="63">
        <f t="shared" si="50"/>
        <v>1128.1981414097327</v>
      </c>
      <c r="AE8" s="63">
        <f t="shared" si="51"/>
        <v>999.37092770937852</v>
      </c>
      <c r="AF8" s="63">
        <f t="shared" si="52"/>
        <v>15150.585504699608</v>
      </c>
      <c r="AG8" s="63">
        <f t="shared" si="53"/>
        <v>128.82721370035415</v>
      </c>
      <c r="AH8" s="2">
        <f t="shared" si="18"/>
        <v>147.51657134853497</v>
      </c>
      <c r="AI8" s="2">
        <f t="shared" si="19"/>
        <v>1.5861996919197308</v>
      </c>
      <c r="AJ8" s="2">
        <f t="shared" si="4"/>
        <v>0.98052828723551178</v>
      </c>
      <c r="AK8" s="2">
        <f t="shared" si="5"/>
        <v>0.56330753902633746</v>
      </c>
      <c r="AL8" s="67">
        <f t="shared" si="20"/>
        <v>5263.6514638690633</v>
      </c>
      <c r="AM8" s="46">
        <v>0</v>
      </c>
      <c r="AN8" s="46">
        <f t="shared" si="6"/>
        <v>0</v>
      </c>
      <c r="AO8" s="46">
        <f t="shared" si="7"/>
        <v>0</v>
      </c>
      <c r="AP8" s="2">
        <f t="shared" si="54"/>
        <v>0</v>
      </c>
      <c r="AQ8" s="2">
        <f t="shared" si="21"/>
        <v>0</v>
      </c>
      <c r="AR8" s="2">
        <f t="shared" si="8"/>
        <v>0</v>
      </c>
      <c r="AS8" s="2">
        <f t="shared" si="22"/>
        <v>0</v>
      </c>
      <c r="AT8" s="64">
        <f t="shared" si="9"/>
        <v>16268.528129833889</v>
      </c>
      <c r="AU8" s="64">
        <f t="shared" si="10"/>
        <v>243.9066784525987</v>
      </c>
      <c r="AV8" s="64">
        <f t="shared" si="23"/>
        <v>4.3143769229083766</v>
      </c>
      <c r="AW8" s="64">
        <f t="shared" si="24"/>
        <v>0.14928784364605385</v>
      </c>
      <c r="AX8" s="2">
        <f t="shared" si="11"/>
        <v>243.9066784525987</v>
      </c>
      <c r="AY8" s="2">
        <f t="shared" si="12"/>
        <v>3.0037012669794914</v>
      </c>
      <c r="AZ8" s="3">
        <f t="shared" si="13"/>
        <v>3.2459950691597852</v>
      </c>
      <c r="BA8" s="3">
        <f t="shared" si="14"/>
        <v>1.7406624610959933</v>
      </c>
      <c r="BB8" s="3">
        <f t="shared" si="15"/>
        <v>1</v>
      </c>
      <c r="BC8" s="68">
        <f t="shared" si="25"/>
        <v>8287.458659826887</v>
      </c>
      <c r="BD8" s="68">
        <f t="shared" si="26"/>
        <v>2.1179120440325354</v>
      </c>
      <c r="BE8" s="28" t="s">
        <v>21</v>
      </c>
      <c r="BF8" s="28">
        <v>0.99475809999999998</v>
      </c>
      <c r="BG8" s="24"/>
      <c r="BH8" s="24" t="s">
        <v>344</v>
      </c>
      <c r="BI8" s="28">
        <v>0.05</v>
      </c>
      <c r="BJ8" s="28">
        <v>0.05</v>
      </c>
      <c r="BK8" s="28">
        <v>0.05</v>
      </c>
      <c r="BL8" s="24"/>
    </row>
    <row r="9" spans="1:65">
      <c r="A9" s="62">
        <f t="shared" si="27"/>
        <v>12152.131271689583</v>
      </c>
      <c r="B9" s="62">
        <f t="shared" si="28"/>
        <v>7823.6253422215032</v>
      </c>
      <c r="C9" s="62">
        <f t="shared" si="29"/>
        <v>0.61502937329087515</v>
      </c>
      <c r="D9" s="65">
        <f t="shared" si="30"/>
        <v>179.37402432421658</v>
      </c>
      <c r="E9" s="62">
        <f t="shared" si="0"/>
        <v>2.6378532988855379</v>
      </c>
      <c r="F9" s="62">
        <f t="shared" si="31"/>
        <v>6.2122530025953129</v>
      </c>
      <c r="G9" s="62">
        <f t="shared" si="32"/>
        <v>2.0308790139581276</v>
      </c>
      <c r="H9" s="62">
        <f t="shared" si="33"/>
        <v>188.96422268523679</v>
      </c>
      <c r="I9" s="62">
        <f t="shared" si="34"/>
        <v>20.786366597054283</v>
      </c>
      <c r="J9" s="62">
        <f t="shared" si="35"/>
        <v>168.17785608818252</v>
      </c>
      <c r="K9" s="62">
        <f t="shared" si="36"/>
        <v>842.92015945487083</v>
      </c>
      <c r="L9" s="62">
        <f t="shared" si="37"/>
        <v>674.75701165091778</v>
      </c>
      <c r="M9" s="62">
        <f t="shared" si="38"/>
        <v>13651.591297580511</v>
      </c>
      <c r="N9" s="62">
        <f t="shared" si="39"/>
        <v>168.16314780395305</v>
      </c>
      <c r="O9" s="2">
        <f t="shared" si="16"/>
        <v>99.015188838797982</v>
      </c>
      <c r="P9" s="2">
        <f t="shared" si="1"/>
        <v>1.4561057182176174</v>
      </c>
      <c r="Q9" s="2">
        <f t="shared" si="2"/>
        <v>0.81264858469681456</v>
      </c>
      <c r="R9" s="2">
        <f t="shared" si="3"/>
        <v>0.44858531426990905</v>
      </c>
      <c r="S9" s="67">
        <f t="shared" si="17"/>
        <v>3509.5634328704577</v>
      </c>
      <c r="T9" s="63">
        <f t="shared" si="40"/>
        <v>15150.585504699608</v>
      </c>
      <c r="U9" s="63">
        <f t="shared" si="41"/>
        <v>10928.68532660386</v>
      </c>
      <c r="V9" s="63">
        <f t="shared" si="42"/>
        <v>0.38500964741170829</v>
      </c>
      <c r="W9" s="63">
        <f t="shared" si="43"/>
        <v>174.99364749736003</v>
      </c>
      <c r="X9" s="63">
        <f t="shared" si="44"/>
        <v>1.8816521236275272</v>
      </c>
      <c r="Y9" s="63">
        <f t="shared" si="45"/>
        <v>7.7450834086950424</v>
      </c>
      <c r="Z9" s="63">
        <f t="shared" si="46"/>
        <v>-42.860928577798376</v>
      </c>
      <c r="AA9" s="63">
        <f t="shared" si="47"/>
        <v>265.97230671257921</v>
      </c>
      <c r="AB9" s="63">
        <f t="shared" si="48"/>
        <v>29.257378954750479</v>
      </c>
      <c r="AC9" s="63">
        <f t="shared" si="49"/>
        <v>236.71492775782872</v>
      </c>
      <c r="AD9" s="63">
        <f t="shared" si="50"/>
        <v>1140.7137102113452</v>
      </c>
      <c r="AE9" s="63">
        <f t="shared" si="51"/>
        <v>1009.4684745883252</v>
      </c>
      <c r="AF9" s="63">
        <f t="shared" si="52"/>
        <v>17393.848781562552</v>
      </c>
      <c r="AG9" s="63">
        <f t="shared" si="53"/>
        <v>131.24523562301999</v>
      </c>
      <c r="AH9" s="2">
        <f t="shared" si="18"/>
        <v>151.61856479649148</v>
      </c>
      <c r="AI9" s="2">
        <f t="shared" si="19"/>
        <v>1.6303071483493707</v>
      </c>
      <c r="AJ9" s="2">
        <f t="shared" si="4"/>
        <v>0.99893230938446709</v>
      </c>
      <c r="AK9" s="2">
        <f t="shared" si="5"/>
        <v>0.55141468573009089</v>
      </c>
      <c r="AL9" s="67">
        <f t="shared" si="20"/>
        <v>6026.2375848123229</v>
      </c>
      <c r="AM9" s="46">
        <v>0</v>
      </c>
      <c r="AN9" s="46">
        <f t="shared" si="6"/>
        <v>0</v>
      </c>
      <c r="AO9" s="46">
        <f t="shared" si="7"/>
        <v>0</v>
      </c>
      <c r="AP9" s="2">
        <f t="shared" si="54"/>
        <v>0</v>
      </c>
      <c r="AQ9" s="2">
        <f t="shared" si="21"/>
        <v>0</v>
      </c>
      <c r="AR9" s="2">
        <f t="shared" si="8"/>
        <v>0</v>
      </c>
      <c r="AS9" s="2">
        <f t="shared" si="22"/>
        <v>0</v>
      </c>
      <c r="AT9" s="64">
        <f t="shared" si="9"/>
        <v>18752.310668825361</v>
      </c>
      <c r="AU9" s="64">
        <f t="shared" si="10"/>
        <v>250.63375363528945</v>
      </c>
      <c r="AV9" s="64">
        <f t="shared" si="23"/>
        <v>4.5195054225130651</v>
      </c>
      <c r="AW9" s="64">
        <f t="shared" si="24"/>
        <v>9.832559766278659E-2</v>
      </c>
      <c r="AX9" s="2">
        <f t="shared" si="11"/>
        <v>250.63375363528945</v>
      </c>
      <c r="AY9" s="2">
        <f t="shared" si="12"/>
        <v>3.0864128665669881</v>
      </c>
      <c r="AZ9" s="3">
        <f t="shared" si="13"/>
        <v>3.2459950691597852</v>
      </c>
      <c r="BA9" s="3">
        <f t="shared" si="14"/>
        <v>1.8115808940812816</v>
      </c>
      <c r="BB9" s="3">
        <f t="shared" si="15"/>
        <v>1</v>
      </c>
      <c r="BC9" s="68">
        <f t="shared" si="25"/>
        <v>9535.8010176827811</v>
      </c>
      <c r="BD9" s="68">
        <f t="shared" si="26"/>
        <v>2.2208728654819163</v>
      </c>
      <c r="BE9" s="28" t="s">
        <v>347</v>
      </c>
      <c r="BF9" s="28">
        <v>1</v>
      </c>
      <c r="BG9" s="24"/>
      <c r="BH9" s="24" t="s">
        <v>345</v>
      </c>
      <c r="BI9" s="28">
        <v>7</v>
      </c>
      <c r="BJ9" s="28">
        <v>7</v>
      </c>
      <c r="BK9" s="28">
        <v>7</v>
      </c>
      <c r="BL9" s="24"/>
      <c r="BM9" s="24"/>
    </row>
    <row r="10" spans="1:65">
      <c r="A10" s="62">
        <f t="shared" si="27"/>
        <v>13651.591297580511</v>
      </c>
      <c r="B10" s="62">
        <f t="shared" si="28"/>
        <v>8779.8765417999402</v>
      </c>
      <c r="C10" s="62">
        <f t="shared" si="29"/>
        <v>0.57922536141072523</v>
      </c>
      <c r="D10" s="65">
        <f t="shared" si="30"/>
        <v>189.77634967614199</v>
      </c>
      <c r="E10" s="62">
        <f t="shared" si="0"/>
        <v>2.7908286717079704</v>
      </c>
      <c r="F10" s="62">
        <f t="shared" si="31"/>
        <v>6.9787872705235632</v>
      </c>
      <c r="G10" s="62">
        <f t="shared" si="32"/>
        <v>-0.9816567965936116</v>
      </c>
      <c r="H10" s="62">
        <f t="shared" si="33"/>
        <v>199.92270639909157</v>
      </c>
      <c r="I10" s="62">
        <f t="shared" si="34"/>
        <v>21.99181732517156</v>
      </c>
      <c r="J10" s="62">
        <f t="shared" si="35"/>
        <v>177.93088907392001</v>
      </c>
      <c r="K10" s="62">
        <f t="shared" si="36"/>
        <v>888.67278857300653</v>
      </c>
      <c r="L10" s="62">
        <f t="shared" si="37"/>
        <v>710.7574607516234</v>
      </c>
      <c r="M10" s="62">
        <f t="shared" si="38"/>
        <v>15231.052321473007</v>
      </c>
      <c r="N10" s="62">
        <f t="shared" si="39"/>
        <v>177.91532782138313</v>
      </c>
      <c r="O10" s="2">
        <f t="shared" si="16"/>
        <v>102.27945561887582</v>
      </c>
      <c r="P10" s="2">
        <f t="shared" si="1"/>
        <v>1.504109641454056</v>
      </c>
      <c r="Q10" s="2">
        <f t="shared" si="2"/>
        <v>0.85977600465991066</v>
      </c>
      <c r="R10" s="2">
        <f t="shared" si="3"/>
        <v>0.46337397605578917</v>
      </c>
      <c r="S10" s="67">
        <f t="shared" si="17"/>
        <v>4068.3663024527905</v>
      </c>
      <c r="T10" s="63">
        <f t="shared" si="40"/>
        <v>17393.848781562552</v>
      </c>
      <c r="U10" s="63">
        <f t="shared" si="41"/>
        <v>12524.626282406771</v>
      </c>
      <c r="V10" s="63">
        <f t="shared" si="42"/>
        <v>0.334267912857798</v>
      </c>
      <c r="W10" s="63">
        <f t="shared" si="43"/>
        <v>174.42616586331198</v>
      </c>
      <c r="X10" s="63">
        <f t="shared" si="44"/>
        <v>1.8755501705732471</v>
      </c>
      <c r="Y10" s="63">
        <f t="shared" si="45"/>
        <v>8.8918550091441926</v>
      </c>
      <c r="Z10" s="63">
        <f t="shared" si="46"/>
        <v>-53.948799125200708</v>
      </c>
      <c r="AA10" s="63">
        <f t="shared" si="47"/>
        <v>265.10979312203841</v>
      </c>
      <c r="AB10" s="63">
        <f t="shared" si="48"/>
        <v>29.162501080869625</v>
      </c>
      <c r="AC10" s="63">
        <f t="shared" si="49"/>
        <v>235.94729204116879</v>
      </c>
      <c r="AD10" s="63">
        <f t="shared" si="50"/>
        <v>1125.7876610806434</v>
      </c>
      <c r="AE10" s="63">
        <f t="shared" si="51"/>
        <v>994.96803668315943</v>
      </c>
      <c r="AF10" s="63">
        <f t="shared" si="52"/>
        <v>19604.888863080683</v>
      </c>
      <c r="AG10" s="63">
        <f t="shared" si="53"/>
        <v>130.81962439748395</v>
      </c>
      <c r="AH10" s="2">
        <f t="shared" si="18"/>
        <v>153.86113580264103</v>
      </c>
      <c r="AI10" s="2">
        <f t="shared" si="19"/>
        <v>1.6544208150821615</v>
      </c>
      <c r="AJ10" s="2">
        <f t="shared" si="4"/>
        <v>0.99569290185545123</v>
      </c>
      <c r="AK10" s="2">
        <f t="shared" si="5"/>
        <v>0.53662602394421077</v>
      </c>
      <c r="AL10" s="67">
        <f t="shared" si="20"/>
        <v>6721.0404033151071</v>
      </c>
      <c r="AM10" s="46">
        <v>0</v>
      </c>
      <c r="AN10" s="46">
        <f t="shared" si="6"/>
        <v>0</v>
      </c>
      <c r="AO10" s="46">
        <f t="shared" si="7"/>
        <v>0</v>
      </c>
      <c r="AP10" s="2">
        <f t="shared" si="54"/>
        <v>0</v>
      </c>
      <c r="AQ10" s="2">
        <f t="shared" si="21"/>
        <v>0</v>
      </c>
      <c r="AR10" s="2">
        <f t="shared" si="8"/>
        <v>0</v>
      </c>
      <c r="AS10" s="2">
        <f t="shared" si="22"/>
        <v>0</v>
      </c>
      <c r="AT10" s="64">
        <f t="shared" si="9"/>
        <v>21304.502824206713</v>
      </c>
      <c r="AU10" s="64">
        <f t="shared" si="10"/>
        <v>256.14059142151683</v>
      </c>
      <c r="AV10" s="64">
        <f t="shared" si="23"/>
        <v>4.6663788422812171</v>
      </c>
      <c r="AW10" s="64">
        <f t="shared" si="24"/>
        <v>5.3890785882313441E-2</v>
      </c>
      <c r="AX10" s="2">
        <f t="shared" si="11"/>
        <v>256.14059142151683</v>
      </c>
      <c r="AY10" s="2">
        <f t="shared" si="12"/>
        <v>3.1585304565362176</v>
      </c>
      <c r="AZ10" s="3">
        <f t="shared" si="13"/>
        <v>3.2459950691597852</v>
      </c>
      <c r="BA10" s="3">
        <f t="shared" si="14"/>
        <v>1.855468906515362</v>
      </c>
      <c r="BB10" s="3">
        <f t="shared" si="15"/>
        <v>1</v>
      </c>
      <c r="BC10" s="68">
        <f t="shared" si="25"/>
        <v>10789.406705767899</v>
      </c>
      <c r="BD10" s="68">
        <f t="shared" si="26"/>
        <v>2.2996664088424268</v>
      </c>
      <c r="BE10" s="28" t="s">
        <v>350</v>
      </c>
      <c r="BF10" s="28">
        <v>389</v>
      </c>
      <c r="BG10" s="24"/>
      <c r="BH10" s="24" t="s">
        <v>346</v>
      </c>
      <c r="BI10" s="28">
        <f t="shared" ref="BI10:BJ10" si="55">BI9/(BI7*BI8)*(1-BI16)</f>
        <v>195.99999999999997</v>
      </c>
      <c r="BJ10" s="28">
        <f t="shared" si="55"/>
        <v>220.88888888888886</v>
      </c>
      <c r="BK10" s="28">
        <f t="shared" ref="BK10" si="56">BK9/(BK7*BK8)*(1-BK16)</f>
        <v>208.4444444444444</v>
      </c>
      <c r="BL10" s="24"/>
      <c r="BM10" s="24"/>
    </row>
    <row r="11" spans="1:65">
      <c r="A11" s="62">
        <f t="shared" si="27"/>
        <v>15231.052321473007</v>
      </c>
      <c r="B11" s="62">
        <f t="shared" si="28"/>
        <v>9785.3393122041361</v>
      </c>
      <c r="C11" s="62">
        <f t="shared" si="29"/>
        <v>0.54376283467439801</v>
      </c>
      <c r="D11" s="65">
        <f t="shared" si="30"/>
        <v>198.76992444955761</v>
      </c>
      <c r="E11" s="62">
        <f t="shared" si="0"/>
        <v>2.9230871242581999</v>
      </c>
      <c r="F11" s="62">
        <f t="shared" si="31"/>
        <v>7.7862185983118959</v>
      </c>
      <c r="G11" s="62">
        <f t="shared" si="32"/>
        <v>-4.9657613606605366</v>
      </c>
      <c r="H11" s="62">
        <f t="shared" si="33"/>
        <v>209.39712095060031</v>
      </c>
      <c r="I11" s="62">
        <f t="shared" si="34"/>
        <v>23.03401807281347</v>
      </c>
      <c r="J11" s="62">
        <f t="shared" si="35"/>
        <v>186.36310287778684</v>
      </c>
      <c r="K11" s="62">
        <f t="shared" si="36"/>
        <v>926.84975302827365</v>
      </c>
      <c r="L11" s="62">
        <f t="shared" si="37"/>
        <v>740.50294885681342</v>
      </c>
      <c r="M11" s="62">
        <f t="shared" si="38"/>
        <v>16876.614430043704</v>
      </c>
      <c r="N11" s="62">
        <f t="shared" si="39"/>
        <v>186.34680417146024</v>
      </c>
      <c r="O11" s="2">
        <f t="shared" si="16"/>
        <v>105.90579070132827</v>
      </c>
      <c r="P11" s="2">
        <f t="shared" si="1"/>
        <v>1.5574380985489451</v>
      </c>
      <c r="Q11" s="2">
        <f t="shared" si="2"/>
        <v>0.90052112279234953</v>
      </c>
      <c r="R11" s="2">
        <f t="shared" si="3"/>
        <v>0.47980297732001259</v>
      </c>
      <c r="S11" s="67">
        <f t="shared" si="17"/>
        <v>4695.0349360821092</v>
      </c>
      <c r="T11" s="63">
        <f t="shared" si="40"/>
        <v>19604.888863080683</v>
      </c>
      <c r="U11" s="63">
        <f t="shared" si="41"/>
        <v>14093.897258650595</v>
      </c>
      <c r="V11" s="63">
        <f t="shared" si="42"/>
        <v>0.29080335438242522</v>
      </c>
      <c r="W11" s="63">
        <f t="shared" si="43"/>
        <v>171.0350233103554</v>
      </c>
      <c r="X11" s="63">
        <f t="shared" si="44"/>
        <v>1.839086272154359</v>
      </c>
      <c r="Y11" s="63">
        <f t="shared" si="45"/>
        <v>10.022153890729584</v>
      </c>
      <c r="Z11" s="63">
        <f t="shared" si="46"/>
        <v>-66.411982780930984</v>
      </c>
      <c r="AA11" s="63">
        <f t="shared" si="47"/>
        <v>259.95560598381866</v>
      </c>
      <c r="AB11" s="63">
        <f t="shared" si="48"/>
        <v>28.595532255541681</v>
      </c>
      <c r="AC11" s="63">
        <f t="shared" si="49"/>
        <v>231.36007372827697</v>
      </c>
      <c r="AD11" s="63">
        <f t="shared" si="50"/>
        <v>1090.388385860454</v>
      </c>
      <c r="AE11" s="63">
        <f t="shared" si="51"/>
        <v>962.11211837768747</v>
      </c>
      <c r="AF11" s="63">
        <f t="shared" si="52"/>
        <v>21742.915792808879</v>
      </c>
      <c r="AG11" s="63">
        <f t="shared" si="53"/>
        <v>128.27626748276657</v>
      </c>
      <c r="AH11" s="2">
        <f t="shared" si="18"/>
        <v>154.78665009708621</v>
      </c>
      <c r="AI11" s="2">
        <f t="shared" si="19"/>
        <v>1.6643725816890991</v>
      </c>
      <c r="AJ11" s="2">
        <f t="shared" si="4"/>
        <v>0.97633493137867744</v>
      </c>
      <c r="AK11" s="2">
        <f t="shared" si="5"/>
        <v>0.52019702267998746</v>
      </c>
      <c r="AL11" s="67">
        <f t="shared" si="20"/>
        <v>7331.6033919076772</v>
      </c>
      <c r="AM11" s="46">
        <v>0</v>
      </c>
      <c r="AN11" s="46">
        <f t="shared" si="6"/>
        <v>0</v>
      </c>
      <c r="AO11" s="46">
        <f t="shared" si="7"/>
        <v>0</v>
      </c>
      <c r="AP11" s="2">
        <f t="shared" si="54"/>
        <v>0</v>
      </c>
      <c r="AQ11" s="2">
        <f t="shared" si="21"/>
        <v>0</v>
      </c>
      <c r="AR11" s="2">
        <f t="shared" si="8"/>
        <v>0</v>
      </c>
      <c r="AS11" s="2">
        <f t="shared" si="22"/>
        <v>0</v>
      </c>
      <c r="AT11" s="64">
        <f t="shared" si="9"/>
        <v>23879.23657085473</v>
      </c>
      <c r="AU11" s="64">
        <f t="shared" si="10"/>
        <v>260.69244079841451</v>
      </c>
      <c r="AV11" s="64">
        <f t="shared" si="23"/>
        <v>4.7621733964125585</v>
      </c>
      <c r="AW11" s="64">
        <f t="shared" si="24"/>
        <v>1.4901063252693802E-2</v>
      </c>
      <c r="AX11" s="2">
        <f t="shared" si="11"/>
        <v>260.69244079841451</v>
      </c>
      <c r="AY11" s="2">
        <f t="shared" si="12"/>
        <v>3.2218106802380442</v>
      </c>
      <c r="AZ11" s="3">
        <f t="shared" si="13"/>
        <v>3.2459950691597852</v>
      </c>
      <c r="BA11" s="3">
        <f t="shared" si="14"/>
        <v>1.8768560541710269</v>
      </c>
      <c r="BB11" s="3">
        <f t="shared" si="15"/>
        <v>1</v>
      </c>
      <c r="BC11" s="68">
        <f t="shared" si="25"/>
        <v>12026.638327989785</v>
      </c>
      <c r="BD11" s="68">
        <f t="shared" si="26"/>
        <v>2.3591931084112128</v>
      </c>
      <c r="BE11" s="28" t="s">
        <v>28</v>
      </c>
      <c r="BF11" s="28">
        <v>1.00474215</v>
      </c>
      <c r="BG11" s="24"/>
      <c r="BH11" s="24" t="s">
        <v>8</v>
      </c>
      <c r="BI11" s="28">
        <v>1.7</v>
      </c>
      <c r="BJ11" s="28">
        <v>2.2000000000000002</v>
      </c>
      <c r="BK11" s="28">
        <v>1.3</v>
      </c>
      <c r="BL11" s="24"/>
      <c r="BM11" s="24"/>
    </row>
    <row r="12" spans="1:65">
      <c r="A12" s="62">
        <f t="shared" si="27"/>
        <v>16876.614430043704</v>
      </c>
      <c r="B12" s="62">
        <f t="shared" si="28"/>
        <v>10831.037015377093</v>
      </c>
      <c r="C12" s="62">
        <f t="shared" si="29"/>
        <v>0.50912354177227714</v>
      </c>
      <c r="D12" s="65">
        <f t="shared" si="30"/>
        <v>206.2147610819753</v>
      </c>
      <c r="E12" s="62">
        <f t="shared" si="0"/>
        <v>3.0325700159114013</v>
      </c>
      <c r="F12" s="62">
        <f t="shared" si="31"/>
        <v>8.6274412547639994</v>
      </c>
      <c r="G12" s="62">
        <f t="shared" si="32"/>
        <v>-9.9791333725966354</v>
      </c>
      <c r="H12" s="62">
        <f t="shared" si="33"/>
        <v>217.2399943686633</v>
      </c>
      <c r="I12" s="62">
        <f t="shared" si="34"/>
        <v>23.896746687392035</v>
      </c>
      <c r="J12" s="62">
        <f t="shared" si="35"/>
        <v>193.34324768127127</v>
      </c>
      <c r="K12" s="62">
        <f t="shared" si="36"/>
        <v>956.73710503375969</v>
      </c>
      <c r="L12" s="62">
        <f t="shared" si="37"/>
        <v>763.41076651940784</v>
      </c>
      <c r="M12" s="62">
        <f t="shared" si="38"/>
        <v>18573.082800086831</v>
      </c>
      <c r="N12" s="62">
        <f t="shared" si="39"/>
        <v>193.32633851435185</v>
      </c>
      <c r="O12" s="2">
        <f t="shared" si="16"/>
        <v>109.6533614081371</v>
      </c>
      <c r="P12" s="2">
        <f t="shared" si="1"/>
        <v>1.6125494324726044</v>
      </c>
      <c r="Q12" s="2">
        <f t="shared" si="2"/>
        <v>0.93424972968192832</v>
      </c>
      <c r="R12" s="2">
        <f t="shared" si="3"/>
        <v>0.49678123290865234</v>
      </c>
      <c r="S12" s="67">
        <f t="shared" si="17"/>
        <v>5380.6559221782818</v>
      </c>
      <c r="T12" s="63">
        <f t="shared" si="40"/>
        <v>21742.915792808879</v>
      </c>
      <c r="U12" s="63">
        <f t="shared" si="41"/>
        <v>15608.505236204657</v>
      </c>
      <c r="V12" s="63">
        <f t="shared" si="42"/>
        <v>0.25415684692938517</v>
      </c>
      <c r="W12" s="63">
        <f t="shared" si="43"/>
        <v>165.78332762854313</v>
      </c>
      <c r="X12" s="63">
        <f t="shared" si="44"/>
        <v>1.782616426113367</v>
      </c>
      <c r="Y12" s="63">
        <f t="shared" si="45"/>
        <v>11.115127947451318</v>
      </c>
      <c r="Z12" s="63">
        <f t="shared" si="46"/>
        <v>-79.70776531949366</v>
      </c>
      <c r="AA12" s="63">
        <f t="shared" si="47"/>
        <v>251.97356986639235</v>
      </c>
      <c r="AB12" s="63">
        <f t="shared" si="48"/>
        <v>27.717495521550372</v>
      </c>
      <c r="AC12" s="63">
        <f t="shared" si="49"/>
        <v>224.25607434484198</v>
      </c>
      <c r="AD12" s="63">
        <f t="shared" si="50"/>
        <v>1041.5726064047162</v>
      </c>
      <c r="AE12" s="63">
        <f t="shared" si="51"/>
        <v>917.2351106833089</v>
      </c>
      <c r="AF12" s="63">
        <f t="shared" si="52"/>
        <v>23781.216038771789</v>
      </c>
      <c r="AG12" s="63">
        <f t="shared" si="53"/>
        <v>124.33749572140732</v>
      </c>
      <c r="AH12" s="2">
        <f t="shared" si="18"/>
        <v>154.95051228455193</v>
      </c>
      <c r="AI12" s="2">
        <f t="shared" si="19"/>
        <v>1.6661345406941068</v>
      </c>
      <c r="AJ12" s="2">
        <f t="shared" si="4"/>
        <v>0.94635619460369647</v>
      </c>
      <c r="AK12" s="2">
        <f t="shared" si="5"/>
        <v>0.50321876709134772</v>
      </c>
      <c r="AL12" s="67">
        <f t="shared" si="20"/>
        <v>7854.4927611017529</v>
      </c>
      <c r="AM12" s="46">
        <v>0</v>
      </c>
      <c r="AN12" s="46">
        <f t="shared" si="6"/>
        <v>0</v>
      </c>
      <c r="AO12" s="46">
        <f t="shared" si="7"/>
        <v>0</v>
      </c>
      <c r="AP12" s="2">
        <f t="shared" si="54"/>
        <v>0</v>
      </c>
      <c r="AQ12" s="2">
        <f t="shared" si="21"/>
        <v>0</v>
      </c>
      <c r="AR12" s="2">
        <f t="shared" si="8"/>
        <v>0</v>
      </c>
      <c r="AS12" s="2">
        <f t="shared" si="22"/>
        <v>0</v>
      </c>
      <c r="AT12" s="64">
        <f t="shared" si="9"/>
        <v>26439.542251581748</v>
      </c>
      <c r="AU12" s="64">
        <f t="shared" si="10"/>
        <v>264.60387369268904</v>
      </c>
      <c r="AV12" s="64">
        <f t="shared" si="23"/>
        <v>4.8151864420247685</v>
      </c>
      <c r="AW12" s="64">
        <f t="shared" si="24"/>
        <v>-2.0141068184301059E-2</v>
      </c>
      <c r="AX12" s="2">
        <f t="shared" si="11"/>
        <v>264.60387369268904</v>
      </c>
      <c r="AY12" s="2">
        <f t="shared" si="12"/>
        <v>3.2786839731667112</v>
      </c>
      <c r="AZ12" s="3">
        <f t="shared" si="13"/>
        <v>3.2459950691597852</v>
      </c>
      <c r="BA12" s="3">
        <f t="shared" si="14"/>
        <v>1.8806059242856248</v>
      </c>
      <c r="BB12" s="3">
        <f t="shared" si="15"/>
        <v>1</v>
      </c>
      <c r="BC12" s="68">
        <f t="shared" si="25"/>
        <v>13235.148683280035</v>
      </c>
      <c r="BD12" s="68">
        <f t="shared" si="26"/>
        <v>2.4035699115318305</v>
      </c>
      <c r="BE12" s="28" t="s">
        <v>29</v>
      </c>
      <c r="BF12" s="28">
        <v>0.05</v>
      </c>
      <c r="BG12" s="24"/>
      <c r="BH12" s="24" t="s">
        <v>6</v>
      </c>
      <c r="BI12" s="28">
        <v>-46</v>
      </c>
      <c r="BJ12" s="28">
        <v>-46</v>
      </c>
      <c r="BK12" s="28">
        <v>5.3</v>
      </c>
      <c r="BL12" s="24"/>
    </row>
    <row r="13" spans="1:65">
      <c r="A13" s="62">
        <f t="shared" si="27"/>
        <v>18573.082800086831</v>
      </c>
      <c r="B13" s="62">
        <f t="shared" si="28"/>
        <v>11907.25692513668</v>
      </c>
      <c r="C13" s="62">
        <f t="shared" si="29"/>
        <v>0.47572119934853707</v>
      </c>
      <c r="D13" s="65">
        <f t="shared" si="30"/>
        <v>212.05462140616783</v>
      </c>
      <c r="E13" s="62">
        <f t="shared" si="0"/>
        <v>3.1184503147965859</v>
      </c>
      <c r="F13" s="62">
        <f t="shared" si="31"/>
        <v>9.4946875418544359</v>
      </c>
      <c r="G13" s="62">
        <f t="shared" si="32"/>
        <v>-16.034491620676903</v>
      </c>
      <c r="H13" s="62">
        <f t="shared" si="33"/>
        <v>223.39208172305518</v>
      </c>
      <c r="I13" s="62">
        <f t="shared" si="34"/>
        <v>24.573486131866158</v>
      </c>
      <c r="J13" s="62">
        <f t="shared" si="35"/>
        <v>198.81859559118902</v>
      </c>
      <c r="K13" s="62">
        <f t="shared" si="36"/>
        <v>978.05848633526819</v>
      </c>
      <c r="L13" s="62">
        <f t="shared" si="37"/>
        <v>779.25727876698579</v>
      </c>
      <c r="M13" s="62">
        <f t="shared" si="38"/>
        <v>20304.765641791244</v>
      </c>
      <c r="N13" s="62">
        <f t="shared" si="39"/>
        <v>198.80120756828239</v>
      </c>
      <c r="O13" s="2">
        <f t="shared" si="16"/>
        <v>113.33495680304516</v>
      </c>
      <c r="P13" s="2">
        <f t="shared" si="1"/>
        <v>1.6666905412212523</v>
      </c>
      <c r="Q13" s="2">
        <f t="shared" si="2"/>
        <v>0.96070704001524754</v>
      </c>
      <c r="R13" s="2">
        <f t="shared" si="3"/>
        <v>0.51346058934484751</v>
      </c>
      <c r="S13" s="67">
        <f t="shared" si="17"/>
        <v>6113.9071582611969</v>
      </c>
      <c r="T13" s="63">
        <f t="shared" si="40"/>
        <v>23781.216038771789</v>
      </c>
      <c r="U13" s="63">
        <f t="shared" si="41"/>
        <v>17050.446715156511</v>
      </c>
      <c r="V13" s="63">
        <f t="shared" si="42"/>
        <v>0.22352844318731982</v>
      </c>
      <c r="W13" s="63">
        <f t="shared" si="43"/>
        <v>159.47334594743936</v>
      </c>
      <c r="X13" s="63">
        <f t="shared" si="44"/>
        <v>1.7147671607251544</v>
      </c>
      <c r="Y13" s="63">
        <f t="shared" si="45"/>
        <v>12.157121038216649</v>
      </c>
      <c r="Z13" s="63">
        <f t="shared" si="46"/>
        <v>-93.310962413540182</v>
      </c>
      <c r="AA13" s="63">
        <f t="shared" si="47"/>
        <v>242.38304811295208</v>
      </c>
      <c r="AB13" s="63">
        <f t="shared" si="48"/>
        <v>26.662522796072601</v>
      </c>
      <c r="AC13" s="63">
        <f t="shared" si="49"/>
        <v>215.72052531687947</v>
      </c>
      <c r="AD13" s="63">
        <f t="shared" si="50"/>
        <v>985.29166417085708</v>
      </c>
      <c r="AE13" s="63">
        <f t="shared" si="51"/>
        <v>865.68665471027759</v>
      </c>
      <c r="AF13" s="63">
        <f t="shared" si="52"/>
        <v>25704.964160350184</v>
      </c>
      <c r="AG13" s="63">
        <f t="shared" si="53"/>
        <v>119.60500946057948</v>
      </c>
      <c r="AH13" s="2">
        <f t="shared" si="18"/>
        <v>154.85941758336148</v>
      </c>
      <c r="AI13" s="2">
        <f t="shared" si="19"/>
        <v>1.6651550277780804</v>
      </c>
      <c r="AJ13" s="2">
        <f t="shared" si="4"/>
        <v>0.91033634666622343</v>
      </c>
      <c r="AK13" s="2">
        <f t="shared" si="5"/>
        <v>0.48653941065515244</v>
      </c>
      <c r="AL13" s="67">
        <f t="shared" si="20"/>
        <v>8295.7142961993286</v>
      </c>
      <c r="AM13" s="46">
        <v>0</v>
      </c>
      <c r="AN13" s="46">
        <f t="shared" si="6"/>
        <v>0</v>
      </c>
      <c r="AO13" s="46">
        <f t="shared" si="7"/>
        <v>0</v>
      </c>
      <c r="AP13" s="2">
        <f t="shared" si="54"/>
        <v>0</v>
      </c>
      <c r="AQ13" s="2">
        <f t="shared" si="21"/>
        <v>0</v>
      </c>
      <c r="AR13" s="2">
        <f t="shared" si="8"/>
        <v>0</v>
      </c>
      <c r="AS13" s="2">
        <f t="shared" si="22"/>
        <v>0</v>
      </c>
      <c r="AT13" s="64">
        <f t="shared" si="9"/>
        <v>28957.703640293192</v>
      </c>
      <c r="AU13" s="64">
        <f t="shared" si="10"/>
        <v>268.19437438640665</v>
      </c>
      <c r="AV13" s="64">
        <f t="shared" si="23"/>
        <v>4.8332174755217405</v>
      </c>
      <c r="AW13" s="64">
        <f t="shared" si="24"/>
        <v>-5.2896260167005993E-2</v>
      </c>
      <c r="AX13" s="2">
        <f t="shared" si="11"/>
        <v>268.19437438640665</v>
      </c>
      <c r="AY13" s="2">
        <f t="shared" si="12"/>
        <v>3.3318455689993325</v>
      </c>
      <c r="AZ13" s="3">
        <f t="shared" si="13"/>
        <v>3.2459950691597852</v>
      </c>
      <c r="BA13" s="3">
        <f t="shared" si="14"/>
        <v>1.8710433866814711</v>
      </c>
      <c r="BB13" s="3">
        <f t="shared" si="15"/>
        <v>1</v>
      </c>
      <c r="BC13" s="68">
        <f t="shared" si="25"/>
        <v>14409.621454460525</v>
      </c>
      <c r="BD13" s="68">
        <f t="shared" si="26"/>
        <v>2.4355031402681058</v>
      </c>
      <c r="BE13" s="28" t="s">
        <v>30</v>
      </c>
      <c r="BF13" s="28">
        <v>2</v>
      </c>
      <c r="BG13" s="24"/>
      <c r="BH13" s="24" t="s">
        <v>7</v>
      </c>
      <c r="BI13" s="28">
        <v>71.900000000000006</v>
      </c>
      <c r="BJ13" s="28">
        <v>71.900000000000006</v>
      </c>
      <c r="BK13" s="28">
        <v>21.5</v>
      </c>
      <c r="BL13" s="24"/>
      <c r="BM13" t="s">
        <v>340</v>
      </c>
    </row>
    <row r="14" spans="1:65">
      <c r="A14" s="62">
        <f t="shared" si="27"/>
        <v>20304.765641791244</v>
      </c>
      <c r="B14" s="62">
        <f t="shared" si="28"/>
        <v>13004.056975734653</v>
      </c>
      <c r="C14" s="62">
        <f t="shared" si="29"/>
        <v>0.44388461534536022</v>
      </c>
      <c r="D14" s="65">
        <f t="shared" si="30"/>
        <v>216.31135407802063</v>
      </c>
      <c r="E14" s="62">
        <f t="shared" si="0"/>
        <v>3.1810493246767741</v>
      </c>
      <c r="F14" s="62">
        <f t="shared" si="31"/>
        <v>10.379935708814479</v>
      </c>
      <c r="G14" s="62">
        <f t="shared" si="32"/>
        <v>-23.098130272600642</v>
      </c>
      <c r="H14" s="62">
        <f t="shared" si="33"/>
        <v>227.8763998039253</v>
      </c>
      <c r="I14" s="62">
        <f t="shared" si="34"/>
        <v>25.066768289949763</v>
      </c>
      <c r="J14" s="62">
        <f t="shared" si="35"/>
        <v>202.80963151397555</v>
      </c>
      <c r="K14" s="62">
        <f t="shared" si="36"/>
        <v>990.95002729727707</v>
      </c>
      <c r="L14" s="62">
        <f t="shared" si="37"/>
        <v>788.1581328491327</v>
      </c>
      <c r="M14" s="62">
        <f t="shared" si="38"/>
        <v>22056.22815923376</v>
      </c>
      <c r="N14" s="62">
        <f t="shared" si="39"/>
        <v>202.79189444814438</v>
      </c>
      <c r="O14" s="2">
        <f t="shared" si="16"/>
        <v>116.82036894077739</v>
      </c>
      <c r="P14" s="2">
        <f t="shared" si="1"/>
        <v>1.7179466020702556</v>
      </c>
      <c r="Q14" s="2">
        <f t="shared" si="2"/>
        <v>0.97999203846608984</v>
      </c>
      <c r="R14" s="2">
        <f t="shared" si="3"/>
        <v>0.52925114347599433</v>
      </c>
      <c r="S14" s="67">
        <f t="shared" si="17"/>
        <v>6882.4120242345462</v>
      </c>
      <c r="T14" s="63">
        <f t="shared" si="40"/>
        <v>25704.964160350184</v>
      </c>
      <c r="U14" s="63">
        <f t="shared" si="41"/>
        <v>18409.997899796072</v>
      </c>
      <c r="V14" s="63">
        <f t="shared" si="42"/>
        <v>0.19801495078916839</v>
      </c>
      <c r="W14" s="63">
        <f t="shared" si="43"/>
        <v>152.69901639747235</v>
      </c>
      <c r="X14" s="63">
        <f t="shared" si="44"/>
        <v>1.6419249074997027</v>
      </c>
      <c r="Y14" s="63">
        <f t="shared" si="45"/>
        <v>13.140554295916383</v>
      </c>
      <c r="Z14" s="63">
        <f t="shared" si="46"/>
        <v>-106.79619946927968</v>
      </c>
      <c r="AA14" s="63">
        <f t="shared" si="47"/>
        <v>232.08676546153129</v>
      </c>
      <c r="AB14" s="63">
        <f t="shared" si="48"/>
        <v>25.529915243499932</v>
      </c>
      <c r="AC14" s="63">
        <f t="shared" si="49"/>
        <v>206.55685021803134</v>
      </c>
      <c r="AD14" s="63">
        <f t="shared" si="50"/>
        <v>925.98805162087694</v>
      </c>
      <c r="AE14" s="63">
        <f t="shared" si="51"/>
        <v>811.46378932277264</v>
      </c>
      <c r="AF14" s="63">
        <f t="shared" si="52"/>
        <v>27508.217025511902</v>
      </c>
      <c r="AG14" s="63">
        <f t="shared" si="53"/>
        <v>114.5242622981043</v>
      </c>
      <c r="AH14" s="2">
        <f t="shared" si="18"/>
        <v>152.69901639747235</v>
      </c>
      <c r="AI14" s="2">
        <f t="shared" si="19"/>
        <v>1.6419249074997027</v>
      </c>
      <c r="AJ14" s="2">
        <f t="shared" si="4"/>
        <v>0.87166581914331964</v>
      </c>
      <c r="AK14" s="2">
        <f t="shared" si="5"/>
        <v>0.47074885652400567</v>
      </c>
      <c r="AL14" s="67">
        <f t="shared" si="20"/>
        <v>8666.485459938347</v>
      </c>
      <c r="AM14" s="46">
        <v>0</v>
      </c>
      <c r="AN14" s="46">
        <f t="shared" si="6"/>
        <v>0</v>
      </c>
      <c r="AO14" s="46">
        <f t="shared" si="7"/>
        <v>0</v>
      </c>
      <c r="AP14" s="2">
        <f t="shared" si="54"/>
        <v>0</v>
      </c>
      <c r="AQ14" s="2">
        <f t="shared" si="21"/>
        <v>0</v>
      </c>
      <c r="AR14" s="2">
        <f t="shared" si="8"/>
        <v>0</v>
      </c>
      <c r="AS14" s="2">
        <f t="shared" si="22"/>
        <v>0</v>
      </c>
      <c r="AT14" s="64">
        <f t="shared" si="9"/>
        <v>31414.054875530725</v>
      </c>
      <c r="AU14" s="64">
        <f t="shared" si="10"/>
        <v>269.51938533824972</v>
      </c>
      <c r="AV14" s="64">
        <f t="shared" si="23"/>
        <v>4.8229742321764766</v>
      </c>
      <c r="AW14" s="64">
        <f t="shared" si="24"/>
        <v>-7.0164271962156466E-2</v>
      </c>
      <c r="AX14" s="2">
        <f t="shared" si="11"/>
        <v>269.51938533824972</v>
      </c>
      <c r="AY14" s="2">
        <f t="shared" si="12"/>
        <v>3.3598715095699583</v>
      </c>
      <c r="AZ14" s="3">
        <f t="shared" si="13"/>
        <v>3.2459950691597852</v>
      </c>
      <c r="BA14" s="3">
        <f t="shared" si="14"/>
        <v>1.8516578576094096</v>
      </c>
      <c r="BB14" s="3">
        <f t="shared" si="15"/>
        <v>1</v>
      </c>
      <c r="BC14" s="68">
        <f t="shared" si="25"/>
        <v>15548.897484172892</v>
      </c>
      <c r="BD14" s="68">
        <f t="shared" si="26"/>
        <v>2.456508265242491</v>
      </c>
      <c r="BE14" s="28" t="s">
        <v>145</v>
      </c>
      <c r="BF14" s="28">
        <v>2</v>
      </c>
      <c r="BG14" s="24"/>
      <c r="BH14" s="24" t="s">
        <v>351</v>
      </c>
      <c r="BI14" s="28">
        <v>0.09</v>
      </c>
      <c r="BJ14" s="28">
        <v>0.11</v>
      </c>
      <c r="BK14" s="28">
        <v>0.1</v>
      </c>
      <c r="BL14" s="24"/>
    </row>
    <row r="15" spans="1:65">
      <c r="A15" s="62">
        <f t="shared" si="27"/>
        <v>22056.22815923376</v>
      </c>
      <c r="B15" s="62">
        <f t="shared" si="28"/>
        <v>14111.73509439529</v>
      </c>
      <c r="C15" s="62">
        <f t="shared" si="29"/>
        <v>0.41385106081535944</v>
      </c>
      <c r="D15" s="65">
        <f t="shared" si="30"/>
        <v>219.07184211082784</v>
      </c>
      <c r="E15" s="62">
        <f t="shared" si="0"/>
        <v>3.2216447369239387</v>
      </c>
      <c r="F15" s="62">
        <f t="shared" si="31"/>
        <v>11.275295381916713</v>
      </c>
      <c r="G15" s="62">
        <f t="shared" si="32"/>
        <v>-31.093979084728716</v>
      </c>
      <c r="H15" s="62">
        <f t="shared" si="33"/>
        <v>230.78447680847788</v>
      </c>
      <c r="I15" s="62">
        <f t="shared" si="34"/>
        <v>25.38666140966367</v>
      </c>
      <c r="J15" s="62">
        <f t="shared" si="35"/>
        <v>205.3978153988142</v>
      </c>
      <c r="K15" s="62">
        <f t="shared" si="36"/>
        <v>995.89509790934221</v>
      </c>
      <c r="L15" s="62">
        <f t="shared" si="37"/>
        <v>790.5152459304411</v>
      </c>
      <c r="M15" s="62">
        <f t="shared" si="38"/>
        <v>23812.928705745853</v>
      </c>
      <c r="N15" s="62">
        <f t="shared" si="39"/>
        <v>205.37985197890112</v>
      </c>
      <c r="O15" s="2">
        <f t="shared" si="16"/>
        <v>120.03024249761143</v>
      </c>
      <c r="P15" s="2">
        <f t="shared" si="1"/>
        <v>1.7651506249648738</v>
      </c>
      <c r="Q15" s="2">
        <f t="shared" si="2"/>
        <v>0.99249834589485397</v>
      </c>
      <c r="R15" s="2">
        <f t="shared" si="3"/>
        <v>0.54379337841131625</v>
      </c>
      <c r="S15" s="67">
        <f t="shared" si="17"/>
        <v>7673.8681022267492</v>
      </c>
      <c r="T15" s="63">
        <f t="shared" si="40"/>
        <v>27508.217025511902</v>
      </c>
      <c r="U15" s="63">
        <f t="shared" si="41"/>
        <v>19683.533104510923</v>
      </c>
      <c r="V15" s="63">
        <f t="shared" si="42"/>
        <v>0.17675023005763249</v>
      </c>
      <c r="W15" s="63">
        <f t="shared" si="43"/>
        <v>145.86251063203534</v>
      </c>
      <c r="X15" s="63">
        <f t="shared" si="44"/>
        <v>1.5684140928175843</v>
      </c>
      <c r="Y15" s="63">
        <f t="shared" si="45"/>
        <v>14.0623895506208</v>
      </c>
      <c r="Z15" s="63">
        <f t="shared" si="46"/>
        <v>-119.86254209376121</v>
      </c>
      <c r="AA15" s="63">
        <f t="shared" si="47"/>
        <v>221.69598137141418</v>
      </c>
      <c r="AB15" s="63">
        <f t="shared" si="48"/>
        <v>24.386912381588932</v>
      </c>
      <c r="AC15" s="63">
        <f t="shared" si="49"/>
        <v>197.30906898982525</v>
      </c>
      <c r="AD15" s="63">
        <f t="shared" si="50"/>
        <v>866.68280285536503</v>
      </c>
      <c r="AE15" s="63">
        <f t="shared" si="51"/>
        <v>757.28591988133849</v>
      </c>
      <c r="AF15" s="63">
        <f t="shared" si="52"/>
        <v>29191.074625248209</v>
      </c>
      <c r="AG15" s="63">
        <f t="shared" si="53"/>
        <v>109.39688297402654</v>
      </c>
      <c r="AH15" s="2">
        <f t="shared" si="18"/>
        <v>145.86251063203534</v>
      </c>
      <c r="AI15" s="2">
        <f t="shared" si="19"/>
        <v>1.5684140928175843</v>
      </c>
      <c r="AJ15" s="2">
        <f t="shared" si="4"/>
        <v>0.83264036541939945</v>
      </c>
      <c r="AK15" s="2">
        <f t="shared" si="5"/>
        <v>0.45620662158868369</v>
      </c>
      <c r="AL15" s="67">
        <f t="shared" si="20"/>
        <v>8979.7581385379435</v>
      </c>
      <c r="AM15" s="46">
        <v>0</v>
      </c>
      <c r="AN15" s="46">
        <f t="shared" si="6"/>
        <v>0</v>
      </c>
      <c r="AO15" s="46">
        <f t="shared" si="7"/>
        <v>0</v>
      </c>
      <c r="AP15" s="2">
        <f t="shared" si="54"/>
        <v>0</v>
      </c>
      <c r="AQ15" s="2">
        <f t="shared" si="21"/>
        <v>0</v>
      </c>
      <c r="AR15" s="2">
        <f t="shared" si="8"/>
        <v>0</v>
      </c>
      <c r="AS15" s="2">
        <f t="shared" si="22"/>
        <v>0</v>
      </c>
      <c r="AT15" s="64">
        <f t="shared" si="9"/>
        <v>33795.268198906211</v>
      </c>
      <c r="AU15" s="64">
        <f t="shared" si="10"/>
        <v>265.89275312964674</v>
      </c>
      <c r="AV15" s="64">
        <f t="shared" si="23"/>
        <v>4.7900588297415228</v>
      </c>
      <c r="AW15" s="64">
        <f t="shared" si="24"/>
        <v>-5.3955503170459274E-2</v>
      </c>
      <c r="AX15" s="2">
        <f t="shared" si="11"/>
        <v>265.89275312964674</v>
      </c>
      <c r="AY15" s="2">
        <f t="shared" si="12"/>
        <v>3.3335647177824583</v>
      </c>
      <c r="AZ15" s="3">
        <f t="shared" si="13"/>
        <v>3.2459950691597852</v>
      </c>
      <c r="BA15" s="3">
        <f t="shared" si="14"/>
        <v>1.8251387113142534</v>
      </c>
      <c r="BB15" s="3">
        <f t="shared" si="15"/>
        <v>1</v>
      </c>
      <c r="BC15" s="68">
        <f t="shared" si="25"/>
        <v>16653.626240764694</v>
      </c>
      <c r="BD15" s="68">
        <f t="shared" si="26"/>
        <v>2.4674299700692952</v>
      </c>
      <c r="BE15" s="28" t="s">
        <v>19</v>
      </c>
      <c r="BF15" s="28">
        <v>13.8315153</v>
      </c>
      <c r="BG15" s="24"/>
      <c r="BH15" s="24" t="s">
        <v>113</v>
      </c>
      <c r="BI15" s="28">
        <v>0.75</v>
      </c>
      <c r="BJ15" s="28">
        <v>0.75</v>
      </c>
      <c r="BK15" s="28">
        <v>0.75</v>
      </c>
      <c r="BL15" s="24"/>
    </row>
    <row r="16" spans="1:65">
      <c r="A16" s="62">
        <f t="shared" si="27"/>
        <v>23812.928705745853</v>
      </c>
      <c r="B16" s="62">
        <f t="shared" si="28"/>
        <v>15221.216926730716</v>
      </c>
      <c r="C16" s="62">
        <f t="shared" si="29"/>
        <v>0.38576876314692077</v>
      </c>
      <c r="D16" s="65">
        <f t="shared" si="30"/>
        <v>220.47081728931317</v>
      </c>
      <c r="E16" s="62">
        <f t="shared" si="0"/>
        <v>3.2422179013134289</v>
      </c>
      <c r="F16" s="62">
        <f t="shared" si="31"/>
        <v>12.173332771469473</v>
      </c>
      <c r="G16" s="62">
        <f t="shared" si="32"/>
        <v>-39.912009058923488</v>
      </c>
      <c r="H16" s="62">
        <f t="shared" si="33"/>
        <v>232.25824793088188</v>
      </c>
      <c r="I16" s="62">
        <f t="shared" si="34"/>
        <v>25.548778589281685</v>
      </c>
      <c r="J16" s="62">
        <f t="shared" si="35"/>
        <v>206.7094693416002</v>
      </c>
      <c r="K16" s="62">
        <f t="shared" si="36"/>
        <v>993.63533764907754</v>
      </c>
      <c r="L16" s="62">
        <f t="shared" si="37"/>
        <v>786.94394644034639</v>
      </c>
      <c r="M16" s="62">
        <f t="shared" si="38"/>
        <v>25561.693031168845</v>
      </c>
      <c r="N16" s="62">
        <f t="shared" si="39"/>
        <v>206.69139120873115</v>
      </c>
      <c r="O16" s="2">
        <f t="shared" si="16"/>
        <v>122.92545467959654</v>
      </c>
      <c r="P16" s="2">
        <f t="shared" si="1"/>
        <v>1.8077272746999491</v>
      </c>
      <c r="Q16" s="2">
        <f t="shared" si="2"/>
        <v>0.99883636057175718</v>
      </c>
      <c r="R16" s="2">
        <f t="shared" si="3"/>
        <v>0.55691004951768863</v>
      </c>
      <c r="S16" s="67">
        <f t="shared" si="17"/>
        <v>8476.8486723850838</v>
      </c>
      <c r="T16" s="63">
        <f t="shared" si="40"/>
        <v>29191.074625248209</v>
      </c>
      <c r="U16" s="63">
        <f t="shared" si="41"/>
        <v>20871.525494558264</v>
      </c>
      <c r="V16" s="63">
        <f t="shared" si="42"/>
        <v>0.15897032945274522</v>
      </c>
      <c r="W16" s="63">
        <f t="shared" si="43"/>
        <v>139.21544250766138</v>
      </c>
      <c r="X16" s="63">
        <f t="shared" si="44"/>
        <v>1.4969402420178644</v>
      </c>
      <c r="Y16" s="63">
        <f t="shared" si="45"/>
        <v>14.922677918411669</v>
      </c>
      <c r="Z16" s="63">
        <f t="shared" si="46"/>
        <v>-132.32220117536113</v>
      </c>
      <c r="AA16" s="63">
        <f t="shared" si="47"/>
        <v>211.5931229694138</v>
      </c>
      <c r="AB16" s="63">
        <f t="shared" si="48"/>
        <v>23.275581805684542</v>
      </c>
      <c r="AC16" s="63">
        <f t="shared" si="49"/>
        <v>188.31754116372926</v>
      </c>
      <c r="AD16" s="63">
        <f t="shared" si="50"/>
        <v>809.26550464328523</v>
      </c>
      <c r="AE16" s="63">
        <f t="shared" si="51"/>
        <v>704.85392276253924</v>
      </c>
      <c r="AF16" s="63">
        <f t="shared" si="52"/>
        <v>30757.416675831631</v>
      </c>
      <c r="AG16" s="63">
        <f t="shared" si="53"/>
        <v>104.41158188074598</v>
      </c>
      <c r="AH16" s="2">
        <f t="shared" si="18"/>
        <v>139.21544250766138</v>
      </c>
      <c r="AI16" s="2">
        <f t="shared" si="19"/>
        <v>1.4969402420178644</v>
      </c>
      <c r="AJ16" s="2">
        <f t="shared" si="4"/>
        <v>0.79469629597986791</v>
      </c>
      <c r="AK16" s="2">
        <f t="shared" si="5"/>
        <v>0.44308995048231137</v>
      </c>
      <c r="AL16" s="67">
        <f t="shared" si="20"/>
        <v>9247.9631978741199</v>
      </c>
      <c r="AM16" s="46">
        <v>0</v>
      </c>
      <c r="AN16" s="46">
        <f t="shared" si="6"/>
        <v>0</v>
      </c>
      <c r="AO16" s="46">
        <f t="shared" si="7"/>
        <v>0</v>
      </c>
      <c r="AP16" s="2">
        <f t="shared" si="54"/>
        <v>0</v>
      </c>
      <c r="AQ16" s="2">
        <f t="shared" si="21"/>
        <v>0</v>
      </c>
      <c r="AR16" s="2">
        <f t="shared" si="8"/>
        <v>0</v>
      </c>
      <c r="AS16" s="2">
        <f t="shared" si="22"/>
        <v>0</v>
      </c>
      <c r="AT16" s="64">
        <f t="shared" si="9"/>
        <v>36092.742421288982</v>
      </c>
      <c r="AU16" s="64">
        <f t="shared" si="10"/>
        <v>262.14089718725791</v>
      </c>
      <c r="AV16" s="64">
        <f t="shared" si="23"/>
        <v>4.7391581433312933</v>
      </c>
      <c r="AW16" s="64">
        <f t="shared" si="24"/>
        <v>-3.6150669553059789E-2</v>
      </c>
      <c r="AX16" s="2">
        <f t="shared" si="11"/>
        <v>262.14089718725791</v>
      </c>
      <c r="AY16" s="2">
        <f t="shared" si="12"/>
        <v>3.3046675167178137</v>
      </c>
      <c r="AZ16" s="3">
        <f t="shared" si="13"/>
        <v>3.2459950691597852</v>
      </c>
      <c r="BA16" s="3">
        <f t="shared" si="14"/>
        <v>1.793532656551625</v>
      </c>
      <c r="BB16" s="3">
        <f t="shared" si="15"/>
        <v>1</v>
      </c>
      <c r="BC16" s="68">
        <f t="shared" si="25"/>
        <v>17724.811870259204</v>
      </c>
      <c r="BD16" s="68">
        <f t="shared" si="26"/>
        <v>2.4689029096782731</v>
      </c>
      <c r="BE16" s="28" t="s">
        <v>359</v>
      </c>
      <c r="BF16" s="28">
        <v>31</v>
      </c>
      <c r="BG16" s="24"/>
      <c r="BH16" s="24" t="s">
        <v>357</v>
      </c>
      <c r="BI16" s="28">
        <v>0.37</v>
      </c>
      <c r="BJ16" s="28">
        <v>0.28999999999999998</v>
      </c>
      <c r="BK16" s="28">
        <v>0.33</v>
      </c>
      <c r="BL16" s="24"/>
      <c r="BM16" s="24"/>
    </row>
    <row r="17" spans="1:65">
      <c r="A17" s="62">
        <f t="shared" si="27"/>
        <v>25561.693031168845</v>
      </c>
      <c r="B17" s="62">
        <f t="shared" si="28"/>
        <v>16324.337426925686</v>
      </c>
      <c r="C17" s="62">
        <f t="shared" si="29"/>
        <v>0.35970618942331029</v>
      </c>
      <c r="D17" s="65">
        <f t="shared" si="30"/>
        <v>220.67278069080314</v>
      </c>
      <c r="E17" s="62">
        <f t="shared" si="0"/>
        <v>3.2451879513353403</v>
      </c>
      <c r="F17" s="62">
        <f t="shared" si="31"/>
        <v>13.067313110272224</v>
      </c>
      <c r="G17" s="62">
        <f t="shared" si="32"/>
        <v>-49.419117425396948</v>
      </c>
      <c r="H17" s="62">
        <f t="shared" si="33"/>
        <v>232.4710092675202</v>
      </c>
      <c r="I17" s="62">
        <f t="shared" si="34"/>
        <v>25.572182676458603</v>
      </c>
      <c r="J17" s="62">
        <f t="shared" si="35"/>
        <v>206.89882659106161</v>
      </c>
      <c r="K17" s="62">
        <f t="shared" si="36"/>
        <v>985.07501552991107</v>
      </c>
      <c r="L17" s="62">
        <f t="shared" si="37"/>
        <v>778.19428363228315</v>
      </c>
      <c r="M17" s="62">
        <f t="shared" si="38"/>
        <v>27291.013661462806</v>
      </c>
      <c r="N17" s="62">
        <f t="shared" si="39"/>
        <v>206.88073189762792</v>
      </c>
      <c r="O17" s="2">
        <f t="shared" si="16"/>
        <v>125.49581468384177</v>
      </c>
      <c r="P17" s="2">
        <f t="shared" si="1"/>
        <v>1.845526686527085</v>
      </c>
      <c r="Q17" s="2">
        <f t="shared" si="2"/>
        <v>0.99975134964556378</v>
      </c>
      <c r="R17" s="2">
        <f t="shared" si="3"/>
        <v>0.56855498767125157</v>
      </c>
      <c r="S17" s="67">
        <f t="shared" si="17"/>
        <v>9281.2834645070834</v>
      </c>
      <c r="T17" s="63">
        <f t="shared" si="40"/>
        <v>30757.416675831631</v>
      </c>
      <c r="U17" s="63">
        <f t="shared" si="41"/>
        <v>21976.981282348119</v>
      </c>
      <c r="V17" s="63">
        <f t="shared" si="42"/>
        <v>0.14403236458783084</v>
      </c>
      <c r="W17" s="63">
        <f t="shared" si="43"/>
        <v>132.90190357299628</v>
      </c>
      <c r="X17" s="63">
        <f t="shared" si="44"/>
        <v>1.4290527265913577</v>
      </c>
      <c r="Y17" s="63">
        <f t="shared" si="45"/>
        <v>15.723402736904784</v>
      </c>
      <c r="Z17" s="63">
        <f t="shared" si="46"/>
        <v>-144.07510756995975</v>
      </c>
      <c r="AA17" s="63">
        <f t="shared" si="47"/>
        <v>201.99719455722447</v>
      </c>
      <c r="AB17" s="63">
        <f t="shared" si="48"/>
        <v>22.220014339100615</v>
      </c>
      <c r="AC17" s="63">
        <f t="shared" si="49"/>
        <v>179.77718021812387</v>
      </c>
      <c r="AD17" s="63">
        <f t="shared" si="50"/>
        <v>754.81079352065967</v>
      </c>
      <c r="AE17" s="63">
        <f t="shared" si="51"/>
        <v>655.13436584091244</v>
      </c>
      <c r="AF17" s="63">
        <f t="shared" si="52"/>
        <v>32213.270822144768</v>
      </c>
      <c r="AG17" s="63">
        <f t="shared" si="53"/>
        <v>99.676427679747235</v>
      </c>
      <c r="AH17" s="2">
        <f t="shared" si="18"/>
        <v>132.90190357299628</v>
      </c>
      <c r="AI17" s="2">
        <f t="shared" si="19"/>
        <v>1.4290527265913577</v>
      </c>
      <c r="AJ17" s="2">
        <f t="shared" si="4"/>
        <v>0.75865614184519325</v>
      </c>
      <c r="AK17" s="2">
        <f t="shared" si="5"/>
        <v>0.43144501232874843</v>
      </c>
      <c r="AL17" s="67">
        <f t="shared" si="20"/>
        <v>9481.8589603113578</v>
      </c>
      <c r="AM17" s="46">
        <v>0</v>
      </c>
      <c r="AN17" s="46">
        <f t="shared" si="6"/>
        <v>0</v>
      </c>
      <c r="AO17" s="46">
        <f t="shared" si="7"/>
        <v>0</v>
      </c>
      <c r="AP17" s="2">
        <f t="shared" si="54"/>
        <v>0</v>
      </c>
      <c r="AQ17" s="2">
        <f t="shared" si="21"/>
        <v>0</v>
      </c>
      <c r="AR17" s="2">
        <f t="shared" si="8"/>
        <v>0</v>
      </c>
      <c r="AS17" s="2">
        <f t="shared" si="22"/>
        <v>0</v>
      </c>
      <c r="AT17" s="64">
        <f t="shared" si="9"/>
        <v>38301.318709273808</v>
      </c>
      <c r="AU17" s="64">
        <f t="shared" si="10"/>
        <v>258.39771825683806</v>
      </c>
      <c r="AV17" s="64">
        <f t="shared" si="23"/>
        <v>4.6742406779266981</v>
      </c>
      <c r="AW17" s="64">
        <f t="shared" si="24"/>
        <v>-1.7612068625881383E-2</v>
      </c>
      <c r="AX17" s="2">
        <f t="shared" si="11"/>
        <v>258.39771825683806</v>
      </c>
      <c r="AY17" s="2">
        <f t="shared" si="12"/>
        <v>3.2745794131184427</v>
      </c>
      <c r="AZ17" s="3">
        <f t="shared" si="13"/>
        <v>3.2459950691597852</v>
      </c>
      <c r="BA17" s="3">
        <f t="shared" si="14"/>
        <v>1.758407491490757</v>
      </c>
      <c r="BB17" s="3">
        <f t="shared" si="15"/>
        <v>1</v>
      </c>
      <c r="BC17" s="68">
        <f t="shared" si="25"/>
        <v>18763.142424818441</v>
      </c>
      <c r="BD17" s="68">
        <f t="shared" si="26"/>
        <v>2.4616254669049984</v>
      </c>
      <c r="BE17" s="28" t="s">
        <v>11</v>
      </c>
      <c r="BF17" s="28">
        <v>51694.13</v>
      </c>
      <c r="BG17" s="24"/>
      <c r="BH17" s="24" t="s">
        <v>2</v>
      </c>
      <c r="BI17" s="28">
        <v>22.15</v>
      </c>
      <c r="BJ17" s="28">
        <v>22.15</v>
      </c>
      <c r="BK17" s="28">
        <v>22.15</v>
      </c>
      <c r="BL17" s="24"/>
      <c r="BM17" s="24"/>
    </row>
    <row r="18" spans="1:65">
      <c r="A18" s="62">
        <f t="shared" si="27"/>
        <v>27291.013661462806</v>
      </c>
      <c r="B18" s="62">
        <f t="shared" si="28"/>
        <v>17414.011387412371</v>
      </c>
      <c r="C18" s="62">
        <f t="shared" si="29"/>
        <v>0.33566536712667705</v>
      </c>
      <c r="D18" s="65">
        <f t="shared" si="30"/>
        <v>219.85555487841773</v>
      </c>
      <c r="E18" s="62">
        <f t="shared" si="0"/>
        <v>3.2331699246826138</v>
      </c>
      <c r="F18" s="62">
        <f t="shared" si="31"/>
        <v>13.951353698528642</v>
      </c>
      <c r="G18" s="62">
        <f t="shared" si="32"/>
        <v>-59.470512180003766</v>
      </c>
      <c r="H18" s="62">
        <f t="shared" si="33"/>
        <v>231.61009063129339</v>
      </c>
      <c r="I18" s="62">
        <f t="shared" si="34"/>
        <v>25.477480250102186</v>
      </c>
      <c r="J18" s="62">
        <f t="shared" si="35"/>
        <v>206.1326103811912</v>
      </c>
      <c r="K18" s="62">
        <f t="shared" si="36"/>
        <v>971.19253972595232</v>
      </c>
      <c r="L18" s="62">
        <f t="shared" si="37"/>
        <v>765.07795702743567</v>
      </c>
      <c r="M18" s="62">
        <f t="shared" si="38"/>
        <v>28991.186899301552</v>
      </c>
      <c r="N18" s="62">
        <f t="shared" si="39"/>
        <v>206.11458269851664</v>
      </c>
      <c r="O18" s="2">
        <f t="shared" si="16"/>
        <v>127.75017687680254</v>
      </c>
      <c r="P18" s="2">
        <f t="shared" si="1"/>
        <v>1.8786790717176844</v>
      </c>
      <c r="Q18" s="2">
        <f t="shared" si="2"/>
        <v>0.99604893285297225</v>
      </c>
      <c r="R18" s="2">
        <f t="shared" si="3"/>
        <v>0.57876830731106876</v>
      </c>
      <c r="S18" s="67">
        <f t="shared" si="17"/>
        <v>10078.677894188333</v>
      </c>
      <c r="T18" s="63">
        <f t="shared" si="40"/>
        <v>32213.270822144768</v>
      </c>
      <c r="U18" s="63">
        <f t="shared" si="41"/>
        <v>23004.324187295781</v>
      </c>
      <c r="V18" s="63">
        <f t="shared" si="42"/>
        <v>0.13140960715452765</v>
      </c>
      <c r="W18" s="63">
        <f t="shared" si="43"/>
        <v>126.99399791701354</v>
      </c>
      <c r="X18" s="63">
        <f t="shared" si="44"/>
        <v>1.3655268593227263</v>
      </c>
      <c r="Y18" s="63">
        <f t="shared" si="45"/>
        <v>16.467645379579693</v>
      </c>
      <c r="Z18" s="63">
        <f t="shared" si="46"/>
        <v>-155.08261593786517</v>
      </c>
      <c r="AA18" s="63">
        <f t="shared" si="47"/>
        <v>193.01778691795161</v>
      </c>
      <c r="AB18" s="63">
        <f t="shared" si="48"/>
        <v>21.232265143184186</v>
      </c>
      <c r="AC18" s="63">
        <f t="shared" si="49"/>
        <v>171.78552177476743</v>
      </c>
      <c r="AD18" s="63">
        <f t="shared" si="50"/>
        <v>703.84499293597196</v>
      </c>
      <c r="AE18" s="63">
        <f t="shared" si="51"/>
        <v>608.59949449821181</v>
      </c>
      <c r="AF18" s="63">
        <f t="shared" si="52"/>
        <v>33565.714143251906</v>
      </c>
      <c r="AG18" s="63">
        <f t="shared" si="53"/>
        <v>95.245498437760148</v>
      </c>
      <c r="AH18" s="2">
        <f t="shared" si="18"/>
        <v>126.99399791701354</v>
      </c>
      <c r="AI18" s="2">
        <f t="shared" si="19"/>
        <v>1.3655268593227263</v>
      </c>
      <c r="AJ18" s="2">
        <f t="shared" si="4"/>
        <v>0.72493150140848595</v>
      </c>
      <c r="AK18" s="2">
        <f t="shared" si="5"/>
        <v>0.42123169268893118</v>
      </c>
      <c r="AL18" s="67">
        <f t="shared" si="20"/>
        <v>9690.1504165795232</v>
      </c>
      <c r="AM18" s="46">
        <v>0</v>
      </c>
      <c r="AN18" s="46">
        <f t="shared" si="6"/>
        <v>0</v>
      </c>
      <c r="AO18" s="46">
        <f t="shared" si="7"/>
        <v>0</v>
      </c>
      <c r="AP18" s="2">
        <f t="shared" si="54"/>
        <v>0</v>
      </c>
      <c r="AQ18" s="2">
        <f t="shared" si="21"/>
        <v>0</v>
      </c>
      <c r="AR18" s="2">
        <f t="shared" si="8"/>
        <v>0</v>
      </c>
      <c r="AS18" s="2">
        <f t="shared" si="22"/>
        <v>0</v>
      </c>
      <c r="AT18" s="64">
        <f t="shared" si="9"/>
        <v>40418.335574708151</v>
      </c>
      <c r="AU18" s="64">
        <f t="shared" si="10"/>
        <v>254.74417479381609</v>
      </c>
      <c r="AV18" s="64">
        <f t="shared" si="23"/>
        <v>4.5986967840053401</v>
      </c>
      <c r="AW18" s="64">
        <f t="shared" si="24"/>
        <v>1.1023665047262821E-3</v>
      </c>
      <c r="AX18" s="2">
        <f t="shared" si="11"/>
        <v>254.74417479381609</v>
      </c>
      <c r="AY18" s="2">
        <f t="shared" si="12"/>
        <v>3.244205931040411</v>
      </c>
      <c r="AZ18" s="3">
        <f t="shared" si="13"/>
        <v>3.2459950691597852</v>
      </c>
      <c r="BA18" s="3">
        <f t="shared" si="14"/>
        <v>1.7209804342614583</v>
      </c>
      <c r="BB18" s="3">
        <f t="shared" si="15"/>
        <v>1</v>
      </c>
      <c r="BC18" s="68">
        <f t="shared" si="25"/>
        <v>19768.828310767858</v>
      </c>
      <c r="BD18" s="68">
        <f t="shared" si="26"/>
        <v>2.4464594749223241</v>
      </c>
      <c r="BE18" s="28" t="s">
        <v>370</v>
      </c>
      <c r="BF18" s="28">
        <v>34705.870000000003</v>
      </c>
      <c r="BG18" s="24"/>
      <c r="BH18" s="24" t="s">
        <v>64</v>
      </c>
      <c r="BI18" s="28">
        <v>2E-3</v>
      </c>
      <c r="BJ18" s="28">
        <v>2E-3</v>
      </c>
      <c r="BK18" s="28">
        <v>2E-3</v>
      </c>
      <c r="BL18" s="24"/>
      <c r="BM18" s="24"/>
    </row>
    <row r="19" spans="1:65">
      <c r="A19" s="62">
        <f t="shared" si="27"/>
        <v>28991.186899301552</v>
      </c>
      <c r="B19" s="62">
        <f t="shared" si="28"/>
        <v>18484.303301438395</v>
      </c>
      <c r="C19" s="62">
        <f t="shared" si="29"/>
        <v>0.31359671177504594</v>
      </c>
      <c r="D19" s="65">
        <f t="shared" si="30"/>
        <v>218.19698116984216</v>
      </c>
      <c r="E19" s="62">
        <f t="shared" si="0"/>
        <v>3.2087791348506198</v>
      </c>
      <c r="F19" s="62">
        <f t="shared" si="31"/>
        <v>14.820493939492106</v>
      </c>
      <c r="G19" s="62">
        <f t="shared" si="32"/>
        <v>-69.919986101817599</v>
      </c>
      <c r="H19" s="62">
        <f t="shared" si="33"/>
        <v>229.86284159237644</v>
      </c>
      <c r="I19" s="62">
        <f t="shared" si="34"/>
        <v>25.285280062451974</v>
      </c>
      <c r="J19" s="62">
        <f t="shared" si="35"/>
        <v>204.57756152992448</v>
      </c>
      <c r="K19" s="62">
        <f t="shared" si="36"/>
        <v>952.96782154780476</v>
      </c>
      <c r="L19" s="62">
        <f t="shared" si="37"/>
        <v>748.40815170107771</v>
      </c>
      <c r="M19" s="62">
        <f t="shared" si="38"/>
        <v>30654.316125303947</v>
      </c>
      <c r="N19" s="62">
        <f t="shared" si="39"/>
        <v>204.55966984672705</v>
      </c>
      <c r="O19" s="2">
        <f t="shared" si="16"/>
        <v>129.70873819723386</v>
      </c>
      <c r="P19" s="2">
        <f t="shared" si="1"/>
        <v>1.9074814440769683</v>
      </c>
      <c r="Q19" s="2">
        <f t="shared" si="2"/>
        <v>0.9885348148976707</v>
      </c>
      <c r="R19" s="2">
        <f t="shared" si="3"/>
        <v>0.58764151005648735</v>
      </c>
      <c r="S19" s="67">
        <f t="shared" si="17"/>
        <v>10862.143904399372</v>
      </c>
      <c r="T19" s="63">
        <f t="shared" si="40"/>
        <v>33565.714143251906</v>
      </c>
      <c r="U19" s="63">
        <f t="shared" si="41"/>
        <v>23958.651039625864</v>
      </c>
      <c r="V19" s="63">
        <f t="shared" si="42"/>
        <v>0.12067672643846201</v>
      </c>
      <c r="W19" s="63">
        <f t="shared" si="43"/>
        <v>121.51801510130477</v>
      </c>
      <c r="X19" s="63">
        <f t="shared" si="44"/>
        <v>1.3066453236699438</v>
      </c>
      <c r="Y19" s="63">
        <f t="shared" si="45"/>
        <v>17.159023697880201</v>
      </c>
      <c r="Z19" s="63">
        <f t="shared" si="46"/>
        <v>-165.34589273238942</v>
      </c>
      <c r="AA19" s="63">
        <f t="shared" si="47"/>
        <v>184.6948574754158</v>
      </c>
      <c r="AB19" s="63">
        <f t="shared" si="48"/>
        <v>20.316729598436424</v>
      </c>
      <c r="AC19" s="63">
        <f t="shared" si="49"/>
        <v>164.37812787697936</v>
      </c>
      <c r="AD19" s="63">
        <f t="shared" si="50"/>
        <v>656.54474665250734</v>
      </c>
      <c r="AE19" s="63">
        <f t="shared" si="51"/>
        <v>565.40623532652876</v>
      </c>
      <c r="AF19" s="63">
        <f t="shared" si="52"/>
        <v>34822.172443977528</v>
      </c>
      <c r="AG19" s="63">
        <f t="shared" si="53"/>
        <v>91.138511325978584</v>
      </c>
      <c r="AH19" s="2">
        <f t="shared" si="18"/>
        <v>121.51801510130477</v>
      </c>
      <c r="AI19" s="2">
        <f t="shared" si="19"/>
        <v>1.3066453236699438</v>
      </c>
      <c r="AJ19" s="2">
        <f t="shared" si="4"/>
        <v>0.6936724457886061</v>
      </c>
      <c r="AK19" s="2">
        <f t="shared" si="5"/>
        <v>0.41235848994351271</v>
      </c>
      <c r="AL19" s="67">
        <f t="shared" si="20"/>
        <v>9879.5531637836921</v>
      </c>
      <c r="AM19" s="46">
        <v>0</v>
      </c>
      <c r="AN19" s="46">
        <f t="shared" si="6"/>
        <v>0</v>
      </c>
      <c r="AO19" s="46">
        <f t="shared" si="7"/>
        <v>0</v>
      </c>
      <c r="AP19" s="2">
        <f t="shared" si="54"/>
        <v>0</v>
      </c>
      <c r="AQ19" s="2">
        <f t="shared" si="21"/>
        <v>0</v>
      </c>
      <c r="AR19" s="2">
        <f t="shared" si="8"/>
        <v>0</v>
      </c>
      <c r="AS19" s="2">
        <f t="shared" si="22"/>
        <v>0</v>
      </c>
      <c r="AT19" s="64">
        <f t="shared" si="9"/>
        <v>42442.954341064258</v>
      </c>
      <c r="AU19" s="64">
        <f t="shared" si="10"/>
        <v>251.22675329853863</v>
      </c>
      <c r="AV19" s="64">
        <f t="shared" si="23"/>
        <v>4.5154244585205632</v>
      </c>
      <c r="AW19" s="64">
        <f t="shared" si="24"/>
        <v>1.9635458917146242E-2</v>
      </c>
      <c r="AX19" s="2">
        <f t="shared" si="11"/>
        <v>251.22675329853863</v>
      </c>
      <c r="AY19" s="2">
        <f t="shared" si="12"/>
        <v>3.2141267677469121</v>
      </c>
      <c r="AZ19" s="3">
        <f t="shared" si="13"/>
        <v>3.2459950691597852</v>
      </c>
      <c r="BA19" s="3">
        <f t="shared" si="14"/>
        <v>1.6822072606862768</v>
      </c>
      <c r="BB19" s="3">
        <f t="shared" si="15"/>
        <v>1</v>
      </c>
      <c r="BC19" s="68">
        <f t="shared" si="25"/>
        <v>20741.697068183064</v>
      </c>
      <c r="BD19" s="68">
        <f t="shared" si="26"/>
        <v>2.4244181088016576</v>
      </c>
      <c r="BE19" s="28" t="s">
        <v>16</v>
      </c>
      <c r="BF19" s="28">
        <v>17.394178400000001</v>
      </c>
      <c r="BG19" s="24"/>
      <c r="BH19" s="24" t="s">
        <v>348</v>
      </c>
      <c r="BI19" s="26">
        <f>(-0.075*BI11)+0.875</f>
        <v>0.74750000000000005</v>
      </c>
      <c r="BJ19" s="26">
        <f t="shared" ref="BJ19:BK19" si="57">(-0.075*BJ11)+0.875</f>
        <v>0.71</v>
      </c>
      <c r="BK19" s="26">
        <f t="shared" si="57"/>
        <v>0.77749999999999997</v>
      </c>
      <c r="BL19" s="24"/>
    </row>
    <row r="20" spans="1:65">
      <c r="A20" s="62">
        <f t="shared" si="27"/>
        <v>30654.316125303947</v>
      </c>
      <c r="B20" s="62">
        <f t="shared" si="28"/>
        <v>19530.416140111331</v>
      </c>
      <c r="C20" s="62">
        <f t="shared" si="29"/>
        <v>0.29341342871510823</v>
      </c>
      <c r="D20" s="65">
        <f t="shared" si="30"/>
        <v>215.86531198181433</v>
      </c>
      <c r="E20" s="62">
        <f t="shared" si="0"/>
        <v>3.174489882085505</v>
      </c>
      <c r="F20" s="62">
        <f t="shared" si="31"/>
        <v>15.670697027077823</v>
      </c>
      <c r="G20" s="62">
        <f t="shared" si="32"/>
        <v>-80.628084870023287</v>
      </c>
      <c r="H20" s="62">
        <f t="shared" si="33"/>
        <v>227.40651015121742</v>
      </c>
      <c r="I20" s="62">
        <f t="shared" si="34"/>
        <v>25.015079676927932</v>
      </c>
      <c r="J20" s="62">
        <f t="shared" si="35"/>
        <v>202.39143047428948</v>
      </c>
      <c r="K20" s="62">
        <f t="shared" si="36"/>
        <v>931.32906750142411</v>
      </c>
      <c r="L20" s="62">
        <f t="shared" si="37"/>
        <v>728.95533751847324</v>
      </c>
      <c r="M20" s="62">
        <f t="shared" si="38"/>
        <v>32274.216875344999</v>
      </c>
      <c r="N20" s="62">
        <f t="shared" si="39"/>
        <v>202.37372998295086</v>
      </c>
      <c r="O20" s="2">
        <f t="shared" si="16"/>
        <v>131.39751261823432</v>
      </c>
      <c r="P20" s="2">
        <f t="shared" si="1"/>
        <v>1.9323163620328576</v>
      </c>
      <c r="Q20" s="2">
        <f t="shared" si="2"/>
        <v>0.97797125825801423</v>
      </c>
      <c r="R20" s="2">
        <f t="shared" si="3"/>
        <v>0.59529245142477405</v>
      </c>
      <c r="S20" s="67">
        <f t="shared" si="17"/>
        <v>11626.309301392846</v>
      </c>
      <c r="T20" s="63">
        <f t="shared" si="40"/>
        <v>34822.172443977528</v>
      </c>
      <c r="U20" s="63">
        <f t="shared" si="41"/>
        <v>24845.26045032535</v>
      </c>
      <c r="V20" s="63">
        <f t="shared" si="42"/>
        <v>0.11149262163255649</v>
      </c>
      <c r="W20" s="63">
        <f t="shared" si="43"/>
        <v>116.47245890160063</v>
      </c>
      <c r="X20" s="63">
        <f t="shared" si="44"/>
        <v>1.2523920312000068</v>
      </c>
      <c r="Y20" s="63">
        <f t="shared" si="45"/>
        <v>17.801333814254818</v>
      </c>
      <c r="Z20" s="63">
        <f t="shared" si="46"/>
        <v>-174.89010095079951</v>
      </c>
      <c r="AA20" s="63">
        <f t="shared" si="47"/>
        <v>177.02613212295117</v>
      </c>
      <c r="AB20" s="63">
        <f t="shared" si="48"/>
        <v>19.473157549488413</v>
      </c>
      <c r="AC20" s="63">
        <f t="shared" si="49"/>
        <v>157.55297457346276</v>
      </c>
      <c r="AD20" s="63">
        <f t="shared" si="50"/>
        <v>612.87477191651431</v>
      </c>
      <c r="AE20" s="63">
        <f t="shared" si="51"/>
        <v>525.52042774031383</v>
      </c>
      <c r="AF20" s="63">
        <f t="shared" si="52"/>
        <v>35989.99561673378</v>
      </c>
      <c r="AG20" s="63">
        <f t="shared" si="53"/>
        <v>87.35434417620047</v>
      </c>
      <c r="AH20" s="2">
        <f t="shared" si="18"/>
        <v>116.47245890160063</v>
      </c>
      <c r="AI20" s="2">
        <f t="shared" si="19"/>
        <v>1.2523920312000068</v>
      </c>
      <c r="AJ20" s="2">
        <f t="shared" si="4"/>
        <v>0.66487043395114431</v>
      </c>
      <c r="AK20" s="2">
        <f t="shared" si="5"/>
        <v>0.40470754857522584</v>
      </c>
      <c r="AL20" s="67">
        <f t="shared" si="20"/>
        <v>10055.064450564183</v>
      </c>
      <c r="AM20" s="46">
        <v>0</v>
      </c>
      <c r="AN20" s="46">
        <f t="shared" si="6"/>
        <v>0</v>
      </c>
      <c r="AO20" s="46">
        <f t="shared" si="7"/>
        <v>0</v>
      </c>
      <c r="AP20" s="2">
        <f t="shared" si="54"/>
        <v>0</v>
      </c>
      <c r="AQ20" s="2">
        <f t="shared" ref="AQ20:AQ23" si="58">AP20/$BK$6</f>
        <v>0</v>
      </c>
      <c r="AR20" s="2">
        <f t="shared" si="8"/>
        <v>0</v>
      </c>
      <c r="AS20" s="2">
        <f t="shared" si="22"/>
        <v>0</v>
      </c>
      <c r="AT20" s="64">
        <f t="shared" si="9"/>
        <v>44375.676590436677</v>
      </c>
      <c r="AU20" s="64">
        <f t="shared" si="10"/>
        <v>247.86997151983496</v>
      </c>
      <c r="AV20" s="64">
        <f t="shared" si="23"/>
        <v>4.4268819132855119</v>
      </c>
      <c r="AW20" s="64">
        <f t="shared" si="24"/>
        <v>3.7761410366396131E-2</v>
      </c>
      <c r="AX20" s="2">
        <f t="shared" si="11"/>
        <v>247.86997151983496</v>
      </c>
      <c r="AY20" s="2">
        <f t="shared" si="12"/>
        <v>3.1847083932328646</v>
      </c>
      <c r="AZ20" s="3">
        <f t="shared" si="13"/>
        <v>3.2459950691597852</v>
      </c>
      <c r="BA20" s="3">
        <f t="shared" si="14"/>
        <v>1.6428416922091587</v>
      </c>
      <c r="BB20" s="3">
        <f t="shared" si="15"/>
        <v>0.99999999999999989</v>
      </c>
      <c r="BC20" s="68">
        <f t="shared" si="25"/>
        <v>21681.373751957028</v>
      </c>
      <c r="BD20" s="68">
        <f t="shared" si="26"/>
        <v>2.396602372731925</v>
      </c>
      <c r="BE20" s="28" t="s">
        <v>365</v>
      </c>
      <c r="BF20" s="28">
        <v>5</v>
      </c>
      <c r="BG20" s="24"/>
      <c r="BH20" t="s">
        <v>37</v>
      </c>
      <c r="BI20" s="26">
        <f>$BF$10*BI19*$BF$7</f>
        <v>290.77750000000003</v>
      </c>
      <c r="BJ20" s="26">
        <f t="shared" ref="BJ20:BK20" si="59">$BF$10*BJ19*$BF$7</f>
        <v>276.19</v>
      </c>
      <c r="BK20" s="26">
        <f t="shared" si="59"/>
        <v>302.44749999999999</v>
      </c>
      <c r="BL20" s="24"/>
    </row>
    <row r="21" spans="1:65">
      <c r="A21" s="62">
        <f t="shared" si="27"/>
        <v>32274.216875344999</v>
      </c>
      <c r="B21" s="62">
        <f t="shared" si="28"/>
        <v>20548.621943449165</v>
      </c>
      <c r="C21" s="62">
        <f t="shared" si="29"/>
        <v>0.27500426426604696</v>
      </c>
      <c r="D21" s="65">
        <f t="shared" si="30"/>
        <v>213.01313439761012</v>
      </c>
      <c r="E21" s="62">
        <f t="shared" si="0"/>
        <v>3.1325460940825018</v>
      </c>
      <c r="F21" s="62">
        <f t="shared" si="31"/>
        <v>16.498801420732036</v>
      </c>
      <c r="G21" s="62">
        <f t="shared" si="32"/>
        <v>-91.467797544758128</v>
      </c>
      <c r="H21" s="62">
        <f t="shared" si="33"/>
        <v>224.40184143070502</v>
      </c>
      <c r="I21" s="62">
        <f t="shared" si="34"/>
        <v>24.68456131403493</v>
      </c>
      <c r="J21" s="62">
        <f t="shared" si="35"/>
        <v>199.71728011667008</v>
      </c>
      <c r="K21" s="62">
        <f t="shared" si="36"/>
        <v>907.11860303859225</v>
      </c>
      <c r="L21" s="62">
        <f t="shared" si="37"/>
        <v>707.41878954083268</v>
      </c>
      <c r="M21" s="62">
        <f t="shared" si="38"/>
        <v>33846.258629880183</v>
      </c>
      <c r="N21" s="62">
        <f t="shared" si="39"/>
        <v>199.69981349775958</v>
      </c>
      <c r="O21" s="2">
        <f t="shared" si="16"/>
        <v>132.84462883555454</v>
      </c>
      <c r="P21" s="2">
        <f t="shared" si="1"/>
        <v>1.9535974828758023</v>
      </c>
      <c r="Q21" s="2">
        <f t="shared" si="2"/>
        <v>0.96504955409354665</v>
      </c>
      <c r="R21" s="2">
        <f t="shared" si="3"/>
        <v>0.60184856762012406</v>
      </c>
      <c r="S21" s="67">
        <f t="shared" si="17"/>
        <v>12367.15868323233</v>
      </c>
      <c r="T21" s="63">
        <f t="shared" si="40"/>
        <v>35989.99561673378</v>
      </c>
      <c r="U21" s="63">
        <f t="shared" si="41"/>
        <v>25669.369346782583</v>
      </c>
      <c r="V21" s="63">
        <f t="shared" si="42"/>
        <v>0.1035842773345233</v>
      </c>
      <c r="W21" s="63">
        <f t="shared" si="43"/>
        <v>111.8399306169609</v>
      </c>
      <c r="X21" s="63">
        <f t="shared" si="44"/>
        <v>1.2025798991071064</v>
      </c>
      <c r="Y21" s="63">
        <f t="shared" si="45"/>
        <v>18.398333044205266</v>
      </c>
      <c r="Z21" s="63">
        <f t="shared" si="46"/>
        <v>-183.75362113189513</v>
      </c>
      <c r="AA21" s="63">
        <f t="shared" si="47"/>
        <v>169.98516662850096</v>
      </c>
      <c r="AB21" s="63">
        <f t="shared" si="48"/>
        <v>18.698640088536866</v>
      </c>
      <c r="AC21" s="63">
        <f t="shared" si="49"/>
        <v>151.28652653996409</v>
      </c>
      <c r="AD21" s="63">
        <f t="shared" si="50"/>
        <v>572.67901156792539</v>
      </c>
      <c r="AE21" s="63">
        <f t="shared" si="51"/>
        <v>488.79906360520471</v>
      </c>
      <c r="AF21" s="63">
        <f t="shared" si="52"/>
        <v>37076.215758078681</v>
      </c>
      <c r="AG21" s="63">
        <f t="shared" si="53"/>
        <v>83.879947962720678</v>
      </c>
      <c r="AH21" s="2">
        <f t="shared" si="18"/>
        <v>111.8399306169609</v>
      </c>
      <c r="AI21" s="2">
        <f t="shared" si="19"/>
        <v>1.2025798991071064</v>
      </c>
      <c r="AJ21" s="2">
        <f t="shared" si="4"/>
        <v>0.63842614729363101</v>
      </c>
      <c r="AK21" s="2">
        <f t="shared" si="5"/>
        <v>0.39815143237987594</v>
      </c>
      <c r="AL21" s="67">
        <f t="shared" si="20"/>
        <v>10220.296173709567</v>
      </c>
      <c r="AM21" s="46">
        <v>0</v>
      </c>
      <c r="AN21" s="46">
        <f t="shared" si="6"/>
        <v>0</v>
      </c>
      <c r="AO21" s="46">
        <f t="shared" si="7"/>
        <v>0</v>
      </c>
      <c r="AP21" s="2">
        <f t="shared" si="54"/>
        <v>0</v>
      </c>
      <c r="AQ21" s="2">
        <f t="shared" si="58"/>
        <v>0</v>
      </c>
      <c r="AR21" s="2">
        <f t="shared" si="8"/>
        <v>0</v>
      </c>
      <c r="AS21" s="2">
        <f t="shared" si="22"/>
        <v>0</v>
      </c>
      <c r="AT21" s="64">
        <f t="shared" si="9"/>
        <v>46217.991290231745</v>
      </c>
      <c r="AU21" s="64">
        <f t="shared" si="10"/>
        <v>244.68455945251543</v>
      </c>
      <c r="AV21" s="64">
        <f t="shared" si="23"/>
        <v>4.3351259931896085</v>
      </c>
      <c r="AW21" s="64">
        <f t="shared" si="24"/>
        <v>5.5340618370147587E-2</v>
      </c>
      <c r="AX21" s="2">
        <f t="shared" si="11"/>
        <v>244.68455945251543</v>
      </c>
      <c r="AY21" s="2">
        <f t="shared" si="12"/>
        <v>3.1561773819829089</v>
      </c>
      <c r="AZ21" s="3">
        <f t="shared" si="13"/>
        <v>3.2459950691597852</v>
      </c>
      <c r="BA21" s="3">
        <f t="shared" si="14"/>
        <v>1.6034757013871777</v>
      </c>
      <c r="BB21" s="3">
        <f t="shared" si="15"/>
        <v>1</v>
      </c>
      <c r="BC21" s="68">
        <f t="shared" si="25"/>
        <v>22587.454856941898</v>
      </c>
      <c r="BD21" s="68">
        <f t="shared" si="26"/>
        <v>2.3641272891083092</v>
      </c>
      <c r="BE21" s="28" t="s">
        <v>17</v>
      </c>
      <c r="BF21" s="28">
        <v>6.7061877299999999</v>
      </c>
      <c r="BG21" s="24"/>
      <c r="BH21" s="24" t="s">
        <v>349</v>
      </c>
      <c r="BI21" s="26">
        <f>(BI20-40)/(BI20+2*40)*(350+2*40)/(350-40)</f>
        <v>0.9381709011208138</v>
      </c>
      <c r="BJ21" s="26">
        <f t="shared" ref="BJ21:BK21" si="60">(BJ20-40)/(BJ20+2*40)*(350+2*40)/(350-40)</f>
        <v>0.91978547150895351</v>
      </c>
      <c r="BK21" s="26">
        <f t="shared" si="60"/>
        <v>0.95186942167267752</v>
      </c>
      <c r="BL21" s="24"/>
    </row>
    <row r="22" spans="1:65">
      <c r="A22" s="62">
        <f t="shared" si="27"/>
        <v>33846.258629880183</v>
      </c>
      <c r="B22" s="62">
        <f t="shared" si="28"/>
        <v>21536.156071222125</v>
      </c>
      <c r="C22" s="62">
        <f t="shared" si="29"/>
        <v>0.25824401532888491</v>
      </c>
      <c r="D22" s="65">
        <f t="shared" si="30"/>
        <v>209.77424957856434</v>
      </c>
      <c r="E22" s="62">
        <f t="shared" si="0"/>
        <v>3.0849154349788872</v>
      </c>
      <c r="F22" s="62">
        <f t="shared" si="31"/>
        <v>17.30243996704759</v>
      </c>
      <c r="G22" s="62">
        <f t="shared" si="32"/>
        <v>-102.32787841716545</v>
      </c>
      <c r="H22" s="62">
        <f t="shared" si="33"/>
        <v>220.98979024601533</v>
      </c>
      <c r="I22" s="62">
        <f t="shared" si="34"/>
        <v>24.30923022879022</v>
      </c>
      <c r="J22" s="62">
        <f t="shared" si="35"/>
        <v>196.6805600172251</v>
      </c>
      <c r="K22" s="62">
        <f t="shared" si="36"/>
        <v>881.07492166896009</v>
      </c>
      <c r="L22" s="62">
        <f t="shared" si="37"/>
        <v>684.41156268905593</v>
      </c>
      <c r="M22" s="62">
        <f t="shared" si="38"/>
        <v>35367.173213633643</v>
      </c>
      <c r="N22" s="62">
        <f t="shared" si="39"/>
        <v>196.66335897990416</v>
      </c>
      <c r="O22" s="2">
        <f t="shared" si="16"/>
        <v>134.07800988018192</v>
      </c>
      <c r="P22" s="2">
        <f t="shared" si="1"/>
        <v>1.97173543941444</v>
      </c>
      <c r="Q22" s="2">
        <f t="shared" si="2"/>
        <v>0.9503758845134066</v>
      </c>
      <c r="R22" s="2">
        <f t="shared" si="3"/>
        <v>0.60743636308875137</v>
      </c>
      <c r="S22" s="67">
        <f t="shared" si="17"/>
        <v>13081.844318814899</v>
      </c>
      <c r="T22" s="63">
        <f t="shared" si="40"/>
        <v>37076.215758078681</v>
      </c>
      <c r="U22" s="63">
        <f t="shared" si="41"/>
        <v>26435.95311885282</v>
      </c>
      <c r="V22" s="63">
        <f t="shared" si="42"/>
        <v>9.6732911039200731E-2</v>
      </c>
      <c r="W22" s="63">
        <f t="shared" si="43"/>
        <v>107.5947084178931</v>
      </c>
      <c r="X22" s="63">
        <f t="shared" si="44"/>
        <v>1.1569323485794958</v>
      </c>
      <c r="Y22" s="63">
        <f t="shared" si="45"/>
        <v>18.95361624380908</v>
      </c>
      <c r="Z22" s="63">
        <f t="shared" si="46"/>
        <v>-191.98106575104018</v>
      </c>
      <c r="AA22" s="63">
        <f t="shared" si="47"/>
        <v>163.5328664625161</v>
      </c>
      <c r="AB22" s="63">
        <f t="shared" si="48"/>
        <v>17.988876754830027</v>
      </c>
      <c r="AC22" s="63">
        <f t="shared" si="49"/>
        <v>145.54398970768608</v>
      </c>
      <c r="AD22" s="63">
        <f t="shared" si="50"/>
        <v>535.73888278739014</v>
      </c>
      <c r="AE22" s="63">
        <f t="shared" si="51"/>
        <v>455.0428514739703</v>
      </c>
      <c r="AF22" s="63">
        <f t="shared" si="52"/>
        <v>38087.422094687507</v>
      </c>
      <c r="AG22" s="63">
        <f t="shared" si="53"/>
        <v>80.696031313419837</v>
      </c>
      <c r="AH22" s="2">
        <f t="shared" si="18"/>
        <v>107.5947084178931</v>
      </c>
      <c r="AI22" s="2">
        <f t="shared" si="19"/>
        <v>1.1569323485794958</v>
      </c>
      <c r="AJ22" s="2">
        <f t="shared" si="4"/>
        <v>0.61419275553448749</v>
      </c>
      <c r="AK22" s="2">
        <f t="shared" si="5"/>
        <v>0.39256363691124857</v>
      </c>
      <c r="AL22" s="67">
        <f t="shared" si="20"/>
        <v>10377.793901552128</v>
      </c>
      <c r="AM22" s="46">
        <v>0</v>
      </c>
      <c r="AN22" s="46">
        <f t="shared" si="6"/>
        <v>0</v>
      </c>
      <c r="AO22" s="46">
        <f t="shared" si="7"/>
        <v>0</v>
      </c>
      <c r="AP22" s="2">
        <f t="shared" si="54"/>
        <v>0</v>
      </c>
      <c r="AQ22" s="2">
        <f t="shared" si="58"/>
        <v>0</v>
      </c>
      <c r="AR22" s="2">
        <f t="shared" si="8"/>
        <v>0</v>
      </c>
      <c r="AS22" s="2">
        <f t="shared" si="22"/>
        <v>0</v>
      </c>
      <c r="AT22" s="64">
        <f t="shared" si="9"/>
        <v>47972.109190074945</v>
      </c>
      <c r="AU22" s="64">
        <f t="shared" si="10"/>
        <v>241.67271829807504</v>
      </c>
      <c r="AV22" s="64">
        <f t="shared" si="23"/>
        <v>4.2418477835583825</v>
      </c>
      <c r="AW22" s="64">
        <f t="shared" si="24"/>
        <v>7.2290486378476793E-2</v>
      </c>
      <c r="AX22" s="2">
        <f t="shared" si="11"/>
        <v>241.67271829807504</v>
      </c>
      <c r="AY22" s="2">
        <f t="shared" si="12"/>
        <v>3.128667787993936</v>
      </c>
      <c r="AZ22" s="3">
        <f t="shared" si="13"/>
        <v>3.2459950691597852</v>
      </c>
      <c r="BA22" s="3">
        <f t="shared" si="14"/>
        <v>1.5645686400478942</v>
      </c>
      <c r="BB22" s="3">
        <f t="shared" si="15"/>
        <v>1</v>
      </c>
      <c r="BC22" s="68">
        <f t="shared" si="25"/>
        <v>23459.638220367029</v>
      </c>
      <c r="BD22" s="68">
        <f t="shared" si="26"/>
        <v>2.328059382678568</v>
      </c>
      <c r="BE22" s="28"/>
      <c r="BF22" s="28"/>
      <c r="BG22" s="24"/>
      <c r="BH22" s="24" t="s">
        <v>5</v>
      </c>
      <c r="BI22" s="26">
        <f>BI21*(BI12+BI13*BI11)</f>
        <v>71.516767792439637</v>
      </c>
      <c r="BJ22" s="26">
        <f t="shared" ref="BJ22:BK22" si="61">BJ21*(BJ12+BJ13*BJ11)</f>
        <v>103.18153419387444</v>
      </c>
      <c r="BK22" s="26">
        <f t="shared" si="61"/>
        <v>31.649658270616527</v>
      </c>
      <c r="BL22" s="24"/>
    </row>
    <row r="23" spans="1:65">
      <c r="A23" s="62">
        <f t="shared" si="27"/>
        <v>35367.173213633643</v>
      </c>
      <c r="B23" s="62">
        <f t="shared" si="28"/>
        <v>22491.093374167758</v>
      </c>
      <c r="C23" s="62">
        <f t="shared" si="29"/>
        <v>0.24300167843018353</v>
      </c>
      <c r="D23" s="65">
        <f t="shared" si="30"/>
        <v>206.26277885385608</v>
      </c>
      <c r="E23" s="62">
        <f t="shared" si="0"/>
        <v>3.0332761596155304</v>
      </c>
      <c r="F23" s="62">
        <f t="shared" si="31"/>
        <v>18.079941952368046</v>
      </c>
      <c r="G23" s="62">
        <f t="shared" si="32"/>
        <v>-113.11419493274762</v>
      </c>
      <c r="H23" s="62">
        <f t="shared" si="33"/>
        <v>217.29057940165632</v>
      </c>
      <c r="I23" s="62">
        <f t="shared" si="34"/>
        <v>23.902311121892783</v>
      </c>
      <c r="J23" s="62">
        <f t="shared" si="35"/>
        <v>193.38826827976354</v>
      </c>
      <c r="K23" s="62">
        <f t="shared" si="36"/>
        <v>853.82714646607008</v>
      </c>
      <c r="L23" s="62">
        <f t="shared" si="37"/>
        <v>660.45579129058001</v>
      </c>
      <c r="M23" s="62">
        <f t="shared" si="38"/>
        <v>36834.852749834929</v>
      </c>
      <c r="N23" s="62">
        <f t="shared" si="39"/>
        <v>193.37135517549007</v>
      </c>
      <c r="O23" s="2">
        <f t="shared" si="16"/>
        <v>135.12403095207461</v>
      </c>
      <c r="P23" s="2">
        <f t="shared" si="1"/>
        <v>1.9871181022363913</v>
      </c>
      <c r="Q23" s="2">
        <f t="shared" si="2"/>
        <v>0.93446727274317265</v>
      </c>
      <c r="R23" s="2">
        <f t="shared" si="3"/>
        <v>0.61217532987527001</v>
      </c>
      <c r="S23" s="67">
        <f t="shared" si="17"/>
        <v>13768.492505586648</v>
      </c>
      <c r="T23" s="63">
        <f t="shared" si="40"/>
        <v>38087.422094687507</v>
      </c>
      <c r="U23" s="63">
        <f t="shared" si="41"/>
        <v>27149.664395646021</v>
      </c>
      <c r="V23" s="63">
        <f t="shared" si="42"/>
        <v>9.0762634538302731E-2</v>
      </c>
      <c r="W23" s="63">
        <f t="shared" si="43"/>
        <v>103.70744316258597</v>
      </c>
      <c r="X23" s="63">
        <f t="shared" si="44"/>
        <v>1.1151337974471611</v>
      </c>
      <c r="Y23" s="63">
        <f t="shared" si="45"/>
        <v>19.470551871016816</v>
      </c>
      <c r="Z23" s="63">
        <f t="shared" si="46"/>
        <v>-199.61894056194564</v>
      </c>
      <c r="AA23" s="63">
        <f t="shared" si="47"/>
        <v>157.6246239546085</v>
      </c>
      <c r="AB23" s="63">
        <f t="shared" si="48"/>
        <v>17.338960633309838</v>
      </c>
      <c r="AC23" s="63">
        <f t="shared" si="49"/>
        <v>140.28566332129867</v>
      </c>
      <c r="AD23" s="63">
        <f t="shared" si="50"/>
        <v>501.80937604454772</v>
      </c>
      <c r="AE23" s="63">
        <f t="shared" si="51"/>
        <v>424.02879367260823</v>
      </c>
      <c r="AF23" s="63">
        <f t="shared" si="52"/>
        <v>39029.708302848856</v>
      </c>
      <c r="AG23" s="63">
        <f t="shared" si="53"/>
        <v>77.780582371939488</v>
      </c>
      <c r="AH23" s="2">
        <f t="shared" si="18"/>
        <v>103.70744316258597</v>
      </c>
      <c r="AI23" s="2">
        <f t="shared" si="19"/>
        <v>1.1151337974471611</v>
      </c>
      <c r="AJ23" s="2">
        <f t="shared" si="4"/>
        <v>0.59200272227209416</v>
      </c>
      <c r="AK23" s="2">
        <f t="shared" si="5"/>
        <v>0.38782467012473004</v>
      </c>
      <c r="AL23" s="67">
        <f t="shared" si="20"/>
        <v>10529.309638238547</v>
      </c>
      <c r="AM23" s="46">
        <v>0</v>
      </c>
      <c r="AN23" s="46">
        <f t="shared" si="6"/>
        <v>0</v>
      </c>
      <c r="AO23" s="46">
        <f t="shared" si="7"/>
        <v>0</v>
      </c>
      <c r="AP23" s="2">
        <f t="shared" si="54"/>
        <v>0</v>
      </c>
      <c r="AQ23" s="2">
        <f t="shared" si="58"/>
        <v>0</v>
      </c>
      <c r="AR23" s="2">
        <f t="shared" si="8"/>
        <v>0</v>
      </c>
      <c r="AS23" s="2">
        <f t="shared" si="22"/>
        <v>0</v>
      </c>
      <c r="AT23" s="64">
        <f t="shared" si="9"/>
        <v>49640.757769813776</v>
      </c>
      <c r="AU23" s="64">
        <f t="shared" si="10"/>
        <v>238.83147411466058</v>
      </c>
      <c r="AV23" s="64">
        <f t="shared" si="23"/>
        <v>4.1484099570626913</v>
      </c>
      <c r="AW23" s="64">
        <f t="shared" si="24"/>
        <v>8.8566474325199929E-2</v>
      </c>
      <c r="AX23" s="2">
        <f t="shared" si="11"/>
        <v>238.83147411466058</v>
      </c>
      <c r="AY23" s="2">
        <f t="shared" si="12"/>
        <v>3.1022518996835524</v>
      </c>
      <c r="AZ23" s="3">
        <f t="shared" si="13"/>
        <v>3.2459950691597852</v>
      </c>
      <c r="BA23" s="3">
        <f t="shared" si="14"/>
        <v>1.5264699950152667</v>
      </c>
      <c r="BB23" s="3">
        <f t="shared" si="15"/>
        <v>1</v>
      </c>
      <c r="BC23" s="68">
        <f t="shared" si="25"/>
        <v>24297.802143825196</v>
      </c>
      <c r="BD23" s="68">
        <f t="shared" si="26"/>
        <v>2.2893732307553121</v>
      </c>
      <c r="BE23" s="26" t="s">
        <v>9</v>
      </c>
      <c r="BF23" s="26">
        <f>1-BF12*POWER(BF11,BF13)</f>
        <v>0.94952466060066887</v>
      </c>
      <c r="BG23" s="24"/>
      <c r="BH23" s="24" t="s">
        <v>13</v>
      </c>
      <c r="BI23" s="26">
        <f>$BF$24*BI22</f>
        <v>7.4490082874380645</v>
      </c>
      <c r="BJ23" s="26">
        <f t="shared" ref="BJ23:BK23" si="62">$BF$24*BJ22</f>
        <v>10.74713143568545</v>
      </c>
      <c r="BK23" s="26">
        <f t="shared" si="62"/>
        <v>3.2965495229963158</v>
      </c>
      <c r="BL23" s="24"/>
    </row>
    <row r="24" spans="1:65">
      <c r="A24" s="62">
        <f t="shared" si="27"/>
        <v>36834.852749834929</v>
      </c>
      <c r="B24" s="62">
        <f t="shared" si="28"/>
        <v>23412.220011249861</v>
      </c>
      <c r="C24" s="62">
        <f t="shared" si="29"/>
        <v>0.22914641567143401</v>
      </c>
      <c r="D24" s="65">
        <f t="shared" si="30"/>
        <v>202.57378750583374</v>
      </c>
      <c r="E24" s="62">
        <f t="shared" si="0"/>
        <v>2.979026286850496</v>
      </c>
      <c r="F24" s="62">
        <f t="shared" si="31"/>
        <v>18.830229815605261</v>
      </c>
      <c r="G24" s="62">
        <f t="shared" si="32"/>
        <v>-123.74960698939823</v>
      </c>
      <c r="H24" s="62">
        <f t="shared" si="33"/>
        <v>213.40435682735745</v>
      </c>
      <c r="I24" s="62">
        <f t="shared" si="34"/>
        <v>23.474820425721777</v>
      </c>
      <c r="J24" s="62">
        <f t="shared" si="35"/>
        <v>189.92953640163566</v>
      </c>
      <c r="K24" s="62">
        <f t="shared" si="36"/>
        <v>825.8980750187801</v>
      </c>
      <c r="L24" s="62">
        <f t="shared" si="37"/>
        <v>635.98514923206096</v>
      </c>
      <c r="M24" s="62">
        <f t="shared" si="38"/>
        <v>38248.153081461729</v>
      </c>
      <c r="N24" s="62">
        <f t="shared" si="39"/>
        <v>189.91292578671914</v>
      </c>
      <c r="O24" s="2">
        <f t="shared" si="16"/>
        <v>136.00683336943203</v>
      </c>
      <c r="P24" s="2">
        <f t="shared" si="1"/>
        <v>2.0001004907269415</v>
      </c>
      <c r="Q24" s="2">
        <f t="shared" si="2"/>
        <v>0.91775440916538631</v>
      </c>
      <c r="R24" s="2">
        <f t="shared" si="3"/>
        <v>0.61617483949064067</v>
      </c>
      <c r="S24" s="67">
        <f t="shared" si="17"/>
        <v>14426.020907551449</v>
      </c>
      <c r="T24" s="63">
        <f t="shared" si="40"/>
        <v>39029.708302848856</v>
      </c>
      <c r="U24" s="63">
        <f t="shared" si="41"/>
        <v>27814.800338185272</v>
      </c>
      <c r="V24" s="63">
        <f t="shared" si="42"/>
        <v>8.5531408204024148E-2</v>
      </c>
      <c r="W24" s="63">
        <f t="shared" si="43"/>
        <v>100.14797738804869</v>
      </c>
      <c r="X24" s="63">
        <f t="shared" si="44"/>
        <v>1.076859971914502</v>
      </c>
      <c r="Y24" s="63">
        <f t="shared" si="45"/>
        <v>19.952255055016455</v>
      </c>
      <c r="Z24" s="63">
        <f t="shared" si="46"/>
        <v>-206.71306811287988</v>
      </c>
      <c r="AA24" s="63">
        <f t="shared" si="47"/>
        <v>152.21460286951489</v>
      </c>
      <c r="AB24" s="63">
        <f t="shared" si="48"/>
        <v>16.743849664817837</v>
      </c>
      <c r="AC24" s="63">
        <f t="shared" si="49"/>
        <v>135.47075320469705</v>
      </c>
      <c r="AD24" s="63">
        <f t="shared" si="50"/>
        <v>470.64069791060535</v>
      </c>
      <c r="AE24" s="63">
        <f t="shared" si="51"/>
        <v>395.52971486956886</v>
      </c>
      <c r="AF24" s="63">
        <f t="shared" si="52"/>
        <v>39908.66322478123</v>
      </c>
      <c r="AG24" s="63">
        <f t="shared" si="53"/>
        <v>75.110983041036491</v>
      </c>
      <c r="AH24" s="2">
        <f t="shared" ref="AH24:AH25" si="63">MIN(W24,AH23+((W24-AH23)*$AW23))</f>
        <v>100.14797738804869</v>
      </c>
      <c r="AI24" s="2">
        <f t="shared" si="19"/>
        <v>1.076859971914502</v>
      </c>
      <c r="AJ24" s="2">
        <f t="shared" si="4"/>
        <v>0.57168389689080623</v>
      </c>
      <c r="AK24" s="2">
        <f t="shared" ref="AK24:AK25" si="64">IF($BA24&gt;1, AJ24/$BA24, AJ24)</f>
        <v>0.38382516050935922</v>
      </c>
      <c r="AL24" s="67">
        <f t="shared" si="20"/>
        <v>10676.020204339742</v>
      </c>
      <c r="AM24" s="46">
        <v>0</v>
      </c>
      <c r="AN24" s="46">
        <f t="shared" si="6"/>
        <v>0</v>
      </c>
      <c r="AO24" s="46">
        <f t="shared" si="7"/>
        <v>0</v>
      </c>
      <c r="AP24" s="2">
        <f t="shared" si="54"/>
        <v>0</v>
      </c>
      <c r="AQ24" s="2">
        <f t="shared" ref="AQ24:AQ28" si="65">AP24/$BK$6</f>
        <v>0</v>
      </c>
      <c r="AR24" s="2">
        <f t="shared" si="8"/>
        <v>0</v>
      </c>
      <c r="AS24" s="2">
        <f t="shared" si="22"/>
        <v>0</v>
      </c>
      <c r="AT24" s="64">
        <f t="shared" si="9"/>
        <v>51227.02034943513</v>
      </c>
      <c r="AU24" s="64">
        <f t="shared" si="10"/>
        <v>236.15481075748073</v>
      </c>
      <c r="AV24" s="64">
        <f t="shared" si="23"/>
        <v>4.055886258764998</v>
      </c>
      <c r="AW24" s="64">
        <f t="shared" si="24"/>
        <v>0.10414963850336079</v>
      </c>
      <c r="AX24" s="2">
        <f t="shared" si="11"/>
        <v>236.15481075748073</v>
      </c>
      <c r="AY24" s="2">
        <f t="shared" si="12"/>
        <v>3.0769604626414435</v>
      </c>
      <c r="AZ24" s="3">
        <f t="shared" si="13"/>
        <v>3.2459950691597852</v>
      </c>
      <c r="BA24" s="3">
        <f t="shared" si="14"/>
        <v>1.4894383060561927</v>
      </c>
      <c r="BB24" s="3">
        <f t="shared" si="15"/>
        <v>0.99999999999999989</v>
      </c>
      <c r="BC24" s="68">
        <f t="shared" si="25"/>
        <v>25102.041111891191</v>
      </c>
      <c r="BD24" s="68">
        <f t="shared" si="26"/>
        <v>2.2489269957046911</v>
      </c>
      <c r="BE24" s="26" t="s">
        <v>358</v>
      </c>
      <c r="BF24" s="26">
        <f>0.138071-0.0024519*BF15</f>
        <v>0.10415750763593</v>
      </c>
      <c r="BG24" s="24"/>
      <c r="BH24" s="24" t="s">
        <v>352</v>
      </c>
      <c r="BI24" s="26">
        <f>BI22*BI15</f>
        <v>53.637575844329731</v>
      </c>
      <c r="BJ24" s="26">
        <f t="shared" ref="BJ24:BK24" si="66">BJ22*BJ15</f>
        <v>77.386150645405834</v>
      </c>
      <c r="BK24" s="26">
        <f t="shared" si="66"/>
        <v>23.737243702962395</v>
      </c>
      <c r="BL24" s="24"/>
      <c r="BM24" s="24"/>
    </row>
    <row r="25" spans="1:65">
      <c r="A25" s="62">
        <f t="shared" si="27"/>
        <v>38248.153081461729</v>
      </c>
      <c r="B25" s="62">
        <f t="shared" si="28"/>
        <v>24298.910228826724</v>
      </c>
      <c r="C25" s="62">
        <f t="shared" si="29"/>
        <v>0.21655166485644933</v>
      </c>
      <c r="D25" s="65">
        <f t="shared" si="30"/>
        <v>198.78482945939689</v>
      </c>
      <c r="E25" s="62">
        <f t="shared" si="0"/>
        <v>2.9233063155793659</v>
      </c>
      <c r="F25" s="62">
        <f t="shared" si="31"/>
        <v>19.552718655828006</v>
      </c>
      <c r="G25" s="62">
        <f t="shared" si="32"/>
        <v>-134.17287133994554</v>
      </c>
      <c r="H25" s="62">
        <f t="shared" si="33"/>
        <v>209.41282285397793</v>
      </c>
      <c r="I25" s="62">
        <f t="shared" si="34"/>
        <v>23.035745307288021</v>
      </c>
      <c r="J25" s="62">
        <f t="shared" si="35"/>
        <v>186.37707754668992</v>
      </c>
      <c r="K25" s="62">
        <f t="shared" si="36"/>
        <v>797.71251639350396</v>
      </c>
      <c r="L25" s="62">
        <f t="shared" si="37"/>
        <v>611.3517387753194</v>
      </c>
      <c r="M25" s="62">
        <f t="shared" si="38"/>
        <v>39606.712500962436</v>
      </c>
      <c r="N25" s="62">
        <f t="shared" si="39"/>
        <v>186.36077761818456</v>
      </c>
      <c r="O25" s="2">
        <f t="shared" si="16"/>
        <v>136.74805745062545</v>
      </c>
      <c r="P25" s="2">
        <f t="shared" si="1"/>
        <v>2.011000844862139</v>
      </c>
      <c r="Q25" s="2">
        <f t="shared" si="2"/>
        <v>0.90058864948801476</v>
      </c>
      <c r="R25" s="2">
        <f t="shared" si="3"/>
        <v>0.61953293274184784</v>
      </c>
      <c r="S25" s="67">
        <f t="shared" si="17"/>
        <v>15053.975116495905</v>
      </c>
      <c r="T25" s="63">
        <f t="shared" si="40"/>
        <v>39908.66322478123</v>
      </c>
      <c r="U25" s="63">
        <f t="shared" si="41"/>
        <v>28435.298866982721</v>
      </c>
      <c r="V25" s="63">
        <f t="shared" si="42"/>
        <v>8.0923923381658561E-2</v>
      </c>
      <c r="W25" s="63">
        <f t="shared" si="43"/>
        <v>96.886968151998332</v>
      </c>
      <c r="X25" s="63">
        <f t="shared" si="44"/>
        <v>1.0417953564731004</v>
      </c>
      <c r="Y25" s="63">
        <f t="shared" si="45"/>
        <v>20.401582850350675</v>
      </c>
      <c r="Z25" s="63">
        <f t="shared" si="46"/>
        <v>-213.30714683157083</v>
      </c>
      <c r="AA25" s="63">
        <f t="shared" si="47"/>
        <v>147.2582049594912</v>
      </c>
      <c r="AB25" s="63">
        <f t="shared" si="48"/>
        <v>16.198637970801883</v>
      </c>
      <c r="AC25" s="63">
        <f t="shared" si="49"/>
        <v>131.05956698868931</v>
      </c>
      <c r="AD25" s="63">
        <f t="shared" si="50"/>
        <v>441.99068811187573</v>
      </c>
      <c r="AE25" s="63">
        <f t="shared" si="51"/>
        <v>369.32546199787697</v>
      </c>
      <c r="AF25" s="63">
        <f t="shared" si="52"/>
        <v>40729.3864736654</v>
      </c>
      <c r="AG25" s="63">
        <f t="shared" si="53"/>
        <v>72.665226113998756</v>
      </c>
      <c r="AH25" s="2">
        <f t="shared" si="63"/>
        <v>96.886968151998332</v>
      </c>
      <c r="AI25" s="2">
        <f t="shared" si="19"/>
        <v>1.0417953564731004</v>
      </c>
      <c r="AJ25" s="2">
        <f t="shared" si="4"/>
        <v>0.55306877837834134</v>
      </c>
      <c r="AK25" s="2">
        <f t="shared" si="64"/>
        <v>0.38046706725815216</v>
      </c>
      <c r="AL25" s="67">
        <f t="shared" si="20"/>
        <v>10818.694766529972</v>
      </c>
      <c r="AM25" s="46">
        <v>0</v>
      </c>
      <c r="AN25" s="46">
        <f t="shared" si="6"/>
        <v>0</v>
      </c>
      <c r="AO25" s="46">
        <f t="shared" si="7"/>
        <v>0</v>
      </c>
      <c r="AP25" s="2">
        <f t="shared" si="54"/>
        <v>0</v>
      </c>
      <c r="AQ25" s="2">
        <f t="shared" si="65"/>
        <v>0</v>
      </c>
      <c r="AR25" s="2">
        <f t="shared" si="8"/>
        <v>0</v>
      </c>
      <c r="AS25" s="2">
        <f t="shared" si="22"/>
        <v>0</v>
      </c>
      <c r="AT25" s="64">
        <f t="shared" si="9"/>
        <v>52734.209095809449</v>
      </c>
      <c r="AU25" s="64">
        <f t="shared" si="10"/>
        <v>233.63502560262378</v>
      </c>
      <c r="AV25" s="64">
        <f t="shared" si="23"/>
        <v>3.9651016720524663</v>
      </c>
      <c r="AW25" s="64">
        <f t="shared" si="24"/>
        <v>0.11903830024890005</v>
      </c>
      <c r="AX25" s="2">
        <f t="shared" si="11"/>
        <v>233.63502560262378</v>
      </c>
      <c r="AY25" s="2">
        <f t="shared" si="12"/>
        <v>3.0527962013352394</v>
      </c>
      <c r="AZ25" s="3">
        <f t="shared" si="13"/>
        <v>3.2459950691597852</v>
      </c>
      <c r="BA25" s="3">
        <f t="shared" si="14"/>
        <v>1.4536574278663561</v>
      </c>
      <c r="BB25" s="3">
        <f t="shared" si="15"/>
        <v>1</v>
      </c>
      <c r="BC25" s="68">
        <f t="shared" si="25"/>
        <v>25872.669883025876</v>
      </c>
      <c r="BD25" s="68">
        <f t="shared" si="26"/>
        <v>2.2074533589541323</v>
      </c>
      <c r="BE25" s="26" t="s">
        <v>331</v>
      </c>
      <c r="BF25" s="26"/>
      <c r="BH25" s="24" t="s">
        <v>55</v>
      </c>
      <c r="BI25" s="26">
        <f>BI24+BI23</f>
        <v>61.086584131767793</v>
      </c>
      <c r="BJ25" s="26">
        <f t="shared" ref="BJ25:BK25" si="67">BJ24+BJ23</f>
        <v>88.133282081091281</v>
      </c>
      <c r="BK25" s="26">
        <f t="shared" si="67"/>
        <v>27.033793225958711</v>
      </c>
      <c r="BL25" s="24"/>
      <c r="BM25" s="24"/>
    </row>
    <row r="26" spans="1:65">
      <c r="A26" s="62">
        <f t="shared" si="27"/>
        <v>39606.712500962436</v>
      </c>
      <c r="B26" s="62">
        <f t="shared" si="28"/>
        <v>25151.013705065732</v>
      </c>
      <c r="C26" s="62">
        <f t="shared" si="29"/>
        <v>0.20509776726592693</v>
      </c>
      <c r="D26" s="65">
        <f t="shared" si="30"/>
        <v>194.95795926458095</v>
      </c>
      <c r="E26" s="62">
        <f t="shared" si="0"/>
        <v>2.8670288127144259</v>
      </c>
      <c r="F26" s="62">
        <f t="shared" si="31"/>
        <v>20.247223565650625</v>
      </c>
      <c r="G26" s="62">
        <f t="shared" si="32"/>
        <v>-144.33698683868437</v>
      </c>
      <c r="H26" s="62">
        <f t="shared" si="33"/>
        <v>205.38134976636061</v>
      </c>
      <c r="I26" s="62">
        <f t="shared" si="34"/>
        <v>22.592276822436475</v>
      </c>
      <c r="J26" s="62">
        <f t="shared" si="35"/>
        <v>182.78907294392414</v>
      </c>
      <c r="K26" s="62">
        <f t="shared" si="36"/>
        <v>769.60837788093636</v>
      </c>
      <c r="L26" s="62">
        <f t="shared" si="37"/>
        <v>586.83529107039169</v>
      </c>
      <c r="M26" s="62">
        <f t="shared" si="38"/>
        <v>40910.790925563306</v>
      </c>
      <c r="N26" s="62">
        <f t="shared" si="39"/>
        <v>182.77308681054467</v>
      </c>
      <c r="O26" s="2">
        <f t="shared" si="16"/>
        <v>137.36682902494289</v>
      </c>
      <c r="P26" s="2">
        <f t="shared" si="1"/>
        <v>2.0201004268373954</v>
      </c>
      <c r="Q26" s="2">
        <f t="shared" si="2"/>
        <v>0.88325112997061539</v>
      </c>
      <c r="R26" s="2">
        <f t="shared" si="3"/>
        <v>0.62233625861923803</v>
      </c>
      <c r="S26" s="67">
        <f t="shared" si="17"/>
        <v>15652.387769691788</v>
      </c>
      <c r="T26" s="63">
        <f t="shared" ref="T26:T54" si="68">AF25</f>
        <v>40729.3864736654</v>
      </c>
      <c r="U26" s="63">
        <f t="shared" ref="U26:U54" si="69">T26*(1-$BJ$16) +W25</f>
        <v>29014.751364454431</v>
      </c>
      <c r="V26" s="63">
        <f t="shared" ref="V26:V54" si="70">EXP(-$BJ$4*AF25)</f>
        <v>7.6846039341950376E-2</v>
      </c>
      <c r="W26" s="63">
        <f t="shared" ref="W26:W54" si="71">T26*$BJ$3*V26</f>
        <v>93.896761059863792</v>
      </c>
      <c r="X26" s="63">
        <f t="shared" si="44"/>
        <v>1.0096425920415462</v>
      </c>
      <c r="Y26" s="63">
        <f t="shared" ref="Y26:Y54" si="72">$BJ$30*T26*$BJ$7</f>
        <v>20.821142214316598</v>
      </c>
      <c r="Z26" s="63">
        <f t="shared" ref="Z26:Z54" si="73">AG25 - (Y26*12) - (W26*$BJ$7)</f>
        <v>-219.44202293473916</v>
      </c>
      <c r="AA26" s="63">
        <f t="shared" ref="AA26:AA54" si="74">$BF$6*$BF$7*$BF$8*$BF$9*$BJ$26*W26</f>
        <v>142.71339839526811</v>
      </c>
      <c r="AB26" s="63">
        <f t="shared" ref="AB26:AB54" si="75">$BF$7*$BJ$29*W26</f>
        <v>15.698701982845046</v>
      </c>
      <c r="AC26" s="63">
        <f t="shared" ref="AC26:AC54" si="76">AA26-AB26</f>
        <v>127.01469641242306</v>
      </c>
      <c r="AD26" s="63">
        <f t="shared" ref="AD26:AD54" si="77">Z26+(AC26*$BF$20)</f>
        <v>415.63145912737616</v>
      </c>
      <c r="AE26" s="63">
        <f t="shared" ref="AE26:AE54" si="78">(AD26-($BJ$8*V26*T26*$BJ$7))</f>
        <v>345.2088883324783</v>
      </c>
      <c r="AF26" s="63">
        <f t="shared" ref="AF26:AF54" si="79">T26+(AE26/$BJ$7)</f>
        <v>41496.517336626464</v>
      </c>
      <c r="AG26" s="63">
        <f t="shared" ref="AG26:AG54" si="80">AD26 -AE26</f>
        <v>70.422570794897865</v>
      </c>
      <c r="AH26" s="2">
        <f t="shared" ref="AH26:AH54" si="81">MIN(W26,AH25+((W26-AH25)*$AW25))</f>
        <v>93.896761059863792</v>
      </c>
      <c r="AI26" s="2">
        <f t="shared" ref="AI26:AI54" si="82">AH26/$BJ$6</f>
        <v>1.0096425920415462</v>
      </c>
      <c r="AJ26" s="2">
        <f t="shared" ref="AJ26:AJ54" si="83">X26*(1/$BJ$56)</f>
        <v>0.53599950461439616</v>
      </c>
      <c r="AK26" s="2">
        <f t="shared" ref="AK26:AK54" si="84">IF($BA26&gt;1, AJ26/$BA26, AJ26)</f>
        <v>0.37766374138076203</v>
      </c>
      <c r="AL26" s="67">
        <f t="shared" si="20"/>
        <v>10957.819555532431</v>
      </c>
      <c r="AM26" s="46">
        <v>0</v>
      </c>
      <c r="AN26" s="46">
        <f t="shared" si="6"/>
        <v>0</v>
      </c>
      <c r="AO26" s="46">
        <f t="shared" si="7"/>
        <v>0</v>
      </c>
      <c r="AP26" s="2">
        <f t="shared" si="54"/>
        <v>0</v>
      </c>
      <c r="AQ26" s="2">
        <f t="shared" si="65"/>
        <v>0</v>
      </c>
      <c r="AR26" s="2">
        <f t="shared" si="8"/>
        <v>0</v>
      </c>
      <c r="AS26" s="2">
        <f t="shared" si="22"/>
        <v>0</v>
      </c>
      <c r="AT26" s="64">
        <f t="shared" si="9"/>
        <v>54165.765069520159</v>
      </c>
      <c r="AU26" s="64">
        <f t="shared" si="10"/>
        <v>231.26359008480668</v>
      </c>
      <c r="AV26" s="64">
        <f t="shared" si="23"/>
        <v>3.8766714047559718</v>
      </c>
      <c r="AW26" s="64">
        <f t="shared" si="24"/>
        <v>0.13324237755963042</v>
      </c>
      <c r="AX26" s="2">
        <f t="shared" si="11"/>
        <v>231.26359008480668</v>
      </c>
      <c r="AY26" s="2">
        <f t="shared" si="12"/>
        <v>3.0297430188789418</v>
      </c>
      <c r="AZ26" s="3">
        <f t="shared" si="13"/>
        <v>3.2459950691597852</v>
      </c>
      <c r="BA26" s="3">
        <f t="shared" si="14"/>
        <v>1.4192506345850116</v>
      </c>
      <c r="BB26" s="3">
        <f t="shared" si="15"/>
        <v>1</v>
      </c>
      <c r="BC26" s="68">
        <f t="shared" si="25"/>
        <v>26610.207325224219</v>
      </c>
      <c r="BD26" s="68">
        <f t="shared" si="26"/>
        <v>2.1655613834260325</v>
      </c>
      <c r="BE26" s="28" t="s">
        <v>339</v>
      </c>
      <c r="BF26" s="28">
        <v>0</v>
      </c>
      <c r="BH26" s="24" t="s">
        <v>353</v>
      </c>
      <c r="BI26" s="26">
        <f>$BF$16*(BI25*$BF$23*$BF$17*12)/1000000000</f>
        <v>1.115414432965653</v>
      </c>
      <c r="BJ26" s="26">
        <f t="shared" ref="BJ26:BK26" si="85">$BF$16*(BJ25*$BF$23*$BF$17*12)/1000000000</f>
        <v>1.6092753630786054</v>
      </c>
      <c r="BK26" s="26">
        <f t="shared" si="85"/>
        <v>0.49362529548222134</v>
      </c>
      <c r="BL26" s="24"/>
    </row>
    <row r="27" spans="1:65">
      <c r="A27" s="62">
        <f t="shared" si="27"/>
        <v>40910.790925563306</v>
      </c>
      <c r="B27" s="62">
        <f t="shared" si="28"/>
        <v>25968.756242369465</v>
      </c>
      <c r="C27" s="62">
        <f t="shared" si="29"/>
        <v>0.19467346995717949</v>
      </c>
      <c r="D27" s="65">
        <f t="shared" si="30"/>
        <v>191.1418950761304</v>
      </c>
      <c r="E27" s="62">
        <f t="shared" si="0"/>
        <v>2.8109102217077999</v>
      </c>
      <c r="F27" s="62">
        <f t="shared" si="31"/>
        <v>20.913877416545059</v>
      </c>
      <c r="G27" s="62">
        <f t="shared" si="32"/>
        <v>-154.20729497225472</v>
      </c>
      <c r="H27" s="62">
        <f t="shared" si="33"/>
        <v>201.36126042619981</v>
      </c>
      <c r="I27" s="62">
        <f t="shared" si="34"/>
        <v>22.150060568004619</v>
      </c>
      <c r="J27" s="62">
        <f t="shared" si="35"/>
        <v>179.21119985819519</v>
      </c>
      <c r="K27" s="62">
        <f t="shared" si="36"/>
        <v>741.84870431872127</v>
      </c>
      <c r="L27" s="62">
        <f t="shared" si="37"/>
        <v>562.65317768484908</v>
      </c>
      <c r="M27" s="62">
        <f t="shared" si="38"/>
        <v>42161.131320418528</v>
      </c>
      <c r="N27" s="62">
        <f t="shared" si="39"/>
        <v>179.19552663387219</v>
      </c>
      <c r="O27" s="2">
        <f t="shared" si="16"/>
        <v>137.87988918031058</v>
      </c>
      <c r="P27" s="2">
        <f t="shared" si="1"/>
        <v>2.0276454291222143</v>
      </c>
      <c r="Q27" s="2">
        <f t="shared" si="2"/>
        <v>0.86596256673778449</v>
      </c>
      <c r="R27" s="2">
        <f t="shared" si="3"/>
        <v>0.624660662114642</v>
      </c>
      <c r="S27" s="67">
        <f t="shared" si="17"/>
        <v>16221.660468652253</v>
      </c>
      <c r="T27" s="63">
        <f t="shared" si="68"/>
        <v>41496.517336626464</v>
      </c>
      <c r="U27" s="63">
        <f t="shared" si="69"/>
        <v>29556.424070064651</v>
      </c>
      <c r="V27" s="63">
        <f t="shared" si="70"/>
        <v>7.32204451117794E-2</v>
      </c>
      <c r="W27" s="63">
        <f t="shared" si="71"/>
        <v>91.151804099293813</v>
      </c>
      <c r="X27" s="63">
        <f t="shared" si="44"/>
        <v>0.98012692579885818</v>
      </c>
      <c r="Y27" s="63">
        <f t="shared" si="72"/>
        <v>21.213304782368812</v>
      </c>
      <c r="Z27" s="63">
        <f t="shared" si="73"/>
        <v>-225.15539843821011</v>
      </c>
      <c r="AA27" s="63">
        <f t="shared" si="74"/>
        <v>138.54134675184741</v>
      </c>
      <c r="AB27" s="63">
        <f t="shared" si="75"/>
        <v>15.239769632108786</v>
      </c>
      <c r="AC27" s="63">
        <f t="shared" si="76"/>
        <v>123.30157711973862</v>
      </c>
      <c r="AD27" s="63">
        <f t="shared" si="77"/>
        <v>391.35248716048295</v>
      </c>
      <c r="AE27" s="63">
        <f t="shared" si="78"/>
        <v>322.98863408601261</v>
      </c>
      <c r="AF27" s="63">
        <f t="shared" si="79"/>
        <v>42214.269856817606</v>
      </c>
      <c r="AG27" s="63">
        <f t="shared" si="80"/>
        <v>68.363853074470342</v>
      </c>
      <c r="AH27" s="2">
        <f t="shared" si="81"/>
        <v>91.151804099293813</v>
      </c>
      <c r="AI27" s="2">
        <f t="shared" si="82"/>
        <v>0.98012692579885818</v>
      </c>
      <c r="AJ27" s="2">
        <f t="shared" si="83"/>
        <v>0.52033021470017504</v>
      </c>
      <c r="AK27" s="2">
        <f t="shared" si="84"/>
        <v>0.375339337885358</v>
      </c>
      <c r="AL27" s="67">
        <f t="shared" si="20"/>
        <v>11093.688640716924</v>
      </c>
      <c r="AM27" s="46">
        <v>0</v>
      </c>
      <c r="AN27" s="46">
        <f t="shared" si="6"/>
        <v>0</v>
      </c>
      <c r="AO27" s="46">
        <f t="shared" si="7"/>
        <v>0</v>
      </c>
      <c r="AP27" s="2">
        <f t="shared" si="54"/>
        <v>0</v>
      </c>
      <c r="AQ27" s="2">
        <f t="shared" si="65"/>
        <v>0</v>
      </c>
      <c r="AR27" s="2">
        <f t="shared" si="8"/>
        <v>0</v>
      </c>
      <c r="AS27" s="2">
        <f t="shared" si="22"/>
        <v>0</v>
      </c>
      <c r="AT27" s="64">
        <f t="shared" si="9"/>
        <v>55525.180312434117</v>
      </c>
      <c r="AU27" s="64">
        <f t="shared" si="10"/>
        <v>229.03169327960438</v>
      </c>
      <c r="AV27" s="64">
        <f t="shared" si="23"/>
        <v>3.7910371475066582</v>
      </c>
      <c r="AW27" s="64">
        <f t="shared" si="24"/>
        <v>0.14677946772135775</v>
      </c>
      <c r="AX27" s="2">
        <f t="shared" si="11"/>
        <v>229.03169327960438</v>
      </c>
      <c r="AY27" s="2">
        <f t="shared" si="12"/>
        <v>3.0077723549210726</v>
      </c>
      <c r="AZ27" s="3">
        <f t="shared" si="13"/>
        <v>3.2459950691597852</v>
      </c>
      <c r="BA27" s="3">
        <f t="shared" si="14"/>
        <v>1.3862927814379595</v>
      </c>
      <c r="BB27" s="3">
        <f t="shared" si="15"/>
        <v>1</v>
      </c>
      <c r="BC27" s="68">
        <f t="shared" si="25"/>
        <v>27315.349109369177</v>
      </c>
      <c r="BD27" s="68">
        <f t="shared" si="26"/>
        <v>2.1237452316097643</v>
      </c>
      <c r="BH27" s="24" t="s">
        <v>360</v>
      </c>
      <c r="BI27" s="26">
        <f>3.22-0.046*(AVERAGE($BF$15,BI17))</f>
        <v>2.3924251481000001</v>
      </c>
      <c r="BJ27" s="26">
        <f t="shared" ref="BJ27:BK27" si="86">3.22-0.046*(AVERAGE($BF$15,BJ17))</f>
        <v>2.3924251481000001</v>
      </c>
      <c r="BK27" s="26">
        <f t="shared" si="86"/>
        <v>2.3924251481000001</v>
      </c>
      <c r="BL27" s="24"/>
      <c r="BM27" s="24"/>
    </row>
    <row r="28" spans="1:65">
      <c r="A28" s="62">
        <f t="shared" si="27"/>
        <v>42161.131320418528</v>
      </c>
      <c r="B28" s="62">
        <f t="shared" si="28"/>
        <v>26752.654626939802</v>
      </c>
      <c r="C28" s="62">
        <f t="shared" si="29"/>
        <v>0.18517661144912612</v>
      </c>
      <c r="D28" s="65">
        <f t="shared" si="30"/>
        <v>187.37413038664135</v>
      </c>
      <c r="E28" s="62">
        <f t="shared" si="0"/>
        <v>2.7555019174506081</v>
      </c>
      <c r="F28" s="62">
        <f t="shared" si="31"/>
        <v>21.553060017402991</v>
      </c>
      <c r="G28" s="62">
        <f t="shared" si="32"/>
        <v>-163.75955224895228</v>
      </c>
      <c r="H28" s="62">
        <f t="shared" si="33"/>
        <v>197.39205290859795</v>
      </c>
      <c r="I28" s="62">
        <f t="shared" si="34"/>
        <v>21.713441395400249</v>
      </c>
      <c r="J28" s="62">
        <f t="shared" si="35"/>
        <v>175.67861151319769</v>
      </c>
      <c r="K28" s="62">
        <f t="shared" si="36"/>
        <v>714.63350531703622</v>
      </c>
      <c r="L28" s="62">
        <f t="shared" si="37"/>
        <v>538.97025807955993</v>
      </c>
      <c r="M28" s="62">
        <f t="shared" si="38"/>
        <v>43358.843005039773</v>
      </c>
      <c r="N28" s="62">
        <f t="shared" si="39"/>
        <v>175.6632472374763</v>
      </c>
      <c r="O28" s="2">
        <f t="shared" si="16"/>
        <v>138.30179625577503</v>
      </c>
      <c r="P28" s="2">
        <f t="shared" si="1"/>
        <v>2.033849944937868</v>
      </c>
      <c r="Q28" s="2">
        <f t="shared" si="2"/>
        <v>0.84889282292220503</v>
      </c>
      <c r="R28" s="2">
        <f t="shared" si="3"/>
        <v>0.62657209934219749</v>
      </c>
      <c r="S28" s="67">
        <f t="shared" si="17"/>
        <v>16762.466972578426</v>
      </c>
      <c r="T28" s="63">
        <f t="shared" si="68"/>
        <v>42214.269856817606</v>
      </c>
      <c r="U28" s="63">
        <f t="shared" si="69"/>
        <v>30063.283402439793</v>
      </c>
      <c r="V28" s="63">
        <f t="shared" si="70"/>
        <v>6.998327451520317E-2</v>
      </c>
      <c r="W28" s="63">
        <f t="shared" si="71"/>
        <v>88.628785075455994</v>
      </c>
      <c r="X28" s="63">
        <f t="shared" si="44"/>
        <v>0.95299768898339776</v>
      </c>
      <c r="Y28" s="63">
        <f t="shared" si="72"/>
        <v>21.580224802321645</v>
      </c>
      <c r="Z28" s="63">
        <f t="shared" si="73"/>
        <v>-230.48179783734457</v>
      </c>
      <c r="AA28" s="63">
        <f t="shared" si="74"/>
        <v>134.70661789599001</v>
      </c>
      <c r="AB28" s="63">
        <f t="shared" si="75"/>
        <v>14.8179433272906</v>
      </c>
      <c r="AC28" s="63">
        <f t="shared" si="76"/>
        <v>119.8886745686994</v>
      </c>
      <c r="AD28" s="63">
        <f t="shared" si="77"/>
        <v>368.96157500615237</v>
      </c>
      <c r="AE28" s="63">
        <f t="shared" si="78"/>
        <v>302.48998619956035</v>
      </c>
      <c r="AF28" s="63">
        <f t="shared" si="79"/>
        <v>42886.469826149965</v>
      </c>
      <c r="AG28" s="63">
        <f t="shared" si="80"/>
        <v>66.471588806592024</v>
      </c>
      <c r="AH28" s="2">
        <f t="shared" si="81"/>
        <v>88.628785075455994</v>
      </c>
      <c r="AI28" s="2">
        <f t="shared" si="82"/>
        <v>0.95299768898339776</v>
      </c>
      <c r="AJ28" s="2">
        <f t="shared" si="83"/>
        <v>0.50592783349292991</v>
      </c>
      <c r="AK28" s="2">
        <f t="shared" si="84"/>
        <v>0.37342790065780262</v>
      </c>
      <c r="AL28" s="67">
        <f t="shared" si="20"/>
        <v>11226.468807853653</v>
      </c>
      <c r="AM28" s="46">
        <v>0</v>
      </c>
      <c r="AN28" s="46">
        <f t="shared" si="6"/>
        <v>0</v>
      </c>
      <c r="AO28" s="46">
        <f t="shared" si="7"/>
        <v>0</v>
      </c>
      <c r="AP28" s="2">
        <f t="shared" si="54"/>
        <v>0</v>
      </c>
      <c r="AQ28" s="2">
        <f t="shared" si="65"/>
        <v>0</v>
      </c>
      <c r="AR28" s="2">
        <f t="shared" si="8"/>
        <v>0</v>
      </c>
      <c r="AS28" s="2">
        <f t="shared" si="22"/>
        <v>0</v>
      </c>
      <c r="AT28" s="64">
        <f t="shared" si="9"/>
        <v>56815.938029379598</v>
      </c>
      <c r="AU28" s="64">
        <f t="shared" si="10"/>
        <v>226.93058133123102</v>
      </c>
      <c r="AV28" s="64">
        <f t="shared" si="23"/>
        <v>3.7084996064340059</v>
      </c>
      <c r="AW28" s="64">
        <f t="shared" si="24"/>
        <v>0.15967210652947716</v>
      </c>
      <c r="AX28" s="2">
        <f t="shared" si="11"/>
        <v>226.93058133123102</v>
      </c>
      <c r="AY28" s="2">
        <f t="shared" si="12"/>
        <v>2.9868476339212657</v>
      </c>
      <c r="AZ28" s="3">
        <f t="shared" si="13"/>
        <v>3.2459950691597852</v>
      </c>
      <c r="BA28" s="3">
        <f t="shared" si="14"/>
        <v>1.3548206564151348</v>
      </c>
      <c r="BB28" s="3">
        <f t="shared" si="15"/>
        <v>1</v>
      </c>
      <c r="BC28" s="68">
        <f t="shared" si="25"/>
        <v>27988.935780432079</v>
      </c>
      <c r="BD28" s="68">
        <f t="shared" si="26"/>
        <v>2.0823965474872859</v>
      </c>
      <c r="BH28" s="24" t="s">
        <v>15</v>
      </c>
      <c r="BI28" s="26">
        <f>POWER(BI27,($BF$15-BI17)/10)</f>
        <v>0.48402065027357977</v>
      </c>
      <c r="BJ28" s="26">
        <f t="shared" ref="BJ28:BK28" si="87">POWER(BJ27,($BF$15-BJ17)/10)</f>
        <v>0.48402065027357977</v>
      </c>
      <c r="BK28" s="26">
        <f t="shared" si="87"/>
        <v>0.48402065027357977</v>
      </c>
      <c r="BL28" s="24"/>
      <c r="BM28" s="24"/>
    </row>
    <row r="29" spans="1:65">
      <c r="A29" s="62">
        <f t="shared" si="27"/>
        <v>43358.843005039773</v>
      </c>
      <c r="B29" s="62">
        <f t="shared" si="28"/>
        <v>27503.445223561699</v>
      </c>
      <c r="C29" s="62">
        <f t="shared" si="29"/>
        <v>0.17651424101936197</v>
      </c>
      <c r="D29" s="65">
        <f t="shared" si="30"/>
        <v>183.68287834829442</v>
      </c>
      <c r="E29" s="62">
        <f t="shared" si="0"/>
        <v>2.7012187992396237</v>
      </c>
      <c r="F29" s="62">
        <f t="shared" si="31"/>
        <v>22.165338459980852</v>
      </c>
      <c r="G29" s="62">
        <f t="shared" si="32"/>
        <v>-172.97810953902638</v>
      </c>
      <c r="H29" s="62">
        <f t="shared" si="33"/>
        <v>193.50344877659288</v>
      </c>
      <c r="I29" s="62">
        <f t="shared" si="34"/>
        <v>21.285688724074113</v>
      </c>
      <c r="J29" s="62">
        <f t="shared" si="35"/>
        <v>172.21776005251877</v>
      </c>
      <c r="K29" s="62">
        <f t="shared" si="36"/>
        <v>688.11069072356747</v>
      </c>
      <c r="L29" s="62">
        <f t="shared" si="37"/>
        <v>515.90799227204138</v>
      </c>
      <c r="M29" s="62">
        <f t="shared" si="38"/>
        <v>44505.305210088751</v>
      </c>
      <c r="N29" s="62">
        <f t="shared" si="39"/>
        <v>172.20269845152609</v>
      </c>
      <c r="O29" s="2">
        <f t="shared" si="16"/>
        <v>138.64515614817617</v>
      </c>
      <c r="P29" s="2">
        <f t="shared" si="1"/>
        <v>2.0388993551202379</v>
      </c>
      <c r="Q29" s="2">
        <f t="shared" si="2"/>
        <v>0.83216971735537015</v>
      </c>
      <c r="R29" s="2">
        <f t="shared" si="3"/>
        <v>0.62812768093575699</v>
      </c>
      <c r="S29" s="67">
        <f t="shared" si="17"/>
        <v>17275.675266019432</v>
      </c>
      <c r="T29" s="63">
        <f t="shared" si="68"/>
        <v>42886.469826149965</v>
      </c>
      <c r="U29" s="63">
        <f t="shared" si="69"/>
        <v>30538.022361641932</v>
      </c>
      <c r="V29" s="63">
        <f t="shared" si="70"/>
        <v>6.7081458534933386E-2</v>
      </c>
      <c r="W29" s="63">
        <f t="shared" si="71"/>
        <v>86.306608420576524</v>
      </c>
      <c r="X29" s="63">
        <f t="shared" si="44"/>
        <v>0.92802804753308088</v>
      </c>
      <c r="Y29" s="63">
        <f t="shared" si="72"/>
        <v>21.923858045286838</v>
      </c>
      <c r="Z29" s="63">
        <f t="shared" si="73"/>
        <v>-235.45268152610947</v>
      </c>
      <c r="AA29" s="63">
        <f t="shared" si="74"/>
        <v>131.17714873910697</v>
      </c>
      <c r="AB29" s="63">
        <f t="shared" si="75"/>
        <v>14.429696077385666</v>
      </c>
      <c r="AC29" s="63">
        <f t="shared" si="76"/>
        <v>116.7474526617213</v>
      </c>
      <c r="AD29" s="63">
        <f t="shared" si="77"/>
        <v>348.28458178249707</v>
      </c>
      <c r="AE29" s="63">
        <f t="shared" si="78"/>
        <v>283.55462546706468</v>
      </c>
      <c r="AF29" s="63">
        <f t="shared" si="79"/>
        <v>43516.591216076777</v>
      </c>
      <c r="AG29" s="63">
        <f t="shared" si="80"/>
        <v>64.729956315432389</v>
      </c>
      <c r="AH29" s="2">
        <f t="shared" si="81"/>
        <v>86.306608420576524</v>
      </c>
      <c r="AI29" s="2">
        <f t="shared" si="82"/>
        <v>0.92802804753308088</v>
      </c>
      <c r="AJ29" s="2">
        <f t="shared" si="83"/>
        <v>0.49267193922572555</v>
      </c>
      <c r="AK29" s="2">
        <f t="shared" si="84"/>
        <v>0.37187231906424306</v>
      </c>
      <c r="AL29" s="67">
        <f t="shared" si="20"/>
        <v>11356.245195259498</v>
      </c>
      <c r="AM29" s="46">
        <v>0</v>
      </c>
      <c r="AN29" s="46">
        <f t="shared" si="6"/>
        <v>0</v>
      </c>
      <c r="AO29" s="46">
        <f t="shared" si="7"/>
        <v>0</v>
      </c>
      <c r="AP29" s="2">
        <f t="shared" ref="AP29:AP33" si="88">MIN(AN29,AP28+((AN29-AP28)*$AW28))</f>
        <v>0</v>
      </c>
      <c r="AQ29" s="2">
        <f t="shared" ref="AQ29:AQ33" si="89">AP29/$BK$6</f>
        <v>0</v>
      </c>
      <c r="AR29" s="2">
        <f t="shared" si="8"/>
        <v>0</v>
      </c>
      <c r="AS29" s="2">
        <f t="shared" si="22"/>
        <v>0</v>
      </c>
      <c r="AT29" s="64">
        <f t="shared" si="9"/>
        <v>58041.467585203631</v>
      </c>
      <c r="AU29" s="64">
        <f t="shared" si="10"/>
        <v>224.95176456875271</v>
      </c>
      <c r="AV29" s="64">
        <f t="shared" si="23"/>
        <v>3.6292468467727046</v>
      </c>
      <c r="AW29" s="64">
        <f t="shared" si="24"/>
        <v>0.17194583513566586</v>
      </c>
      <c r="AX29" s="2">
        <f t="shared" si="11"/>
        <v>224.95176456875271</v>
      </c>
      <c r="AY29" s="2">
        <f t="shared" si="12"/>
        <v>2.9669274026533188</v>
      </c>
      <c r="AZ29" s="3">
        <f t="shared" si="13"/>
        <v>3.2459950691597852</v>
      </c>
      <c r="BA29" s="3">
        <f t="shared" si="14"/>
        <v>1.3248416565810957</v>
      </c>
      <c r="BB29" s="3">
        <f t="shared" si="15"/>
        <v>1</v>
      </c>
      <c r="BC29" s="68">
        <f t="shared" si="25"/>
        <v>28631.920461278933</v>
      </c>
      <c r="BD29" s="68">
        <f t="shared" si="26"/>
        <v>2.0418182422592435</v>
      </c>
      <c r="BH29" s="24" t="s">
        <v>356</v>
      </c>
      <c r="BI29" s="26">
        <f>BI23*BI28*$BF$16*3600*24*12/1000000000</f>
        <v>0.11588281344172305</v>
      </c>
      <c r="BJ29" s="26">
        <f t="shared" ref="BJ29:BK29" si="90">BJ23*BJ28*$BF$16*3600*24*12/1000000000</f>
        <v>0.16719109163772278</v>
      </c>
      <c r="BK29" s="26">
        <f t="shared" si="90"/>
        <v>5.1283797605515734E-2</v>
      </c>
      <c r="BL29" s="24"/>
    </row>
    <row r="30" spans="1:65">
      <c r="A30" s="62">
        <f t="shared" si="27"/>
        <v>44505.305210088751</v>
      </c>
      <c r="B30" s="62">
        <f t="shared" si="28"/>
        <v>28222.025160704208</v>
      </c>
      <c r="C30" s="62">
        <f t="shared" si="29"/>
        <v>0.16860236463340822</v>
      </c>
      <c r="D30" s="65">
        <f t="shared" si="30"/>
        <v>180.08879273166013</v>
      </c>
      <c r="E30" s="62">
        <f t="shared" si="0"/>
        <v>2.648364598995002</v>
      </c>
      <c r="F30" s="62">
        <f t="shared" si="31"/>
        <v>22.751417816469512</v>
      </c>
      <c r="G30" s="62">
        <f t="shared" si="32"/>
        <v>-181.85427207535514</v>
      </c>
      <c r="H30" s="62">
        <f t="shared" si="33"/>
        <v>189.71720605070118</v>
      </c>
      <c r="I30" s="62">
        <f t="shared" si="34"/>
        <v>20.869195971068102</v>
      </c>
      <c r="J30" s="62">
        <f t="shared" si="35"/>
        <v>168.84801007963307</v>
      </c>
      <c r="K30" s="62">
        <f t="shared" si="36"/>
        <v>662.38577832281021</v>
      </c>
      <c r="L30" s="62">
        <f t="shared" si="37"/>
        <v>493.55253513687882</v>
      </c>
      <c r="M30" s="62">
        <f t="shared" si="38"/>
        <v>45602.088621504037</v>
      </c>
      <c r="N30" s="62">
        <f t="shared" si="39"/>
        <v>168.83324318593139</v>
      </c>
      <c r="O30" s="2">
        <f t="shared" si="16"/>
        <v>138.92085497041765</v>
      </c>
      <c r="P30" s="2">
        <f t="shared" si="1"/>
        <v>2.0429537495649654</v>
      </c>
      <c r="Q30" s="2">
        <f t="shared" si="2"/>
        <v>0.81588682131933188</v>
      </c>
      <c r="R30" s="2">
        <f t="shared" si="3"/>
        <v>0.62937672610013462</v>
      </c>
      <c r="S30" s="67">
        <f t="shared" si="17"/>
        <v>17762.285799559639</v>
      </c>
      <c r="T30" s="63">
        <f t="shared" si="68"/>
        <v>43516.591216076777</v>
      </c>
      <c r="U30" s="63">
        <f t="shared" si="69"/>
        <v>30983.086371835085</v>
      </c>
      <c r="V30" s="63">
        <f t="shared" si="70"/>
        <v>6.4470646833770212E-2</v>
      </c>
      <c r="W30" s="63">
        <f t="shared" si="71"/>
        <v>84.16628351103698</v>
      </c>
      <c r="X30" s="63">
        <f t="shared" si="44"/>
        <v>0.90501380119394603</v>
      </c>
      <c r="Y30" s="63">
        <f t="shared" si="72"/>
        <v>22.245980429340719</v>
      </c>
      <c r="Z30" s="63">
        <f t="shared" si="73"/>
        <v>-240.09663641662289</v>
      </c>
      <c r="AA30" s="63">
        <f t="shared" si="74"/>
        <v>127.92407549075827</v>
      </c>
      <c r="AB30" s="63">
        <f t="shared" si="75"/>
        <v>14.071852819300339</v>
      </c>
      <c r="AC30" s="63">
        <f t="shared" si="76"/>
        <v>113.85222267145792</v>
      </c>
      <c r="AD30" s="63">
        <f t="shared" si="77"/>
        <v>329.16447694066665</v>
      </c>
      <c r="AE30" s="63">
        <f t="shared" si="78"/>
        <v>266.03976430738891</v>
      </c>
      <c r="AF30" s="63">
        <f t="shared" si="79"/>
        <v>44107.790692315415</v>
      </c>
      <c r="AG30" s="63">
        <f t="shared" si="80"/>
        <v>63.124712633277738</v>
      </c>
      <c r="AH30" s="2">
        <f t="shared" si="81"/>
        <v>84.16628351103698</v>
      </c>
      <c r="AI30" s="2">
        <f t="shared" si="82"/>
        <v>0.90501380119394603</v>
      </c>
      <c r="AJ30" s="2">
        <f t="shared" si="83"/>
        <v>0.4804541259776664</v>
      </c>
      <c r="AK30" s="2">
        <f t="shared" si="84"/>
        <v>0.37062327389986544</v>
      </c>
      <c r="AL30" s="67">
        <f t="shared" si="20"/>
        <v>11483.052906651823</v>
      </c>
      <c r="AM30" s="46">
        <v>0</v>
      </c>
      <c r="AN30" s="46">
        <f t="shared" si="6"/>
        <v>0</v>
      </c>
      <c r="AO30" s="46">
        <f t="shared" si="7"/>
        <v>0</v>
      </c>
      <c r="AP30" s="2">
        <f t="shared" si="88"/>
        <v>0</v>
      </c>
      <c r="AQ30" s="2">
        <f t="shared" si="89"/>
        <v>0</v>
      </c>
      <c r="AR30" s="2">
        <f t="shared" si="8"/>
        <v>0</v>
      </c>
      <c r="AS30" s="2">
        <f t="shared" si="22"/>
        <v>0</v>
      </c>
      <c r="AT30" s="64">
        <f t="shared" si="9"/>
        <v>59205.111532539289</v>
      </c>
      <c r="AU30" s="64">
        <f t="shared" si="10"/>
        <v>223.08713848145464</v>
      </c>
      <c r="AV30" s="64">
        <f t="shared" si="23"/>
        <v>3.5533784001889481</v>
      </c>
      <c r="AW30" s="64">
        <f t="shared" si="24"/>
        <v>0.1836278318672967</v>
      </c>
      <c r="AX30" s="2">
        <f t="shared" si="11"/>
        <v>223.08713848145464</v>
      </c>
      <c r="AY30" s="2">
        <f t="shared" si="12"/>
        <v>2.9479675507589116</v>
      </c>
      <c r="AZ30" s="3">
        <f t="shared" si="13"/>
        <v>3.2459950691597852</v>
      </c>
      <c r="BA30" s="3">
        <f t="shared" si="14"/>
        <v>1.2963409472969982</v>
      </c>
      <c r="BB30" s="3">
        <f t="shared" si="15"/>
        <v>1</v>
      </c>
      <c r="BC30" s="68">
        <f t="shared" si="25"/>
        <v>29245.338706211463</v>
      </c>
      <c r="BD30" s="68">
        <f t="shared" si="26"/>
        <v>2.0022382187580323</v>
      </c>
      <c r="BH30" s="24" t="s">
        <v>367</v>
      </c>
      <c r="BI30" s="26">
        <f>BI18*BI33</f>
        <v>1.136015268745088E-3</v>
      </c>
      <c r="BJ30" s="26">
        <f t="shared" ref="BJ30:BK30" si="91">BJ18*BJ33</f>
        <v>1.136015268745088E-3</v>
      </c>
      <c r="BK30" s="26">
        <f t="shared" si="91"/>
        <v>1.136015268745088E-3</v>
      </c>
      <c r="BL30" s="24"/>
      <c r="BM30" s="24"/>
    </row>
    <row r="31" spans="1:65">
      <c r="A31" s="62">
        <f t="shared" si="27"/>
        <v>45602.088621504037</v>
      </c>
      <c r="B31" s="62">
        <f t="shared" si="28"/>
        <v>28909.404624279206</v>
      </c>
      <c r="C31" s="62">
        <f t="shared" si="29"/>
        <v>0.16136546059160445</v>
      </c>
      <c r="D31" s="65">
        <f t="shared" si="30"/>
        <v>176.60644882435591</v>
      </c>
      <c r="E31" s="62">
        <f t="shared" si="0"/>
        <v>2.5971536591817044</v>
      </c>
      <c r="F31" s="62">
        <f t="shared" si="31"/>
        <v>23.312101032312853</v>
      </c>
      <c r="G31" s="62">
        <f t="shared" si="32"/>
        <v>-190.38487117278299</v>
      </c>
      <c r="H31" s="62">
        <f t="shared" si="33"/>
        <v>186.04867928354219</v>
      </c>
      <c r="I31" s="62">
        <f t="shared" si="34"/>
        <v>20.465652161718044</v>
      </c>
      <c r="J31" s="62">
        <f t="shared" si="35"/>
        <v>165.58302712182413</v>
      </c>
      <c r="K31" s="62">
        <f t="shared" si="36"/>
        <v>637.53026443633757</v>
      </c>
      <c r="L31" s="62">
        <f t="shared" si="37"/>
        <v>471.96171866350392</v>
      </c>
      <c r="M31" s="62">
        <f t="shared" si="38"/>
        <v>46650.892440756266</v>
      </c>
      <c r="N31" s="62">
        <f t="shared" si="39"/>
        <v>165.56854577283366</v>
      </c>
      <c r="O31" s="2">
        <f t="shared" si="16"/>
        <v>139.13827968245329</v>
      </c>
      <c r="P31" s="2">
        <f t="shared" si="1"/>
        <v>2.0461511718007834</v>
      </c>
      <c r="Q31" s="2">
        <f t="shared" si="2"/>
        <v>0.80011016771321497</v>
      </c>
      <c r="R31" s="2">
        <f t="shared" si="3"/>
        <v>0.63036176217310846</v>
      </c>
      <c r="S31" s="67">
        <f t="shared" si="17"/>
        <v>18223.383242336051</v>
      </c>
      <c r="T31" s="63">
        <f t="shared" si="68"/>
        <v>44107.790692315415</v>
      </c>
      <c r="U31" s="63">
        <f t="shared" si="69"/>
        <v>31400.69767505498</v>
      </c>
      <c r="V31" s="63">
        <f t="shared" si="70"/>
        <v>6.2113568868291287E-2</v>
      </c>
      <c r="W31" s="63">
        <f t="shared" si="71"/>
        <v>82.190768843859331</v>
      </c>
      <c r="X31" s="63">
        <f t="shared" si="44"/>
        <v>0.88377170799848748</v>
      </c>
      <c r="Y31" s="63">
        <f t="shared" si="72"/>
        <v>22.548205663687256</v>
      </c>
      <c r="Z31" s="63">
        <f t="shared" si="73"/>
        <v>-244.43960131070602</v>
      </c>
      <c r="AA31" s="63">
        <f t="shared" si="74"/>
        <v>124.92149682297149</v>
      </c>
      <c r="AB31" s="63">
        <f t="shared" si="75"/>
        <v>13.741564365548575</v>
      </c>
      <c r="AC31" s="63">
        <f t="shared" si="76"/>
        <v>111.17993245742292</v>
      </c>
      <c r="AD31" s="63">
        <f t="shared" si="77"/>
        <v>311.4600609764085</v>
      </c>
      <c r="AE31" s="63">
        <f t="shared" si="78"/>
        <v>249.81698434351398</v>
      </c>
      <c r="AF31" s="63">
        <f t="shared" si="79"/>
        <v>44662.939546412112</v>
      </c>
      <c r="AG31" s="63">
        <f t="shared" si="80"/>
        <v>61.64307663289452</v>
      </c>
      <c r="AH31" s="2">
        <f t="shared" si="81"/>
        <v>82.190768843859331</v>
      </c>
      <c r="AI31" s="2">
        <f t="shared" si="82"/>
        <v>0.88377170799848748</v>
      </c>
      <c r="AJ31" s="2">
        <f t="shared" si="83"/>
        <v>0.46917711417221547</v>
      </c>
      <c r="AK31" s="2">
        <f t="shared" si="84"/>
        <v>0.36963823782689159</v>
      </c>
      <c r="AL31" s="67">
        <f t="shared" si="20"/>
        <v>11606.898555142294</v>
      </c>
      <c r="AM31" s="46">
        <v>0</v>
      </c>
      <c r="AN31" s="46">
        <f t="shared" si="6"/>
        <v>0</v>
      </c>
      <c r="AO31" s="46">
        <f t="shared" si="7"/>
        <v>0</v>
      </c>
      <c r="AP31" s="2">
        <f t="shared" si="88"/>
        <v>0</v>
      </c>
      <c r="AQ31" s="2">
        <f t="shared" si="89"/>
        <v>0</v>
      </c>
      <c r="AR31" s="2">
        <f t="shared" si="8"/>
        <v>0</v>
      </c>
      <c r="AS31" s="2">
        <f t="shared" si="22"/>
        <v>0</v>
      </c>
      <c r="AT31" s="64">
        <f t="shared" si="9"/>
        <v>60310.10229933419</v>
      </c>
      <c r="AU31" s="64">
        <f t="shared" si="10"/>
        <v>221.32904852631262</v>
      </c>
      <c r="AV31" s="64">
        <f t="shared" si="23"/>
        <v>3.4809253671801921</v>
      </c>
      <c r="AW31" s="64">
        <f t="shared" si="24"/>
        <v>0.19474594546585577</v>
      </c>
      <c r="AX31" s="2">
        <f t="shared" si="11"/>
        <v>221.32904852631262</v>
      </c>
      <c r="AY31" s="2">
        <f t="shared" si="12"/>
        <v>2.9299228797992711</v>
      </c>
      <c r="AZ31" s="3">
        <f t="shared" si="13"/>
        <v>3.2459950691597852</v>
      </c>
      <c r="BA31" s="3">
        <f t="shared" si="14"/>
        <v>1.2692872818854304</v>
      </c>
      <c r="BB31" s="3">
        <f t="shared" si="15"/>
        <v>1</v>
      </c>
      <c r="BC31" s="68">
        <f t="shared" si="25"/>
        <v>29830.281797478347</v>
      </c>
      <c r="BD31" s="68">
        <f t="shared" si="26"/>
        <v>1.963822174021939</v>
      </c>
      <c r="BH31" s="24" t="s">
        <v>368</v>
      </c>
      <c r="BI31" s="26">
        <f>POWER($BF$14,($BF$19-BI17)/10)</f>
        <v>0.71917652749025207</v>
      </c>
      <c r="BJ31" s="26">
        <f t="shared" ref="BJ31:BK31" si="92">POWER($BF$14,($BF$19-BJ17)/10)</f>
        <v>0.71917652749025207</v>
      </c>
      <c r="BK31" s="26">
        <f t="shared" si="92"/>
        <v>0.71917652749025207</v>
      </c>
      <c r="BL31" s="24"/>
      <c r="BM31" s="24"/>
    </row>
    <row r="32" spans="1:65">
      <c r="A32" s="62">
        <f t="shared" si="27"/>
        <v>46650.892440756266</v>
      </c>
      <c r="B32" s="62">
        <f t="shared" si="28"/>
        <v>29566.668686500805</v>
      </c>
      <c r="C32" s="62">
        <f t="shared" si="29"/>
        <v>0.15473586729494754</v>
      </c>
      <c r="D32" s="65">
        <f t="shared" si="30"/>
        <v>173.24559124568961</v>
      </c>
      <c r="E32" s="62">
        <f t="shared" si="0"/>
        <v>2.547729283024847</v>
      </c>
      <c r="F32" s="62">
        <f t="shared" si="31"/>
        <v>23.848256750977768</v>
      </c>
      <c r="G32" s="62">
        <f t="shared" si="32"/>
        <v>-198.5710512994599</v>
      </c>
      <c r="H32" s="62">
        <f t="shared" si="33"/>
        <v>182.50813408865622</v>
      </c>
      <c r="I32" s="62">
        <f t="shared" si="34"/>
        <v>20.076186529925256</v>
      </c>
      <c r="J32" s="62">
        <f t="shared" si="35"/>
        <v>162.43194755873097</v>
      </c>
      <c r="K32" s="62">
        <f t="shared" si="36"/>
        <v>613.58868649419492</v>
      </c>
      <c r="L32" s="62">
        <f t="shared" si="37"/>
        <v>451.1709447013609</v>
      </c>
      <c r="M32" s="62">
        <f t="shared" si="38"/>
        <v>47653.494540092623</v>
      </c>
      <c r="N32" s="62">
        <f t="shared" si="39"/>
        <v>162.41774179283402</v>
      </c>
      <c r="O32" s="2">
        <f t="shared" si="16"/>
        <v>139.30551956989842</v>
      </c>
      <c r="P32" s="2">
        <f t="shared" si="1"/>
        <v>2.0486105819102711</v>
      </c>
      <c r="Q32" s="2">
        <f t="shared" si="2"/>
        <v>0.78488390423966914</v>
      </c>
      <c r="R32" s="2">
        <f t="shared" si="3"/>
        <v>0.63111943741816801</v>
      </c>
      <c r="S32" s="67">
        <f t="shared" si="17"/>
        <v>18660.099307753753</v>
      </c>
      <c r="T32" s="63">
        <f t="shared" si="68"/>
        <v>44662.939546412112</v>
      </c>
      <c r="U32" s="63">
        <f t="shared" si="69"/>
        <v>31792.877846796455</v>
      </c>
      <c r="V32" s="63">
        <f t="shared" si="70"/>
        <v>5.9978735289287662E-2</v>
      </c>
      <c r="W32" s="63">
        <f t="shared" si="71"/>
        <v>80.364798848871274</v>
      </c>
      <c r="X32" s="63">
        <f t="shared" si="44"/>
        <v>0.86413762203087396</v>
      </c>
      <c r="Y32" s="63">
        <f t="shared" si="72"/>
        <v>22.83200157229334</v>
      </c>
      <c r="Z32" s="63">
        <f t="shared" si="73"/>
        <v>-248.50510171661765</v>
      </c>
      <c r="AA32" s="63">
        <f t="shared" si="74"/>
        <v>122.14621064258453</v>
      </c>
      <c r="AB32" s="63">
        <f t="shared" si="75"/>
        <v>13.436278448788794</v>
      </c>
      <c r="AC32" s="63">
        <f t="shared" si="76"/>
        <v>108.70993219379574</v>
      </c>
      <c r="AD32" s="63">
        <f t="shared" si="77"/>
        <v>295.04455925236107</v>
      </c>
      <c r="AE32" s="63">
        <f t="shared" si="78"/>
        <v>234.7709601157076</v>
      </c>
      <c r="AF32" s="63">
        <f t="shared" si="79"/>
        <v>45184.652791113687</v>
      </c>
      <c r="AG32" s="63">
        <f t="shared" si="80"/>
        <v>60.273599136653473</v>
      </c>
      <c r="AH32" s="2">
        <f t="shared" si="81"/>
        <v>80.364798848871274</v>
      </c>
      <c r="AI32" s="2">
        <f t="shared" si="82"/>
        <v>0.86413762203087396</v>
      </c>
      <c r="AJ32" s="2">
        <f t="shared" si="83"/>
        <v>0.45875376195317169</v>
      </c>
      <c r="AK32" s="2">
        <f t="shared" si="84"/>
        <v>0.36888056258183199</v>
      </c>
      <c r="AL32" s="67">
        <f t="shared" si="20"/>
        <v>11727.77466622174</v>
      </c>
      <c r="AM32" s="46">
        <v>0</v>
      </c>
      <c r="AN32" s="46">
        <f t="shared" si="6"/>
        <v>0</v>
      </c>
      <c r="AO32" s="46">
        <f t="shared" si="7"/>
        <v>0</v>
      </c>
      <c r="AP32" s="2">
        <f t="shared" si="88"/>
        <v>0</v>
      </c>
      <c r="AQ32" s="2">
        <f t="shared" si="89"/>
        <v>0</v>
      </c>
      <c r="AR32" s="2">
        <f t="shared" si="8"/>
        <v>0</v>
      </c>
      <c r="AS32" s="2">
        <f t="shared" si="22"/>
        <v>0</v>
      </c>
      <c r="AT32" s="64">
        <f t="shared" si="9"/>
        <v>61359.54653329726</v>
      </c>
      <c r="AU32" s="64">
        <f t="shared" si="10"/>
        <v>219.67031841876968</v>
      </c>
      <c r="AV32" s="64">
        <f t="shared" si="23"/>
        <v>3.4118669050557209</v>
      </c>
      <c r="AW32" s="64">
        <f t="shared" si="24"/>
        <v>0.20532801690601465</v>
      </c>
      <c r="AX32" s="2">
        <f t="shared" si="11"/>
        <v>219.67031841876968</v>
      </c>
      <c r="AY32" s="2">
        <f t="shared" si="12"/>
        <v>2.912748203941145</v>
      </c>
      <c r="AZ32" s="3">
        <f t="shared" si="13"/>
        <v>3.2459950691597852</v>
      </c>
      <c r="BA32" s="3">
        <f t="shared" si="14"/>
        <v>1.2436376661928408</v>
      </c>
      <c r="BB32" s="3">
        <f t="shared" si="15"/>
        <v>1</v>
      </c>
      <c r="BC32" s="68">
        <f t="shared" si="25"/>
        <v>30387.873973975493</v>
      </c>
      <c r="BD32" s="68">
        <f t="shared" si="26"/>
        <v>1.9266850439593093</v>
      </c>
      <c r="BH32" s="24" t="s">
        <v>369</v>
      </c>
      <c r="BI32" s="26">
        <f>POWER($BF$14,($BF$21-BI17)/10)</f>
        <v>0.34284271521670917</v>
      </c>
      <c r="BJ32" s="26">
        <f t="shared" ref="BJ32:BK32" si="93">POWER($BF$14,($BF$21-BJ17)/10)</f>
        <v>0.34284271521670917</v>
      </c>
      <c r="BK32" s="26">
        <f t="shared" si="93"/>
        <v>0.34284271521670917</v>
      </c>
      <c r="BL32" s="24"/>
      <c r="BM32" s="24"/>
    </row>
    <row r="33" spans="1:65">
      <c r="A33" s="62">
        <f t="shared" si="27"/>
        <v>47653.494540092623</v>
      </c>
      <c r="B33" s="62">
        <f t="shared" si="28"/>
        <v>30194.947151504042</v>
      </c>
      <c r="C33" s="62">
        <f t="shared" si="29"/>
        <v>0.14865311394305267</v>
      </c>
      <c r="D33" s="65">
        <f t="shared" si="30"/>
        <v>170.01216848767265</v>
      </c>
      <c r="E33" s="62">
        <f t="shared" si="0"/>
        <v>2.5001789483481272</v>
      </c>
      <c r="F33" s="62">
        <f t="shared" si="31"/>
        <v>24.360793832972661</v>
      </c>
      <c r="G33" s="62">
        <f t="shared" si="32"/>
        <v>-206.41726002229061</v>
      </c>
      <c r="H33" s="62">
        <f t="shared" si="33"/>
        <v>179.10183699305753</v>
      </c>
      <c r="I33" s="62">
        <f t="shared" si="34"/>
        <v>19.701488403679758</v>
      </c>
      <c r="J33" s="62">
        <f t="shared" si="35"/>
        <v>159.40034858937778</v>
      </c>
      <c r="K33" s="62">
        <f t="shared" si="36"/>
        <v>590.58448292459832</v>
      </c>
      <c r="L33" s="62">
        <f t="shared" si="37"/>
        <v>431.1980749674052</v>
      </c>
      <c r="M33" s="62">
        <f t="shared" si="38"/>
        <v>48611.712484464631</v>
      </c>
      <c r="N33" s="62">
        <f t="shared" si="39"/>
        <v>159.38640795719311</v>
      </c>
      <c r="O33" s="2">
        <f t="shared" si="16"/>
        <v>139.42954584044469</v>
      </c>
      <c r="P33" s="2">
        <f t="shared" si="1"/>
        <v>2.0504344976535984</v>
      </c>
      <c r="Q33" s="2">
        <f t="shared" si="2"/>
        <v>0.77023498036159677</v>
      </c>
      <c r="R33" s="2">
        <f t="shared" si="3"/>
        <v>0.63168133468063048</v>
      </c>
      <c r="S33" s="67">
        <f t="shared" si="17"/>
        <v>19073.584517273175</v>
      </c>
      <c r="T33" s="63">
        <f t="shared" si="68"/>
        <v>45184.652791113687</v>
      </c>
      <c r="U33" s="63">
        <f t="shared" si="69"/>
        <v>32161.468280539586</v>
      </c>
      <c r="V33" s="63">
        <f t="shared" si="70"/>
        <v>5.8039403649376035E-2</v>
      </c>
      <c r="W33" s="63">
        <f t="shared" si="71"/>
        <v>78.674709063010582</v>
      </c>
      <c r="X33" s="63">
        <f t="shared" si="44"/>
        <v>0.84596461358075892</v>
      </c>
      <c r="Y33" s="63">
        <f t="shared" si="72"/>
        <v>23.098704967642728</v>
      </c>
      <c r="Z33" s="63">
        <f t="shared" si="73"/>
        <v>-252.314479553414</v>
      </c>
      <c r="AA33" s="63">
        <f t="shared" si="74"/>
        <v>119.57744837420837</v>
      </c>
      <c r="AB33" s="63">
        <f t="shared" si="75"/>
        <v>13.153710492524981</v>
      </c>
      <c r="AC33" s="63">
        <f t="shared" si="76"/>
        <v>106.42373788168339</v>
      </c>
      <c r="AD33" s="63">
        <f t="shared" si="77"/>
        <v>279.80420985500291</v>
      </c>
      <c r="AE33" s="63">
        <f t="shared" si="78"/>
        <v>220.79817805774496</v>
      </c>
      <c r="AF33" s="63">
        <f t="shared" si="79"/>
        <v>45675.315409019786</v>
      </c>
      <c r="AG33" s="63">
        <f t="shared" si="80"/>
        <v>59.006031797257947</v>
      </c>
      <c r="AH33" s="2">
        <f t="shared" si="81"/>
        <v>78.674709063010582</v>
      </c>
      <c r="AI33" s="2">
        <f t="shared" si="82"/>
        <v>0.84596461358075892</v>
      </c>
      <c r="AJ33" s="2">
        <f t="shared" si="83"/>
        <v>0.44910606721109603</v>
      </c>
      <c r="AK33" s="2">
        <f t="shared" si="84"/>
        <v>0.36831866531936946</v>
      </c>
      <c r="AL33" s="67">
        <f t="shared" si="20"/>
        <v>11845.669071799577</v>
      </c>
      <c r="AM33" s="46">
        <v>0</v>
      </c>
      <c r="AN33" s="46">
        <f t="shared" si="6"/>
        <v>0</v>
      </c>
      <c r="AO33" s="46">
        <f t="shared" si="7"/>
        <v>0</v>
      </c>
      <c r="AP33" s="2">
        <f t="shared" si="88"/>
        <v>0</v>
      </c>
      <c r="AQ33" s="2">
        <f t="shared" si="89"/>
        <v>0</v>
      </c>
      <c r="AR33" s="2">
        <f t="shared" si="8"/>
        <v>0</v>
      </c>
      <c r="AS33" s="2">
        <f t="shared" si="22"/>
        <v>0</v>
      </c>
      <c r="AT33" s="64">
        <f t="shared" si="9"/>
        <v>62356.415432043628</v>
      </c>
      <c r="AU33" s="64">
        <f t="shared" si="10"/>
        <v>218.10425490345528</v>
      </c>
      <c r="AV33" s="64">
        <f t="shared" si="23"/>
        <v>3.3461435619288862</v>
      </c>
      <c r="AW33" s="64">
        <f t="shared" si="24"/>
        <v>0.21540141033912263</v>
      </c>
      <c r="AX33" s="2">
        <f t="shared" si="11"/>
        <v>218.10425490345528</v>
      </c>
      <c r="AY33" s="2">
        <f t="shared" si="12"/>
        <v>2.8963991112343574</v>
      </c>
      <c r="AZ33" s="3">
        <f t="shared" si="13"/>
        <v>3.2459950691597852</v>
      </c>
      <c r="BA33" s="3">
        <f t="shared" si="14"/>
        <v>1.2193410475726929</v>
      </c>
      <c r="BB33" s="3">
        <f t="shared" si="15"/>
        <v>1</v>
      </c>
      <c r="BC33" s="68">
        <f t="shared" si="25"/>
        <v>30919.253589072752</v>
      </c>
      <c r="BD33" s="68">
        <f t="shared" si="26"/>
        <v>1.8909009324144412</v>
      </c>
      <c r="BH33" s="24" t="s">
        <v>371</v>
      </c>
      <c r="BI33" s="26">
        <f>(BI31*$BF$17+BI32*$BF$18)/($BF$17+$BF$18)</f>
        <v>0.56800763437254398</v>
      </c>
      <c r="BJ33" s="26">
        <f t="shared" ref="BJ33:BK33" si="94">(BJ31*$BF$17+BJ32*$BF$18)/($BF$17+$BF$18)</f>
        <v>0.56800763437254398</v>
      </c>
      <c r="BK33" s="26">
        <f t="shared" si="94"/>
        <v>0.56800763437254398</v>
      </c>
      <c r="BL33" s="24"/>
      <c r="BM33" s="24"/>
    </row>
    <row r="34" spans="1:65" s="24" customFormat="1">
      <c r="A34" s="62">
        <f t="shared" si="27"/>
        <v>48611.712484464631</v>
      </c>
      <c r="B34" s="62">
        <f t="shared" si="28"/>
        <v>30795.391033700391</v>
      </c>
      <c r="C34" s="62">
        <f t="shared" si="29"/>
        <v>0.14306324133616849</v>
      </c>
      <c r="D34" s="65">
        <f t="shared" si="30"/>
        <v>166.90917971830555</v>
      </c>
      <c r="E34" s="62">
        <f t="shared" si="0"/>
        <v>2.4545467605633169</v>
      </c>
      <c r="F34" s="62">
        <f t="shared" si="31"/>
        <v>24.850641429989118</v>
      </c>
      <c r="G34" s="62">
        <f t="shared" si="32"/>
        <v>-213.93042007591384</v>
      </c>
      <c r="H34" s="62">
        <f t="shared" si="33"/>
        <v>175.83294751469779</v>
      </c>
      <c r="I34" s="62">
        <f t="shared" si="34"/>
        <v>19.341905335007425</v>
      </c>
      <c r="J34" s="62">
        <f t="shared" si="35"/>
        <v>156.49104217969037</v>
      </c>
      <c r="K34" s="62">
        <f t="shared" si="36"/>
        <v>568.52479082253797</v>
      </c>
      <c r="L34" s="62">
        <f t="shared" si="37"/>
        <v>412.04743483662651</v>
      </c>
      <c r="M34" s="62">
        <f t="shared" si="38"/>
        <v>49527.373450768246</v>
      </c>
      <c r="N34" s="62">
        <f t="shared" si="39"/>
        <v>156.47735598591146</v>
      </c>
      <c r="O34" s="2">
        <f t="shared" ref="O34:O54" si="95">P34*$BI$6</f>
        <v>139.5163691598288</v>
      </c>
      <c r="P34" s="2">
        <f t="shared" ref="P34:P54" si="96">R34*$BI$56</f>
        <v>2.0517113111739529</v>
      </c>
      <c r="Q34" s="2">
        <f t="shared" ref="Q34:Q54" si="97">E34*(1/$BI$56)</f>
        <v>0.75617698371879172</v>
      </c>
      <c r="R34" s="2">
        <f t="shared" si="3"/>
        <v>0.63207468509957765</v>
      </c>
      <c r="S34" s="67">
        <f t="shared" si="17"/>
        <v>19464.987090144532</v>
      </c>
      <c r="T34" s="63">
        <f t="shared" si="68"/>
        <v>45675.315409019786</v>
      </c>
      <c r="U34" s="63">
        <f t="shared" si="69"/>
        <v>32508.148649467053</v>
      </c>
      <c r="V34" s="63">
        <f t="shared" si="70"/>
        <v>5.6272750250443281E-2</v>
      </c>
      <c r="W34" s="63">
        <f t="shared" si="71"/>
        <v>77.108268498659811</v>
      </c>
      <c r="X34" s="63">
        <f t="shared" si="44"/>
        <v>0.82912116665225599</v>
      </c>
      <c r="Y34" s="63">
        <f t="shared" si="72"/>
        <v>23.349535069227425</v>
      </c>
      <c r="Z34" s="63">
        <f t="shared" si="73"/>
        <v>-255.88710985786804</v>
      </c>
      <c r="AA34" s="63">
        <f t="shared" si="74"/>
        <v>117.19662017737446</v>
      </c>
      <c r="AB34" s="63">
        <f t="shared" si="75"/>
        <v>12.891815584585565</v>
      </c>
      <c r="AC34" s="63">
        <f t="shared" si="76"/>
        <v>104.30480459278888</v>
      </c>
      <c r="AD34" s="63">
        <f t="shared" si="77"/>
        <v>265.63691310607635</v>
      </c>
      <c r="AE34" s="63">
        <f t="shared" si="78"/>
        <v>207.80571173208148</v>
      </c>
      <c r="AF34" s="63">
        <f t="shared" si="79"/>
        <v>46137.10587953552</v>
      </c>
      <c r="AG34" s="63">
        <f t="shared" si="80"/>
        <v>57.831201373994872</v>
      </c>
      <c r="AH34" s="2">
        <f t="shared" si="81"/>
        <v>77.108268498659811</v>
      </c>
      <c r="AI34" s="2">
        <f t="shared" si="82"/>
        <v>0.82912116665225599</v>
      </c>
      <c r="AJ34" s="2">
        <f t="shared" si="83"/>
        <v>0.44016421067608075</v>
      </c>
      <c r="AK34" s="2">
        <f t="shared" si="84"/>
        <v>0.36792531490042224</v>
      </c>
      <c r="AL34" s="67">
        <f t="shared" si="20"/>
        <v>11960.570828684902</v>
      </c>
      <c r="AM34" s="46">
        <v>0</v>
      </c>
      <c r="AN34" s="46">
        <f t="shared" ref="AN34:AN54" si="98">AM34*$BK$3*EXP(-$BK$4*AM34)</f>
        <v>0</v>
      </c>
      <c r="AO34" s="46">
        <f t="shared" ref="AO34:AO54" si="99">AN34/$BK$6</f>
        <v>0</v>
      </c>
      <c r="AP34" s="2">
        <f t="shared" ref="AP34:AP54" si="100">MIN(AN34,AP33+((AN34-AP33)*$AW33))</f>
        <v>0</v>
      </c>
      <c r="AQ34" s="2">
        <f t="shared" ref="AQ34:AQ54" si="101">AP34/$BK$6</f>
        <v>0</v>
      </c>
      <c r="AR34" s="2">
        <f t="shared" ref="AR34:AR54" si="102">AQ34*(1/$BK$56)</f>
        <v>0</v>
      </c>
      <c r="AS34" s="2">
        <f t="shared" ref="AS34:AS54" si="103">IF($BA34&gt;1, AR34/$BA34, AR34)</f>
        <v>0</v>
      </c>
      <c r="AT34" s="64">
        <f t="shared" ref="AT34:AT54" si="104">B34+U34+AM34</f>
        <v>63303.539683167444</v>
      </c>
      <c r="AU34" s="64">
        <f t="shared" ref="AU34:AU54" si="105">SUM(AP34,AH34,O34)</f>
        <v>216.62463765848861</v>
      </c>
      <c r="AV34" s="64">
        <f t="shared" si="23"/>
        <v>3.2836679272155731</v>
      </c>
      <c r="AW34" s="64">
        <f t="shared" si="24"/>
        <v>0.22499269626315088</v>
      </c>
      <c r="AX34" s="2">
        <f t="shared" ref="AX34:AX54" si="106">O34+AH34+AP34</f>
        <v>216.62463765848861</v>
      </c>
      <c r="AY34" s="2">
        <f t="shared" ref="AY34:AY54" si="107">P34+AI34+AQ34</f>
        <v>2.8808324778262087</v>
      </c>
      <c r="AZ34" s="3">
        <f t="shared" ref="AZ34:AZ54" si="108">MAX(IF(B34&gt;0,$BI$56,0),IF(U34&gt;0,$BJ$56,0),IF(AM34&gt;0,$BK$56,0))</f>
        <v>3.2459950691597852</v>
      </c>
      <c r="BA34" s="3">
        <f t="shared" ref="BA34:BA54" si="109">Q34+AJ34+AR34</f>
        <v>1.1963411943948725</v>
      </c>
      <c r="BB34" s="3">
        <f t="shared" ref="BB34:BB54" si="110">SUM(AS34,AK34,R34)</f>
        <v>0.99999999999999989</v>
      </c>
      <c r="BC34" s="68">
        <f t="shared" ref="BC34:BC54" si="111">SUM(B34*R34,U34*AK34)</f>
        <v>31425.557918829436</v>
      </c>
      <c r="BD34" s="68">
        <f t="shared" ref="BD34:BD54" si="112">SUM(E34*R34,X34*AK34)</f>
        <v>1.8565115370763836</v>
      </c>
      <c r="BI34" s="26"/>
      <c r="BJ34" s="26"/>
      <c r="BK34" s="26"/>
    </row>
    <row r="35" spans="1:65" s="24" customFormat="1">
      <c r="A35" s="62">
        <f t="shared" si="27"/>
        <v>49527.373450768246</v>
      </c>
      <c r="B35" s="62">
        <f t="shared" si="28"/>
        <v>31369.1544537023</v>
      </c>
      <c r="C35" s="62">
        <f t="shared" si="29"/>
        <v>0.13791814278675307</v>
      </c>
      <c r="D35" s="65">
        <f t="shared" si="30"/>
        <v>163.93736072246156</v>
      </c>
      <c r="E35" s="62">
        <f t="shared" si="0"/>
        <v>2.4108435400361996</v>
      </c>
      <c r="F35" s="62">
        <f t="shared" si="31"/>
        <v>25.318733607410771</v>
      </c>
      <c r="G35" s="62">
        <f t="shared" si="32"/>
        <v>-221.11925962812552</v>
      </c>
      <c r="H35" s="62">
        <f t="shared" si="33"/>
        <v>172.7022407770497</v>
      </c>
      <c r="I35" s="62">
        <f t="shared" si="34"/>
        <v>18.997522588729471</v>
      </c>
      <c r="J35" s="62">
        <f t="shared" si="35"/>
        <v>153.70471818832021</v>
      </c>
      <c r="K35" s="62">
        <f t="shared" si="36"/>
        <v>547.4043313134755</v>
      </c>
      <c r="L35" s="62">
        <f t="shared" si="37"/>
        <v>393.71305563616778</v>
      </c>
      <c r="M35" s="62">
        <f t="shared" si="38"/>
        <v>50402.29135218195</v>
      </c>
      <c r="N35" s="62">
        <f t="shared" si="39"/>
        <v>153.69127567730771</v>
      </c>
      <c r="O35" s="2">
        <f t="shared" si="95"/>
        <v>139.57117633801164</v>
      </c>
      <c r="P35" s="2">
        <f t="shared" si="96"/>
        <v>2.0525172990884064</v>
      </c>
      <c r="Q35" s="2">
        <f t="shared" si="97"/>
        <v>0.74271324776233816</v>
      </c>
      <c r="R35" s="2">
        <f t="shared" si="3"/>
        <v>0.63232298736045023</v>
      </c>
      <c r="S35" s="67">
        <f t="shared" si="17"/>
        <v>19835.437455136409</v>
      </c>
      <c r="T35" s="63">
        <f t="shared" si="68"/>
        <v>46137.10587953552</v>
      </c>
      <c r="U35" s="63">
        <f t="shared" si="69"/>
        <v>32834.453442968879</v>
      </c>
      <c r="V35" s="63">
        <f t="shared" si="70"/>
        <v>5.4659203504190193E-2</v>
      </c>
      <c r="W35" s="63">
        <f t="shared" si="71"/>
        <v>75.65452378091706</v>
      </c>
      <c r="X35" s="63">
        <f t="shared" si="44"/>
        <v>0.81348950302061351</v>
      </c>
      <c r="Y35" s="63">
        <f t="shared" si="72"/>
        <v>23.585605530687506</v>
      </c>
      <c r="Z35" s="63">
        <f t="shared" si="73"/>
        <v>-259.24060069566787</v>
      </c>
      <c r="AA35" s="63">
        <f t="shared" si="74"/>
        <v>114.98707805125184</v>
      </c>
      <c r="AB35" s="63">
        <f t="shared" si="75"/>
        <v>12.648762418263582</v>
      </c>
      <c r="AC35" s="63">
        <f t="shared" si="76"/>
        <v>102.33831563298826</v>
      </c>
      <c r="AD35" s="63">
        <f t="shared" si="77"/>
        <v>252.45097746927343</v>
      </c>
      <c r="AE35" s="63">
        <f t="shared" si="78"/>
        <v>195.71008463358564</v>
      </c>
      <c r="AF35" s="63">
        <f t="shared" si="79"/>
        <v>46572.017178721268</v>
      </c>
      <c r="AG35" s="63">
        <f t="shared" si="80"/>
        <v>56.740892835687788</v>
      </c>
      <c r="AH35" s="2">
        <f t="shared" si="81"/>
        <v>75.65452378091706</v>
      </c>
      <c r="AI35" s="2">
        <f t="shared" si="82"/>
        <v>0.81348950302061351</v>
      </c>
      <c r="AJ35" s="2">
        <f t="shared" si="83"/>
        <v>0.43186566619221806</v>
      </c>
      <c r="AK35" s="2">
        <f t="shared" si="84"/>
        <v>0.36767701263954983</v>
      </c>
      <c r="AL35" s="67">
        <f t="shared" si="20"/>
        <v>12072.473753563179</v>
      </c>
      <c r="AM35" s="46">
        <v>0</v>
      </c>
      <c r="AN35" s="46">
        <f t="shared" si="98"/>
        <v>0</v>
      </c>
      <c r="AO35" s="46">
        <f t="shared" si="99"/>
        <v>0</v>
      </c>
      <c r="AP35" s="2">
        <f t="shared" si="100"/>
        <v>0</v>
      </c>
      <c r="AQ35" s="2">
        <f t="shared" si="101"/>
        <v>0</v>
      </c>
      <c r="AR35" s="2">
        <f t="shared" si="102"/>
        <v>0</v>
      </c>
      <c r="AS35" s="2">
        <f t="shared" si="103"/>
        <v>0</v>
      </c>
      <c r="AT35" s="64">
        <f t="shared" si="104"/>
        <v>64203.607896671179</v>
      </c>
      <c r="AU35" s="64">
        <f t="shared" si="105"/>
        <v>215.2257001189287</v>
      </c>
      <c r="AV35" s="64">
        <f t="shared" si="23"/>
        <v>3.2243330430568129</v>
      </c>
      <c r="AW35" s="64">
        <f t="shared" si="24"/>
        <v>0.23412744563972743</v>
      </c>
      <c r="AX35" s="2">
        <f t="shared" si="106"/>
        <v>215.2257001189287</v>
      </c>
      <c r="AY35" s="2">
        <f t="shared" si="107"/>
        <v>2.8660068021090197</v>
      </c>
      <c r="AZ35" s="3">
        <f t="shared" si="108"/>
        <v>3.2459950691597852</v>
      </c>
      <c r="BA35" s="3">
        <f t="shared" si="109"/>
        <v>1.1745789139545562</v>
      </c>
      <c r="BB35" s="3">
        <f>SUM(AS35,AK35,R35)</f>
        <v>1</v>
      </c>
      <c r="BC35" s="68">
        <f t="shared" si="111"/>
        <v>31907.911208699588</v>
      </c>
      <c r="BD35" s="68">
        <f t="shared" si="112"/>
        <v>1.8235331795785841</v>
      </c>
      <c r="BI35" s="26"/>
      <c r="BJ35" s="26"/>
      <c r="BK35" s="26"/>
    </row>
    <row r="36" spans="1:65" s="24" customFormat="1">
      <c r="A36" s="62">
        <f t="shared" si="27"/>
        <v>50402.29135218195</v>
      </c>
      <c r="B36" s="62">
        <f t="shared" si="28"/>
        <v>31917.380912597091</v>
      </c>
      <c r="C36" s="62">
        <f t="shared" si="29"/>
        <v>0.13317494301333715</v>
      </c>
      <c r="D36" s="65">
        <f t="shared" si="30"/>
        <v>161.09573468564273</v>
      </c>
      <c r="E36" s="62">
        <f t="shared" si="0"/>
        <v>2.3690549218476873</v>
      </c>
      <c r="F36" s="62">
        <f t="shared" si="31"/>
        <v>25.765997650117743</v>
      </c>
      <c r="G36" s="62">
        <f t="shared" si="32"/>
        <v>-227.99377673264445</v>
      </c>
      <c r="H36" s="62">
        <f t="shared" si="33"/>
        <v>169.70868774041244</v>
      </c>
      <c r="I36" s="62">
        <f t="shared" si="34"/>
        <v>18.66822696883365</v>
      </c>
      <c r="J36" s="62">
        <f t="shared" si="35"/>
        <v>151.04046077157881</v>
      </c>
      <c r="K36" s="62">
        <f t="shared" si="36"/>
        <v>527.2085271252497</v>
      </c>
      <c r="L36" s="62">
        <f t="shared" si="37"/>
        <v>376.18127585745964</v>
      </c>
      <c r="M36" s="62">
        <f t="shared" si="38"/>
        <v>51238.249742976303</v>
      </c>
      <c r="N36" s="62">
        <f t="shared" si="39"/>
        <v>151.02725126779006</v>
      </c>
      <c r="O36" s="2">
        <f t="shared" si="95"/>
        <v>139.59844804976095</v>
      </c>
      <c r="P36" s="2">
        <f t="shared" si="96"/>
        <v>2.0529183536729549</v>
      </c>
      <c r="Q36" s="2">
        <f t="shared" si="97"/>
        <v>0.72983934706373699</v>
      </c>
      <c r="R36" s="2">
        <f t="shared" si="3"/>
        <v>0.63244654102458198</v>
      </c>
      <c r="S36" s="67">
        <f t="shared" si="17"/>
        <v>20186.037156736045</v>
      </c>
      <c r="T36" s="63">
        <f t="shared" si="68"/>
        <v>46572.017178721268</v>
      </c>
      <c r="U36" s="63">
        <f t="shared" si="69"/>
        <v>33141.786720673015</v>
      </c>
      <c r="V36" s="63">
        <f t="shared" si="70"/>
        <v>5.3181904458178046E-2</v>
      </c>
      <c r="W36" s="63">
        <f t="shared" si="71"/>
        <v>74.303657040701424</v>
      </c>
      <c r="X36" s="63">
        <f t="shared" si="44"/>
        <v>0.79896405420109062</v>
      </c>
      <c r="Y36" s="63">
        <f t="shared" si="72"/>
        <v>23.807935175078654</v>
      </c>
      <c r="Z36" s="63">
        <f t="shared" si="73"/>
        <v>-262.39097493357173</v>
      </c>
      <c r="AA36" s="63">
        <f t="shared" si="74"/>
        <v>112.93389984681517</v>
      </c>
      <c r="AB36" s="63">
        <f t="shared" si="75"/>
        <v>12.422909533309838</v>
      </c>
      <c r="AC36" s="63">
        <f t="shared" si="76"/>
        <v>100.51099031350533</v>
      </c>
      <c r="AD36" s="63">
        <f t="shared" si="77"/>
        <v>240.16397663395492</v>
      </c>
      <c r="AE36" s="63">
        <f t="shared" si="78"/>
        <v>184.43623385342883</v>
      </c>
      <c r="AF36" s="63">
        <f t="shared" si="79"/>
        <v>46981.875476173329</v>
      </c>
      <c r="AG36" s="63">
        <f t="shared" si="80"/>
        <v>55.727742780526086</v>
      </c>
      <c r="AH36" s="2">
        <f t="shared" si="81"/>
        <v>74.303657040701424</v>
      </c>
      <c r="AI36" s="2">
        <f t="shared" si="82"/>
        <v>0.79896405420109062</v>
      </c>
      <c r="AJ36" s="2">
        <f t="shared" si="83"/>
        <v>0.42415438951576256</v>
      </c>
      <c r="AK36" s="2">
        <f t="shared" si="84"/>
        <v>0.36755345897541819</v>
      </c>
      <c r="AL36" s="67">
        <f t="shared" si="20"/>
        <v>12181.378345808949</v>
      </c>
      <c r="AM36" s="46">
        <v>0</v>
      </c>
      <c r="AN36" s="46">
        <f t="shared" si="98"/>
        <v>0</v>
      </c>
      <c r="AO36" s="46">
        <f t="shared" si="99"/>
        <v>0</v>
      </c>
      <c r="AP36" s="2">
        <f t="shared" si="100"/>
        <v>0</v>
      </c>
      <c r="AQ36" s="2">
        <f t="shared" si="101"/>
        <v>0</v>
      </c>
      <c r="AR36" s="2">
        <f t="shared" si="102"/>
        <v>0</v>
      </c>
      <c r="AS36" s="2">
        <f t="shared" si="103"/>
        <v>0</v>
      </c>
      <c r="AT36" s="64">
        <f t="shared" si="104"/>
        <v>65059.167633270103</v>
      </c>
      <c r="AU36" s="64">
        <f t="shared" si="105"/>
        <v>213.90210509046238</v>
      </c>
      <c r="AV36" s="64">
        <f t="shared" si="23"/>
        <v>3.1680189760487778</v>
      </c>
      <c r="AW36" s="64">
        <f t="shared" si="24"/>
        <v>0.24283010472209654</v>
      </c>
      <c r="AX36" s="2">
        <f t="shared" si="106"/>
        <v>213.90210509046238</v>
      </c>
      <c r="AY36" s="2">
        <f t="shared" si="107"/>
        <v>2.8518824078740455</v>
      </c>
      <c r="AZ36" s="3">
        <f t="shared" si="108"/>
        <v>3.2459950691597852</v>
      </c>
      <c r="BA36" s="3">
        <f t="shared" si="109"/>
        <v>1.1539937365794994</v>
      </c>
      <c r="BB36" s="3">
        <f t="shared" si="110"/>
        <v>1.0000000000000002</v>
      </c>
      <c r="BC36" s="68">
        <f t="shared" si="111"/>
        <v>32367.415502544995</v>
      </c>
      <c r="BD36" s="68">
        <f t="shared" si="112"/>
        <v>1.7919625925384657</v>
      </c>
      <c r="BI36" s="26"/>
      <c r="BJ36" s="26"/>
      <c r="BK36" s="26"/>
    </row>
    <row r="37" spans="1:65" s="24" customFormat="1">
      <c r="A37" s="62">
        <f t="shared" si="27"/>
        <v>51238.249742976303</v>
      </c>
      <c r="B37" s="62">
        <f t="shared" si="28"/>
        <v>32441.19307276071</v>
      </c>
      <c r="C37" s="62">
        <f t="shared" si="29"/>
        <v>0.12879542453762749</v>
      </c>
      <c r="D37" s="65">
        <f t="shared" si="30"/>
        <v>158.38205107707878</v>
      </c>
      <c r="E37" s="62">
        <f t="shared" si="0"/>
        <v>2.3291478099570408</v>
      </c>
      <c r="F37" s="62">
        <f t="shared" si="31"/>
        <v>26.193345323307824</v>
      </c>
      <c r="G37" s="62">
        <f t="shared" si="32"/>
        <v>-234.56481559658928</v>
      </c>
      <c r="H37" s="62">
        <f t="shared" si="33"/>
        <v>166.84991754981289</v>
      </c>
      <c r="I37" s="62">
        <f t="shared" si="34"/>
        <v>18.353757677482573</v>
      </c>
      <c r="J37" s="62">
        <f t="shared" si="35"/>
        <v>148.49615987233031</v>
      </c>
      <c r="K37" s="62">
        <f t="shared" si="36"/>
        <v>507.91598376506226</v>
      </c>
      <c r="L37" s="62">
        <f t="shared" si="37"/>
        <v>359.43281088030091</v>
      </c>
      <c r="M37" s="62">
        <f t="shared" si="38"/>
        <v>52036.989322710302</v>
      </c>
      <c r="N37" s="62">
        <f t="shared" si="39"/>
        <v>148.48317288476136</v>
      </c>
      <c r="O37" s="2">
        <f t="shared" si="95"/>
        <v>139.60205972039316</v>
      </c>
      <c r="P37" s="2">
        <f t="shared" si="96"/>
        <v>2.0529714664763699</v>
      </c>
      <c r="Q37" s="2">
        <f t="shared" si="97"/>
        <v>0.71754508566149267</v>
      </c>
      <c r="R37" s="2">
        <f t="shared" si="3"/>
        <v>0.63246290358899848</v>
      </c>
      <c r="S37" s="67">
        <f t="shared" si="17"/>
        <v>20517.851166689543</v>
      </c>
      <c r="T37" s="63">
        <f t="shared" si="68"/>
        <v>46981.875476173329</v>
      </c>
      <c r="U37" s="63">
        <f t="shared" si="69"/>
        <v>33431.435245123757</v>
      </c>
      <c r="V37" s="63">
        <f t="shared" si="70"/>
        <v>5.1826267948411255E-2</v>
      </c>
      <c r="W37" s="63">
        <f t="shared" si="71"/>
        <v>73.046858014411512</v>
      </c>
      <c r="X37" s="63">
        <f t="shared" si="44"/>
        <v>0.78545008617646783</v>
      </c>
      <c r="Y37" s="63">
        <f t="shared" si="72"/>
        <v>24.017457552845986</v>
      </c>
      <c r="Z37" s="63">
        <f t="shared" si="73"/>
        <v>-265.35283396011096</v>
      </c>
      <c r="AA37" s="63">
        <f t="shared" si="74"/>
        <v>111.02369487150888</v>
      </c>
      <c r="AB37" s="63">
        <f t="shared" si="75"/>
        <v>12.212783932135199</v>
      </c>
      <c r="AC37" s="63">
        <f t="shared" si="76"/>
        <v>98.810910939373684</v>
      </c>
      <c r="AD37" s="63">
        <f t="shared" si="77"/>
        <v>228.70172073675747</v>
      </c>
      <c r="AE37" s="63">
        <f t="shared" si="78"/>
        <v>173.91657722594883</v>
      </c>
      <c r="AF37" s="63">
        <f t="shared" si="79"/>
        <v>47368.356758897658</v>
      </c>
      <c r="AG37" s="63">
        <f t="shared" si="80"/>
        <v>54.785143510808638</v>
      </c>
      <c r="AH37" s="2">
        <f t="shared" si="81"/>
        <v>73.046858014411512</v>
      </c>
      <c r="AI37" s="2">
        <f t="shared" si="82"/>
        <v>0.78545008617646783</v>
      </c>
      <c r="AJ37" s="2">
        <f t="shared" si="83"/>
        <v>0.41698008820986582</v>
      </c>
      <c r="AK37" s="2">
        <f t="shared" si="84"/>
        <v>0.36753709641100163</v>
      </c>
      <c r="AL37" s="67">
        <f t="shared" si="20"/>
        <v>12287.292638845209</v>
      </c>
      <c r="AM37" s="46">
        <v>0</v>
      </c>
      <c r="AN37" s="46">
        <f t="shared" si="98"/>
        <v>0</v>
      </c>
      <c r="AO37" s="46">
        <f t="shared" si="99"/>
        <v>0</v>
      </c>
      <c r="AP37" s="2">
        <f t="shared" si="100"/>
        <v>0</v>
      </c>
      <c r="AQ37" s="2">
        <f t="shared" si="101"/>
        <v>0</v>
      </c>
      <c r="AR37" s="2">
        <f t="shared" si="102"/>
        <v>0</v>
      </c>
      <c r="AS37" s="2">
        <f t="shared" si="103"/>
        <v>0</v>
      </c>
      <c r="AT37" s="64">
        <f t="shared" si="104"/>
        <v>65872.628317884461</v>
      </c>
      <c r="AU37" s="64">
        <f t="shared" si="105"/>
        <v>212.64891773480468</v>
      </c>
      <c r="AV37" s="64">
        <f t="shared" si="23"/>
        <v>3.1145978961335086</v>
      </c>
      <c r="AW37" s="64">
        <f t="shared" si="24"/>
        <v>0.25112392830125074</v>
      </c>
      <c r="AX37" s="2">
        <f t="shared" si="106"/>
        <v>212.64891773480468</v>
      </c>
      <c r="AY37" s="2">
        <f t="shared" si="107"/>
        <v>2.8384215526528376</v>
      </c>
      <c r="AZ37" s="3">
        <f t="shared" si="108"/>
        <v>3.2459950691597852</v>
      </c>
      <c r="BA37" s="3">
        <f t="shared" si="109"/>
        <v>1.1345251738713584</v>
      </c>
      <c r="BB37" s="3">
        <f t="shared" si="110"/>
        <v>1</v>
      </c>
      <c r="BC37" s="68">
        <f t="shared" si="111"/>
        <v>32805.143805534753</v>
      </c>
      <c r="BD37" s="68">
        <f t="shared" si="112"/>
        <v>1.761781630822457</v>
      </c>
      <c r="BI37" s="26"/>
      <c r="BJ37" s="26"/>
      <c r="BK37" s="26"/>
    </row>
    <row r="38" spans="1:65" s="24" customFormat="1">
      <c r="A38" s="62">
        <f t="shared" si="27"/>
        <v>52036.989322710302</v>
      </c>
      <c r="B38" s="62">
        <f t="shared" si="28"/>
        <v>32941.685324384569</v>
      </c>
      <c r="C38" s="62">
        <f t="shared" si="29"/>
        <v>0.12474550551836691</v>
      </c>
      <c r="D38" s="65">
        <f t="shared" si="30"/>
        <v>155.79313292916862</v>
      </c>
      <c r="E38" s="62">
        <f t="shared" si="0"/>
        <v>2.2910754842524796</v>
      </c>
      <c r="F38" s="62">
        <f t="shared" si="31"/>
        <v>26.60166648455581</v>
      </c>
      <c r="G38" s="62">
        <f t="shared" si="32"/>
        <v>-240.84373474803425</v>
      </c>
      <c r="H38" s="62">
        <f t="shared" si="33"/>
        <v>164.12258338167658</v>
      </c>
      <c r="I38" s="62">
        <f t="shared" si="34"/>
        <v>18.053746558732406</v>
      </c>
      <c r="J38" s="62">
        <f t="shared" si="35"/>
        <v>146.06883682294418</v>
      </c>
      <c r="K38" s="62">
        <f t="shared" si="36"/>
        <v>489.50044936668661</v>
      </c>
      <c r="L38" s="62">
        <f t="shared" si="37"/>
        <v>343.44438724559109</v>
      </c>
      <c r="M38" s="62">
        <f t="shared" si="38"/>
        <v>52800.199072144947</v>
      </c>
      <c r="N38" s="62">
        <f t="shared" si="39"/>
        <v>146.05606212109552</v>
      </c>
      <c r="O38" s="2">
        <f t="shared" si="95"/>
        <v>139.585367709694</v>
      </c>
      <c r="P38" s="2">
        <f t="shared" si="96"/>
        <v>2.052725995730794</v>
      </c>
      <c r="Q38" s="2">
        <f t="shared" si="97"/>
        <v>0.70581607040010597</v>
      </c>
      <c r="R38" s="2">
        <f t="shared" si="3"/>
        <v>0.63238728094005858</v>
      </c>
      <c r="S38" s="67">
        <f t="shared" si="17"/>
        <v>20831.90281187059</v>
      </c>
      <c r="T38" s="63">
        <f t="shared" si="68"/>
        <v>47368.356758897658</v>
      </c>
      <c r="U38" s="63">
        <f t="shared" si="69"/>
        <v>33704.58015683174</v>
      </c>
      <c r="V38" s="63">
        <f t="shared" si="70"/>
        <v>5.057962378380669E-2</v>
      </c>
      <c r="W38" s="63">
        <f t="shared" si="71"/>
        <v>71.8762099236654</v>
      </c>
      <c r="X38" s="63">
        <f t="shared" si="44"/>
        <v>0.7728624722974774</v>
      </c>
      <c r="Y38" s="63">
        <f t="shared" si="72"/>
        <v>24.215029440062548</v>
      </c>
      <c r="Z38" s="63">
        <f t="shared" si="73"/>
        <v>-268.13950423559135</v>
      </c>
      <c r="AA38" s="63">
        <f t="shared" si="74"/>
        <v>109.24443043821499</v>
      </c>
      <c r="AB38" s="63">
        <f t="shared" si="75"/>
        <v>12.017061999919742</v>
      </c>
      <c r="AC38" s="63">
        <f t="shared" si="76"/>
        <v>97.227368438295244</v>
      </c>
      <c r="AD38" s="63">
        <f t="shared" si="77"/>
        <v>217.99733795588486</v>
      </c>
      <c r="AE38" s="63">
        <f t="shared" si="78"/>
        <v>164.09018051313581</v>
      </c>
      <c r="AF38" s="63">
        <f t="shared" si="79"/>
        <v>47733.001604482408</v>
      </c>
      <c r="AG38" s="63">
        <f t="shared" si="80"/>
        <v>53.907157442749053</v>
      </c>
      <c r="AH38" s="2">
        <f t="shared" si="81"/>
        <v>71.8762099236654</v>
      </c>
      <c r="AI38" s="2">
        <f t="shared" si="82"/>
        <v>0.7728624722974774</v>
      </c>
      <c r="AJ38" s="2">
        <f t="shared" si="83"/>
        <v>0.41029757020141544</v>
      </c>
      <c r="AK38" s="2">
        <f t="shared" si="84"/>
        <v>0.36761271905994131</v>
      </c>
      <c r="AL38" s="67">
        <f t="shared" si="20"/>
        <v>12390.232356226659</v>
      </c>
      <c r="AM38" s="46">
        <v>0</v>
      </c>
      <c r="AN38" s="46">
        <f t="shared" si="98"/>
        <v>0</v>
      </c>
      <c r="AO38" s="46">
        <f t="shared" si="99"/>
        <v>0</v>
      </c>
      <c r="AP38" s="2">
        <f t="shared" si="100"/>
        <v>0</v>
      </c>
      <c r="AQ38" s="2">
        <f t="shared" si="101"/>
        <v>0</v>
      </c>
      <c r="AR38" s="2">
        <f t="shared" si="102"/>
        <v>0</v>
      </c>
      <c r="AS38" s="2">
        <f t="shared" si="103"/>
        <v>0</v>
      </c>
      <c r="AT38" s="64">
        <f t="shared" si="104"/>
        <v>66646.265481216309</v>
      </c>
      <c r="AU38" s="64">
        <f t="shared" si="105"/>
        <v>211.46157763335941</v>
      </c>
      <c r="AV38" s="64">
        <f t="shared" si="23"/>
        <v>3.0639379565499572</v>
      </c>
      <c r="AW38" s="64">
        <f t="shared" si="24"/>
        <v>0.25903095486853867</v>
      </c>
      <c r="AX38" s="2">
        <f t="shared" si="106"/>
        <v>211.46157763335941</v>
      </c>
      <c r="AY38" s="2">
        <f t="shared" si="107"/>
        <v>2.8255884680282715</v>
      </c>
      <c r="AZ38" s="3">
        <f t="shared" si="108"/>
        <v>3.2459950691597852</v>
      </c>
      <c r="BA38" s="3">
        <f t="shared" si="109"/>
        <v>1.1161136406015215</v>
      </c>
      <c r="BB38" s="3">
        <f t="shared" si="110"/>
        <v>0.99999999999999989</v>
      </c>
      <c r="BC38" s="68">
        <f t="shared" si="111"/>
        <v>33222.135168097251</v>
      </c>
      <c r="BD38" s="68">
        <f t="shared" si="112"/>
        <v>1.7329610708155179</v>
      </c>
      <c r="BI38" s="26"/>
      <c r="BJ38" s="26"/>
      <c r="BK38" s="26"/>
    </row>
    <row r="39" spans="1:65" s="24" customFormat="1">
      <c r="A39" s="62">
        <f t="shared" si="27"/>
        <v>52800.199072144947</v>
      </c>
      <c r="B39" s="62">
        <f t="shared" si="28"/>
        <v>33419.918548380483</v>
      </c>
      <c r="C39" s="62">
        <f t="shared" si="29"/>
        <v>0.12099476934351151</v>
      </c>
      <c r="D39" s="65">
        <f t="shared" si="30"/>
        <v>153.32514979261606</v>
      </c>
      <c r="E39" s="62">
        <f t="shared" si="0"/>
        <v>2.2547816145972952</v>
      </c>
      <c r="F39" s="62">
        <f t="shared" si="31"/>
        <v>26.991824552431599</v>
      </c>
      <c r="G39" s="62">
        <f t="shared" si="32"/>
        <v>-246.84214991476091</v>
      </c>
      <c r="H39" s="62">
        <f t="shared" si="33"/>
        <v>161.52264999245861</v>
      </c>
      <c r="I39" s="62">
        <f t="shared" si="34"/>
        <v>17.767749729341968</v>
      </c>
      <c r="J39" s="62">
        <f t="shared" si="35"/>
        <v>143.75490026311664</v>
      </c>
      <c r="K39" s="62">
        <f t="shared" si="36"/>
        <v>471.93235140082226</v>
      </c>
      <c r="L39" s="62">
        <f t="shared" si="37"/>
        <v>328.19002347024468</v>
      </c>
      <c r="M39" s="62">
        <f t="shared" si="38"/>
        <v>53529.510235412155</v>
      </c>
      <c r="N39" s="62">
        <f t="shared" si="39"/>
        <v>143.74232793057757</v>
      </c>
      <c r="O39" s="2">
        <f t="shared" si="95"/>
        <v>139.55128279854378</v>
      </c>
      <c r="P39" s="2">
        <f t="shared" si="96"/>
        <v>2.0522247470374086</v>
      </c>
      <c r="Q39" s="2">
        <f t="shared" si="97"/>
        <v>0.69463494754504906</v>
      </c>
      <c r="R39" s="2">
        <f t="shared" si="3"/>
        <v>0.63223286028238479</v>
      </c>
      <c r="S39" s="67">
        <f t="shared" si="17"/>
        <v>21129.170694246917</v>
      </c>
      <c r="T39" s="63">
        <f t="shared" si="68"/>
        <v>47733.001604482408</v>
      </c>
      <c r="U39" s="63">
        <f t="shared" si="69"/>
        <v>33962.307349106173</v>
      </c>
      <c r="V39" s="63">
        <f t="shared" si="70"/>
        <v>4.9430921906809797E-2</v>
      </c>
      <c r="W39" s="63">
        <f t="shared" si="71"/>
        <v>70.784588240663894</v>
      </c>
      <c r="X39" s="63">
        <f t="shared" si="44"/>
        <v>0.76112460473832144</v>
      </c>
      <c r="Y39" s="63">
        <f t="shared" si="72"/>
        <v>24.401438390576612</v>
      </c>
      <c r="Z39" s="63">
        <f t="shared" si="73"/>
        <v>-270.76316795246902</v>
      </c>
      <c r="AA39" s="63">
        <f t="shared" si="74"/>
        <v>107.58527799903997</v>
      </c>
      <c r="AB39" s="63">
        <f t="shared" si="75"/>
        <v>11.834552579083311</v>
      </c>
      <c r="AC39" s="63">
        <f t="shared" si="76"/>
        <v>95.750725419956666</v>
      </c>
      <c r="AD39" s="63">
        <f t="shared" si="77"/>
        <v>207.99045914731431</v>
      </c>
      <c r="AE39" s="63">
        <f t="shared" si="78"/>
        <v>154.90201796681637</v>
      </c>
      <c r="AF39" s="63">
        <f t="shared" si="79"/>
        <v>48077.228311075334</v>
      </c>
      <c r="AG39" s="63">
        <f t="shared" si="80"/>
        <v>53.088441180497938</v>
      </c>
      <c r="AH39" s="2">
        <f t="shared" si="81"/>
        <v>70.784588240663894</v>
      </c>
      <c r="AI39" s="2">
        <f t="shared" si="82"/>
        <v>0.76112460473832144</v>
      </c>
      <c r="AJ39" s="2">
        <f t="shared" si="83"/>
        <v>0.40406616589406025</v>
      </c>
      <c r="AK39" s="2">
        <f t="shared" si="84"/>
        <v>0.36776713971761515</v>
      </c>
      <c r="AL39" s="67">
        <f t="shared" si="20"/>
        <v>12490.220631991318</v>
      </c>
      <c r="AM39" s="46">
        <v>0</v>
      </c>
      <c r="AN39" s="46">
        <f t="shared" si="98"/>
        <v>0</v>
      </c>
      <c r="AO39" s="46">
        <f t="shared" si="99"/>
        <v>0</v>
      </c>
      <c r="AP39" s="2">
        <f t="shared" si="100"/>
        <v>0</v>
      </c>
      <c r="AQ39" s="2">
        <f t="shared" si="101"/>
        <v>0</v>
      </c>
      <c r="AR39" s="2">
        <f t="shared" si="102"/>
        <v>0</v>
      </c>
      <c r="AS39" s="2">
        <f t="shared" si="103"/>
        <v>0</v>
      </c>
      <c r="AT39" s="64">
        <f t="shared" si="104"/>
        <v>67382.225897486656</v>
      </c>
      <c r="AU39" s="64">
        <f t="shared" si="105"/>
        <v>210.33587103920769</v>
      </c>
      <c r="AV39" s="64">
        <f t="shared" si="23"/>
        <v>3.0159062193356165</v>
      </c>
      <c r="AW39" s="64">
        <f t="shared" si="24"/>
        <v>0.2665720114578265</v>
      </c>
      <c r="AX39" s="2">
        <f t="shared" si="106"/>
        <v>210.33587103920769</v>
      </c>
      <c r="AY39" s="2">
        <f t="shared" si="107"/>
        <v>2.81334935177573</v>
      </c>
      <c r="AZ39" s="3">
        <f t="shared" si="108"/>
        <v>3.2459950691597852</v>
      </c>
      <c r="BA39" s="3">
        <f t="shared" si="109"/>
        <v>1.0987011134391094</v>
      </c>
      <c r="BB39" s="3">
        <f t="shared" si="110"/>
        <v>1</v>
      </c>
      <c r="BC39" s="68">
        <f t="shared" si="111"/>
        <v>33619.391326238234</v>
      </c>
      <c r="BD39" s="68">
        <f t="shared" si="112"/>
        <v>1.7054636483622947</v>
      </c>
      <c r="BI39" s="26"/>
      <c r="BJ39" s="26"/>
      <c r="BK39" s="26"/>
    </row>
    <row r="40" spans="1:65" s="24" customFormat="1">
      <c r="A40" s="62">
        <f t="shared" si="27"/>
        <v>53529.510235412155</v>
      </c>
      <c r="B40" s="62">
        <f t="shared" si="28"/>
        <v>33876.916598102274</v>
      </c>
      <c r="C40" s="62">
        <f t="shared" si="29"/>
        <v>0.11751604407309056</v>
      </c>
      <c r="D40" s="65">
        <f t="shared" si="30"/>
        <v>150.97383081685552</v>
      </c>
      <c r="E40" s="62">
        <f t="shared" si="0"/>
        <v>2.2202033943655226</v>
      </c>
      <c r="F40" s="62">
        <f t="shared" si="31"/>
        <v>27.364653430143605</v>
      </c>
      <c r="G40" s="62">
        <f t="shared" si="32"/>
        <v>-252.57173709873069</v>
      </c>
      <c r="H40" s="62">
        <f t="shared" si="33"/>
        <v>159.04561819137385</v>
      </c>
      <c r="I40" s="62">
        <f t="shared" si="34"/>
        <v>17.495272271131928</v>
      </c>
      <c r="J40" s="62">
        <f t="shared" si="35"/>
        <v>141.55034592024191</v>
      </c>
      <c r="K40" s="62">
        <f t="shared" si="36"/>
        <v>455.1799925024788</v>
      </c>
      <c r="L40" s="62">
        <f t="shared" si="37"/>
        <v>313.64202611167673</v>
      </c>
      <c r="M40" s="62">
        <f t="shared" si="38"/>
        <v>54226.492515660328</v>
      </c>
      <c r="N40" s="62">
        <f t="shared" si="39"/>
        <v>141.53796639080207</v>
      </c>
      <c r="O40" s="2">
        <f t="shared" si="95"/>
        <v>139.50233279252706</v>
      </c>
      <c r="P40" s="2">
        <f t="shared" si="96"/>
        <v>2.0515048940077509</v>
      </c>
      <c r="Q40" s="2">
        <f t="shared" si="97"/>
        <v>0.68398236813718105</v>
      </c>
      <c r="R40" s="2">
        <f t="shared" si="3"/>
        <v>0.63201109376262121</v>
      </c>
      <c r="S40" s="67">
        <f t="shared" si="17"/>
        <v>21410.587112471716</v>
      </c>
      <c r="T40" s="63">
        <f t="shared" si="68"/>
        <v>48077.228311075334</v>
      </c>
      <c r="U40" s="63">
        <f t="shared" si="69"/>
        <v>34205.61668910415</v>
      </c>
      <c r="V40" s="63">
        <f t="shared" si="70"/>
        <v>4.8370488953010569E-2</v>
      </c>
      <c r="W40" s="63">
        <f t="shared" si="71"/>
        <v>69.76557122736709</v>
      </c>
      <c r="X40" s="63">
        <f t="shared" si="44"/>
        <v>0.75016743255233431</v>
      </c>
      <c r="Y40" s="63">
        <f t="shared" si="72"/>
        <v>24.577409448146341</v>
      </c>
      <c r="Z40" s="63">
        <f t="shared" si="73"/>
        <v>-273.23497924957337</v>
      </c>
      <c r="AA40" s="63">
        <f t="shared" si="74"/>
        <v>106.0364771740843</v>
      </c>
      <c r="AB40" s="63">
        <f t="shared" si="75"/>
        <v>11.664182012232807</v>
      </c>
      <c r="AC40" s="63">
        <f t="shared" si="76"/>
        <v>94.372295161851497</v>
      </c>
      <c r="AD40" s="63">
        <f t="shared" si="77"/>
        <v>198.62649655968414</v>
      </c>
      <c r="AE40" s="63">
        <f t="shared" si="78"/>
        <v>146.30231813915881</v>
      </c>
      <c r="AF40" s="63">
        <f t="shared" si="79"/>
        <v>48402.344573606795</v>
      </c>
      <c r="AG40" s="63">
        <f t="shared" si="80"/>
        <v>52.324178420525328</v>
      </c>
      <c r="AH40" s="2">
        <f t="shared" si="81"/>
        <v>69.76557122736709</v>
      </c>
      <c r="AI40" s="2">
        <f t="shared" si="82"/>
        <v>0.75016743255233431</v>
      </c>
      <c r="AJ40" s="2">
        <f t="shared" si="83"/>
        <v>0.39824921749077608</v>
      </c>
      <c r="AK40" s="2">
        <f t="shared" si="84"/>
        <v>0.36798890623737873</v>
      </c>
      <c r="AL40" s="67">
        <f t="shared" si="20"/>
        <v>12587.287472598464</v>
      </c>
      <c r="AM40" s="46">
        <v>0</v>
      </c>
      <c r="AN40" s="46">
        <f t="shared" si="98"/>
        <v>0</v>
      </c>
      <c r="AO40" s="46">
        <f t="shared" si="99"/>
        <v>0</v>
      </c>
      <c r="AP40" s="2">
        <f t="shared" si="100"/>
        <v>0</v>
      </c>
      <c r="AQ40" s="2">
        <f t="shared" si="101"/>
        <v>0</v>
      </c>
      <c r="AR40" s="2">
        <f t="shared" si="102"/>
        <v>0</v>
      </c>
      <c r="AS40" s="2">
        <f t="shared" si="103"/>
        <v>0</v>
      </c>
      <c r="AT40" s="64">
        <f t="shared" si="104"/>
        <v>68082.533287206432</v>
      </c>
      <c r="AU40" s="64">
        <f t="shared" si="105"/>
        <v>209.26790401989416</v>
      </c>
      <c r="AV40" s="64">
        <f t="shared" si="23"/>
        <v>2.9703708269178568</v>
      </c>
      <c r="AW40" s="64">
        <f t="shared" si="24"/>
        <v>0.27376673909409943</v>
      </c>
      <c r="AX40" s="2">
        <f t="shared" si="106"/>
        <v>209.26790401989416</v>
      </c>
      <c r="AY40" s="2">
        <f t="shared" si="107"/>
        <v>2.8016723265600851</v>
      </c>
      <c r="AZ40" s="3">
        <f t="shared" si="108"/>
        <v>3.2459950691597852</v>
      </c>
      <c r="BA40" s="3">
        <f t="shared" si="109"/>
        <v>1.0822315856279572</v>
      </c>
      <c r="BB40" s="3">
        <f t="shared" si="110"/>
        <v>1</v>
      </c>
      <c r="BC40" s="68">
        <f t="shared" si="111"/>
        <v>33997.874585070182</v>
      </c>
      <c r="BD40" s="68">
        <f t="shared" si="112"/>
        <v>1.6792464686482742</v>
      </c>
      <c r="BI40" s="26"/>
      <c r="BJ40" s="26"/>
      <c r="BK40" s="26"/>
    </row>
    <row r="41" spans="1:65" s="24" customFormat="1">
      <c r="A41" s="62">
        <f t="shared" si="27"/>
        <v>54226.492515660328</v>
      </c>
      <c r="B41" s="62">
        <f t="shared" si="28"/>
        <v>34313.664115682863</v>
      </c>
      <c r="C41" s="62">
        <f t="shared" si="29"/>
        <v>0.11428502854412702</v>
      </c>
      <c r="D41" s="65">
        <f t="shared" si="30"/>
        <v>148.73462988000315</v>
      </c>
      <c r="E41" s="62">
        <f t="shared" si="0"/>
        <v>2.1872739688235758</v>
      </c>
      <c r="F41" s="62">
        <f t="shared" si="31"/>
        <v>27.720955560726615</v>
      </c>
      <c r="G41" s="62">
        <f t="shared" si="32"/>
        <v>-258.04408378391872</v>
      </c>
      <c r="H41" s="62">
        <f t="shared" si="33"/>
        <v>156.6866987989898</v>
      </c>
      <c r="I41" s="62">
        <f t="shared" si="34"/>
        <v>17.235787366708131</v>
      </c>
      <c r="J41" s="62">
        <f t="shared" si="35"/>
        <v>139.45091143228166</v>
      </c>
      <c r="K41" s="62">
        <f t="shared" si="36"/>
        <v>439.21047337748951</v>
      </c>
      <c r="L41" s="62">
        <f t="shared" si="37"/>
        <v>299.77175786498651</v>
      </c>
      <c r="M41" s="62">
        <f t="shared" si="38"/>
        <v>54892.651977582522</v>
      </c>
      <c r="N41" s="62">
        <f t="shared" si="39"/>
        <v>139.43871551250299</v>
      </c>
      <c r="O41" s="2">
        <f t="shared" si="95"/>
        <v>139.4407158455063</v>
      </c>
      <c r="P41" s="2">
        <f t="shared" si="96"/>
        <v>2.0505987624339164</v>
      </c>
      <c r="Q41" s="2">
        <f t="shared" si="97"/>
        <v>0.67383773610899056</v>
      </c>
      <c r="R41" s="2">
        <f t="shared" si="3"/>
        <v>0.63173194005026845</v>
      </c>
      <c r="S41" s="67">
        <f t="shared" si="17"/>
        <v>21677.037602033615</v>
      </c>
      <c r="T41" s="63">
        <f t="shared" si="68"/>
        <v>48402.344573606795</v>
      </c>
      <c r="U41" s="63">
        <f t="shared" si="69"/>
        <v>34435.430218488196</v>
      </c>
      <c r="V41" s="63">
        <f t="shared" si="70"/>
        <v>4.7389826309590183E-2</v>
      </c>
      <c r="W41" s="63">
        <f t="shared" si="71"/>
        <v>68.813361069604824</v>
      </c>
      <c r="X41" s="63">
        <f t="shared" si="44"/>
        <v>0.73992861365166473</v>
      </c>
      <c r="Y41" s="63">
        <f t="shared" si="72"/>
        <v>24.743611115405223</v>
      </c>
      <c r="Z41" s="63">
        <f t="shared" si="73"/>
        <v>-275.56516744565948</v>
      </c>
      <c r="AA41" s="63">
        <f t="shared" si="74"/>
        <v>104.58921588341946</v>
      </c>
      <c r="AB41" s="63">
        <f t="shared" si="75"/>
        <v>11.504980956488005</v>
      </c>
      <c r="AC41" s="63">
        <f t="shared" si="76"/>
        <v>93.084234926931458</v>
      </c>
      <c r="AD41" s="63">
        <f t="shared" si="77"/>
        <v>189.85600718899781</v>
      </c>
      <c r="AE41" s="63">
        <f t="shared" si="78"/>
        <v>138.24598638679419</v>
      </c>
      <c r="AF41" s="63">
        <f t="shared" si="79"/>
        <v>48709.557876688559</v>
      </c>
      <c r="AG41" s="63">
        <f t="shared" si="80"/>
        <v>51.610020802203621</v>
      </c>
      <c r="AH41" s="2">
        <f t="shared" si="81"/>
        <v>68.813361069604824</v>
      </c>
      <c r="AI41" s="2">
        <f t="shared" si="82"/>
        <v>0.73992861365166473</v>
      </c>
      <c r="AJ41" s="2">
        <f t="shared" si="83"/>
        <v>0.39281362879646553</v>
      </c>
      <c r="AK41" s="2">
        <f t="shared" si="84"/>
        <v>0.36826805994973161</v>
      </c>
      <c r="AL41" s="67">
        <f t="shared" si="20"/>
        <v>12681.469080097011</v>
      </c>
      <c r="AM41" s="46">
        <v>0</v>
      </c>
      <c r="AN41" s="46">
        <f t="shared" si="98"/>
        <v>0</v>
      </c>
      <c r="AO41" s="46">
        <f t="shared" si="99"/>
        <v>0</v>
      </c>
      <c r="AP41" s="2">
        <f t="shared" si="100"/>
        <v>0</v>
      </c>
      <c r="AQ41" s="2">
        <f t="shared" si="101"/>
        <v>0</v>
      </c>
      <c r="AR41" s="2">
        <f t="shared" si="102"/>
        <v>0</v>
      </c>
      <c r="AS41" s="2">
        <f t="shared" si="103"/>
        <v>0</v>
      </c>
      <c r="AT41" s="64">
        <f t="shared" si="104"/>
        <v>68749.094334171066</v>
      </c>
      <c r="AU41" s="64">
        <f t="shared" si="105"/>
        <v>208.25407691511111</v>
      </c>
      <c r="AV41" s="64">
        <f t="shared" si="23"/>
        <v>2.9272025824752408</v>
      </c>
      <c r="AW41" s="64">
        <f t="shared" si="24"/>
        <v>0.28063363213432124</v>
      </c>
      <c r="AX41" s="2">
        <f t="shared" si="106"/>
        <v>208.25407691511111</v>
      </c>
      <c r="AY41" s="2">
        <f t="shared" si="107"/>
        <v>2.7905273760855813</v>
      </c>
      <c r="AZ41" s="3">
        <f t="shared" si="108"/>
        <v>3.2459950691597852</v>
      </c>
      <c r="BA41" s="3">
        <f t="shared" si="109"/>
        <v>1.0666513649054561</v>
      </c>
      <c r="BB41" s="3">
        <f t="shared" si="110"/>
        <v>1</v>
      </c>
      <c r="BC41" s="68">
        <f t="shared" si="111"/>
        <v>34358.506682130625</v>
      </c>
      <c r="BD41" s="68">
        <f t="shared" si="112"/>
        <v>1.6542629027971609</v>
      </c>
      <c r="BI41" s="26"/>
      <c r="BJ41" s="26"/>
      <c r="BK41" s="26"/>
    </row>
    <row r="42" spans="1:65" s="24" customFormat="1">
      <c r="A42" s="62">
        <f t="shared" si="27"/>
        <v>54892.651977582522</v>
      </c>
      <c r="B42" s="62">
        <f t="shared" si="28"/>
        <v>34731.10537575699</v>
      </c>
      <c r="C42" s="62">
        <f t="shared" si="29"/>
        <v>0.11127996130390552</v>
      </c>
      <c r="D42" s="65">
        <f t="shared" si="30"/>
        <v>146.60285251041927</v>
      </c>
      <c r="E42" s="62">
        <f t="shared" si="0"/>
        <v>2.1559243016238128</v>
      </c>
      <c r="F42" s="62">
        <f t="shared" si="31"/>
        <v>28.061500854799796</v>
      </c>
      <c r="G42" s="62">
        <f t="shared" si="32"/>
        <v>-263.27057837478327</v>
      </c>
      <c r="H42" s="62">
        <f t="shared" si="33"/>
        <v>154.44094635462645</v>
      </c>
      <c r="I42" s="62">
        <f t="shared" si="34"/>
        <v>16.988751007489356</v>
      </c>
      <c r="J42" s="62">
        <f t="shared" si="35"/>
        <v>137.45219534713709</v>
      </c>
      <c r="K42" s="62">
        <f t="shared" si="36"/>
        <v>423.99039836090225</v>
      </c>
      <c r="L42" s="62">
        <f t="shared" si="37"/>
        <v>286.55022413238419</v>
      </c>
      <c r="M42" s="62">
        <f t="shared" si="38"/>
        <v>55529.430253432263</v>
      </c>
      <c r="N42" s="62">
        <f t="shared" si="39"/>
        <v>137.44017422851806</v>
      </c>
      <c r="O42" s="2">
        <f t="shared" si="95"/>
        <v>139.36834589677423</v>
      </c>
      <c r="P42" s="2">
        <f t="shared" si="96"/>
        <v>2.0495344984819739</v>
      </c>
      <c r="Q42" s="2">
        <f t="shared" si="97"/>
        <v>0.66417978329889038</v>
      </c>
      <c r="R42" s="2">
        <f t="shared" si="3"/>
        <v>0.63140407018932687</v>
      </c>
      <c r="S42" s="67">
        <f t="shared" si="17"/>
        <v>21929.361296427374</v>
      </c>
      <c r="T42" s="63">
        <f t="shared" si="68"/>
        <v>48709.557876688559</v>
      </c>
      <c r="U42" s="63">
        <f t="shared" si="69"/>
        <v>34652.59945351848</v>
      </c>
      <c r="V42" s="63">
        <f t="shared" si="70"/>
        <v>4.6481441841589109E-2</v>
      </c>
      <c r="W42" s="63">
        <f t="shared" si="71"/>
        <v>67.92271444724453</v>
      </c>
      <c r="X42" s="63">
        <f t="shared" si="44"/>
        <v>0.73035176824994119</v>
      </c>
      <c r="Y42" s="63">
        <f t="shared" si="72"/>
        <v>24.900660666783349</v>
      </c>
      <c r="Z42" s="63">
        <f t="shared" si="73"/>
        <v>-277.7631287004566</v>
      </c>
      <c r="AA42" s="63">
        <f t="shared" si="74"/>
        <v>103.23552482089956</v>
      </c>
      <c r="AB42" s="63">
        <f t="shared" si="75"/>
        <v>11.356072775432137</v>
      </c>
      <c r="AC42" s="63">
        <f t="shared" si="76"/>
        <v>91.879452045467417</v>
      </c>
      <c r="AD42" s="63">
        <f t="shared" si="77"/>
        <v>181.63413152688048</v>
      </c>
      <c r="AE42" s="63">
        <f t="shared" si="78"/>
        <v>130.69209569144707</v>
      </c>
      <c r="AF42" s="63">
        <f t="shared" si="79"/>
        <v>48999.984756002887</v>
      </c>
      <c r="AG42" s="63">
        <f t="shared" si="80"/>
        <v>50.942035835433416</v>
      </c>
      <c r="AH42" s="2">
        <f t="shared" si="81"/>
        <v>67.92271444724453</v>
      </c>
      <c r="AI42" s="2">
        <f t="shared" si="82"/>
        <v>0.73035176824994119</v>
      </c>
      <c r="AJ42" s="2">
        <f t="shared" si="83"/>
        <v>0.38772946888527071</v>
      </c>
      <c r="AK42" s="2">
        <f t="shared" si="84"/>
        <v>0.36859592981067313</v>
      </c>
      <c r="AL42" s="67">
        <f t="shared" si="20"/>
        <v>12772.807115926467</v>
      </c>
      <c r="AM42" s="46">
        <v>0</v>
      </c>
      <c r="AN42" s="46">
        <f t="shared" si="98"/>
        <v>0</v>
      </c>
      <c r="AO42" s="46">
        <f t="shared" si="99"/>
        <v>0</v>
      </c>
      <c r="AP42" s="2">
        <f t="shared" si="100"/>
        <v>0</v>
      </c>
      <c r="AQ42" s="2">
        <f t="shared" si="101"/>
        <v>0</v>
      </c>
      <c r="AR42" s="2">
        <f t="shared" si="102"/>
        <v>0</v>
      </c>
      <c r="AS42" s="2">
        <f t="shared" si="103"/>
        <v>0</v>
      </c>
      <c r="AT42" s="64">
        <f t="shared" si="104"/>
        <v>69383.704829275463</v>
      </c>
      <c r="AU42" s="64">
        <f t="shared" si="105"/>
        <v>207.29106034401877</v>
      </c>
      <c r="AV42" s="64">
        <f t="shared" si="23"/>
        <v>2.886276069873754</v>
      </c>
      <c r="AW42" s="64">
        <f t="shared" si="24"/>
        <v>0.28719008655088363</v>
      </c>
      <c r="AX42" s="2">
        <f t="shared" si="106"/>
        <v>207.29106034401877</v>
      </c>
      <c r="AY42" s="2">
        <f t="shared" si="107"/>
        <v>2.7798862667319151</v>
      </c>
      <c r="AZ42" s="3">
        <f t="shared" si="108"/>
        <v>3.2459950691597852</v>
      </c>
      <c r="BA42" s="3">
        <f t="shared" si="109"/>
        <v>1.0519092521841611</v>
      </c>
      <c r="BB42" s="3">
        <f t="shared" si="110"/>
        <v>1</v>
      </c>
      <c r="BC42" s="68">
        <f t="shared" si="111"/>
        <v>34702.168412353843</v>
      </c>
      <c r="BD42" s="68">
        <f t="shared" si="112"/>
        <v>1.6304640681723137</v>
      </c>
      <c r="BI42" s="26"/>
      <c r="BJ42" s="26"/>
      <c r="BK42" s="26"/>
    </row>
    <row r="43" spans="1:65" s="24" customFormat="1">
      <c r="A43" s="62">
        <f t="shared" si="27"/>
        <v>55529.430253432263</v>
      </c>
      <c r="B43" s="62">
        <f t="shared" si="28"/>
        <v>35130.143912172745</v>
      </c>
      <c r="C43" s="62">
        <f t="shared" si="29"/>
        <v>0.10848132830806383</v>
      </c>
      <c r="D43" s="65">
        <f t="shared" si="30"/>
        <v>144.57375249797562</v>
      </c>
      <c r="E43" s="62">
        <f t="shared" si="0"/>
        <v>2.1260845955584649</v>
      </c>
      <c r="F43" s="62">
        <f t="shared" si="31"/>
        <v>28.387026284676512</v>
      </c>
      <c r="G43" s="62">
        <f t="shared" si="32"/>
        <v>-268.26232981168914</v>
      </c>
      <c r="H43" s="62">
        <f t="shared" si="33"/>
        <v>152.30336089292672</v>
      </c>
      <c r="I43" s="62">
        <f t="shared" si="34"/>
        <v>16.75361318929275</v>
      </c>
      <c r="J43" s="62">
        <f t="shared" si="35"/>
        <v>135.54974770363395</v>
      </c>
      <c r="K43" s="62">
        <f t="shared" si="36"/>
        <v>409.48640870648069</v>
      </c>
      <c r="L43" s="62">
        <f t="shared" si="37"/>
        <v>273.94851573962853</v>
      </c>
      <c r="M43" s="62">
        <f t="shared" si="38"/>
        <v>56138.204732853657</v>
      </c>
      <c r="N43" s="62">
        <f t="shared" si="39"/>
        <v>135.53789296685216</v>
      </c>
      <c r="O43" s="2">
        <f t="shared" si="95"/>
        <v>139.28689142005544</v>
      </c>
      <c r="P43" s="2">
        <f t="shared" si="96"/>
        <v>2.0483366385302268</v>
      </c>
      <c r="Q43" s="2">
        <f t="shared" si="97"/>
        <v>0.65498700714563773</v>
      </c>
      <c r="R43" s="2">
        <f t="shared" si="3"/>
        <v>0.63103504314947456</v>
      </c>
      <c r="S43" s="67">
        <f t="shared" si="17"/>
        <v>22168.351879465179</v>
      </c>
      <c r="T43" s="63">
        <f t="shared" si="68"/>
        <v>48999.984756002887</v>
      </c>
      <c r="U43" s="63">
        <f t="shared" si="69"/>
        <v>34857.911891209296</v>
      </c>
      <c r="V43" s="63">
        <f t="shared" si="70"/>
        <v>4.5638709061651669E-2</v>
      </c>
      <c r="W43" s="63">
        <f t="shared" si="71"/>
        <v>67.088881449137475</v>
      </c>
      <c r="X43" s="63">
        <f t="shared" si="44"/>
        <v>0.72138582203373625</v>
      </c>
      <c r="Y43" s="63">
        <f t="shared" si="72"/>
        <v>25.049128882993124</v>
      </c>
      <c r="Z43" s="63">
        <f t="shared" si="73"/>
        <v>-279.83750741259593</v>
      </c>
      <c r="AA43" s="63">
        <f t="shared" si="74"/>
        <v>101.96818461117597</v>
      </c>
      <c r="AB43" s="63">
        <f t="shared" si="75"/>
        <v>11.216663326235063</v>
      </c>
      <c r="AC43" s="63">
        <f t="shared" si="76"/>
        <v>90.751521284940907</v>
      </c>
      <c r="AD43" s="63">
        <f t="shared" si="77"/>
        <v>173.92009901210861</v>
      </c>
      <c r="AE43" s="63">
        <f t="shared" si="78"/>
        <v>123.60343792525549</v>
      </c>
      <c r="AF43" s="63">
        <f t="shared" si="79"/>
        <v>49274.659062503451</v>
      </c>
      <c r="AG43" s="63">
        <f t="shared" si="80"/>
        <v>50.316661086853117</v>
      </c>
      <c r="AH43" s="2">
        <f t="shared" si="81"/>
        <v>67.088881449137475</v>
      </c>
      <c r="AI43" s="2">
        <f t="shared" si="82"/>
        <v>0.72138582203373625</v>
      </c>
      <c r="AJ43" s="2">
        <f t="shared" si="83"/>
        <v>0.38296962340315044</v>
      </c>
      <c r="AK43" s="2">
        <f t="shared" si="84"/>
        <v>0.36896495685052549</v>
      </c>
      <c r="AL43" s="67">
        <f t="shared" si="20"/>
        <v>12861.347956839458</v>
      </c>
      <c r="AM43" s="46">
        <v>0</v>
      </c>
      <c r="AN43" s="46">
        <f t="shared" si="98"/>
        <v>0</v>
      </c>
      <c r="AO43" s="46">
        <f t="shared" si="99"/>
        <v>0</v>
      </c>
      <c r="AP43" s="2">
        <f t="shared" si="100"/>
        <v>0</v>
      </c>
      <c r="AQ43" s="2">
        <f t="shared" si="101"/>
        <v>0</v>
      </c>
      <c r="AR43" s="2">
        <f t="shared" si="102"/>
        <v>0</v>
      </c>
      <c r="AS43" s="2">
        <f t="shared" si="103"/>
        <v>0</v>
      </c>
      <c r="AT43" s="64">
        <f t="shared" si="104"/>
        <v>69988.055803382042</v>
      </c>
      <c r="AU43" s="64">
        <f t="shared" si="105"/>
        <v>206.37577286919293</v>
      </c>
      <c r="AV43" s="64">
        <f t="shared" si="23"/>
        <v>2.8474704175922012</v>
      </c>
      <c r="AW43" s="64">
        <f t="shared" si="24"/>
        <v>0.29345245353013028</v>
      </c>
      <c r="AX43" s="2">
        <f t="shared" si="106"/>
        <v>206.37577286919293</v>
      </c>
      <c r="AY43" s="2">
        <f t="shared" si="107"/>
        <v>2.7697224605639632</v>
      </c>
      <c r="AZ43" s="3">
        <f t="shared" si="108"/>
        <v>3.2459950691597852</v>
      </c>
      <c r="BA43" s="3">
        <f t="shared" si="109"/>
        <v>1.0379566305487882</v>
      </c>
      <c r="BB43" s="3">
        <f t="shared" si="110"/>
        <v>1</v>
      </c>
      <c r="BC43" s="68">
        <f t="shared" si="111"/>
        <v>35029.699836304637</v>
      </c>
      <c r="BD43" s="68">
        <f t="shared" si="112"/>
        <v>1.6077999731969272</v>
      </c>
      <c r="BI43" s="26"/>
      <c r="BJ43" s="26"/>
      <c r="BK43" s="26"/>
    </row>
    <row r="44" spans="1:65" s="24" customFormat="1">
      <c r="A44" s="62">
        <f t="shared" si="27"/>
        <v>56138.204732853657</v>
      </c>
      <c r="B44" s="62">
        <f t="shared" si="28"/>
        <v>35511.642734195782</v>
      </c>
      <c r="C44" s="62">
        <f t="shared" si="29"/>
        <v>0.10587160535208699</v>
      </c>
      <c r="D44" s="65">
        <f t="shared" si="30"/>
        <v>142.64260455963228</v>
      </c>
      <c r="E44" s="62">
        <f t="shared" si="0"/>
        <v>2.0976853611710631</v>
      </c>
      <c r="F44" s="62">
        <f t="shared" si="31"/>
        <v>28.698235981406786</v>
      </c>
      <c r="G44" s="62">
        <f t="shared" si="32"/>
        <v>-273.03011086186382</v>
      </c>
      <c r="H44" s="62">
        <f t="shared" si="33"/>
        <v>150.26896449448466</v>
      </c>
      <c r="I44" s="62">
        <f t="shared" si="34"/>
        <v>16.529826333025341</v>
      </c>
      <c r="J44" s="62">
        <f t="shared" si="35"/>
        <v>133.73913816145932</v>
      </c>
      <c r="K44" s="62">
        <f t="shared" si="36"/>
        <v>395.6655799454328</v>
      </c>
      <c r="L44" s="62">
        <f t="shared" si="37"/>
        <v>261.93813817077751</v>
      </c>
      <c r="M44" s="62">
        <f t="shared" si="38"/>
        <v>56720.289484344277</v>
      </c>
      <c r="N44" s="62">
        <f t="shared" si="39"/>
        <v>133.72744177465529</v>
      </c>
      <c r="O44" s="2">
        <f t="shared" si="95"/>
        <v>139.19780850682494</v>
      </c>
      <c r="P44" s="2">
        <f t="shared" si="96"/>
        <v>2.0470265956886022</v>
      </c>
      <c r="Q44" s="2">
        <f t="shared" si="97"/>
        <v>0.64623799989752972</v>
      </c>
      <c r="R44" s="2">
        <f t="shared" si="3"/>
        <v>0.63063145570904022</v>
      </c>
      <c r="S44" s="67">
        <f t="shared" si="17"/>
        <v>22394.758952085249</v>
      </c>
      <c r="T44" s="63">
        <f t="shared" si="68"/>
        <v>49274.659062503451</v>
      </c>
      <c r="U44" s="63">
        <f t="shared" si="69"/>
        <v>35052.09681582659</v>
      </c>
      <c r="V44" s="63">
        <f t="shared" si="70"/>
        <v>4.4855748772252596E-2</v>
      </c>
      <c r="W44" s="63">
        <f t="shared" si="71"/>
        <v>66.307551832381634</v>
      </c>
      <c r="X44" s="63">
        <f t="shared" si="44"/>
        <v>0.71298442830517883</v>
      </c>
      <c r="Y44" s="63">
        <f t="shared" si="72"/>
        <v>25.1895442757456</v>
      </c>
      <c r="Z44" s="63">
        <f t="shared" si="73"/>
        <v>-281.79626854666583</v>
      </c>
      <c r="AA44" s="63">
        <f t="shared" si="74"/>
        <v>100.78064412931623</v>
      </c>
      <c r="AB44" s="63">
        <f t="shared" si="75"/>
        <v>11.08603197468077</v>
      </c>
      <c r="AC44" s="63">
        <f t="shared" si="76"/>
        <v>89.694612154635465</v>
      </c>
      <c r="AD44" s="63">
        <f t="shared" si="77"/>
        <v>166.67679222651151</v>
      </c>
      <c r="AE44" s="63">
        <f t="shared" si="78"/>
        <v>116.94612835222529</v>
      </c>
      <c r="AF44" s="63">
        <f t="shared" si="79"/>
        <v>49534.539347730621</v>
      </c>
      <c r="AG44" s="63">
        <f t="shared" si="80"/>
        <v>49.730663874286222</v>
      </c>
      <c r="AH44" s="2">
        <f t="shared" si="81"/>
        <v>66.307551832381634</v>
      </c>
      <c r="AI44" s="2">
        <f t="shared" si="82"/>
        <v>0.71298442830517883</v>
      </c>
      <c r="AJ44" s="2">
        <f t="shared" si="83"/>
        <v>0.37850948779469545</v>
      </c>
      <c r="AK44" s="2">
        <f t="shared" si="84"/>
        <v>0.36936854429095983</v>
      </c>
      <c r="AL44" s="67">
        <f t="shared" si="20"/>
        <v>12947.141975207656</v>
      </c>
      <c r="AM44" s="46">
        <v>0</v>
      </c>
      <c r="AN44" s="46">
        <f t="shared" si="98"/>
        <v>0</v>
      </c>
      <c r="AO44" s="46">
        <f t="shared" si="99"/>
        <v>0</v>
      </c>
      <c r="AP44" s="2">
        <f t="shared" si="100"/>
        <v>0</v>
      </c>
      <c r="AQ44" s="2">
        <f t="shared" si="101"/>
        <v>0</v>
      </c>
      <c r="AR44" s="2">
        <f t="shared" si="102"/>
        <v>0</v>
      </c>
      <c r="AS44" s="2">
        <f t="shared" si="103"/>
        <v>0</v>
      </c>
      <c r="AT44" s="64">
        <f t="shared" si="104"/>
        <v>70563.739550022379</v>
      </c>
      <c r="AU44" s="64">
        <f t="shared" si="105"/>
        <v>205.50536033920656</v>
      </c>
      <c r="AV44" s="64">
        <f t="shared" si="23"/>
        <v>2.810669789476242</v>
      </c>
      <c r="AW44" s="64">
        <f t="shared" si="24"/>
        <v>0.29943609574970753</v>
      </c>
      <c r="AX44" s="2">
        <f t="shared" si="106"/>
        <v>205.50536033920656</v>
      </c>
      <c r="AY44" s="2">
        <f t="shared" si="107"/>
        <v>2.7600110239937812</v>
      </c>
      <c r="AZ44" s="3">
        <f t="shared" si="108"/>
        <v>3.2459950691597852</v>
      </c>
      <c r="BA44" s="3">
        <f t="shared" si="109"/>
        <v>1.0247474876922251</v>
      </c>
      <c r="BB44" s="3">
        <f t="shared" si="110"/>
        <v>1</v>
      </c>
      <c r="BC44" s="68">
        <f t="shared" si="111"/>
        <v>35341.900927292903</v>
      </c>
      <c r="BD44" s="68">
        <f t="shared" si="112"/>
        <v>1.5862203933200574</v>
      </c>
      <c r="BI44" s="26"/>
      <c r="BJ44" s="26"/>
      <c r="BK44" s="26"/>
    </row>
    <row r="45" spans="1:65" s="24" customFormat="1">
      <c r="A45" s="62">
        <f t="shared" si="27"/>
        <v>56720.289484344277</v>
      </c>
      <c r="B45" s="62">
        <f t="shared" si="28"/>
        <v>35876.424979696523</v>
      </c>
      <c r="C45" s="62">
        <f t="shared" si="29"/>
        <v>0.10343503139390847</v>
      </c>
      <c r="D45" s="65">
        <f t="shared" si="30"/>
        <v>140.80475816363344</v>
      </c>
      <c r="E45" s="62">
        <f t="shared" si="0"/>
        <v>2.070658208288727</v>
      </c>
      <c r="F45" s="62">
        <f t="shared" si="31"/>
        <v>28.995801705835447</v>
      </c>
      <c r="G45" s="62">
        <f t="shared" si="32"/>
        <v>-277.58431986900513</v>
      </c>
      <c r="H45" s="62">
        <f t="shared" si="33"/>
        <v>148.3328579877417</v>
      </c>
      <c r="I45" s="62">
        <f t="shared" si="34"/>
        <v>16.316851521983263</v>
      </c>
      <c r="J45" s="62">
        <f t="shared" si="35"/>
        <v>132.01600646575844</v>
      </c>
      <c r="K45" s="62">
        <f t="shared" si="36"/>
        <v>382.49571245978706</v>
      </c>
      <c r="L45" s="62">
        <f t="shared" si="37"/>
        <v>250.4912516813807</v>
      </c>
      <c r="M45" s="62">
        <f t="shared" si="38"/>
        <v>57276.9367103029</v>
      </c>
      <c r="N45" s="62">
        <f t="shared" si="39"/>
        <v>132.00446077840635</v>
      </c>
      <c r="O45" s="2">
        <f t="shared" si="95"/>
        <v>139.10236915184566</v>
      </c>
      <c r="P45" s="2">
        <f t="shared" si="96"/>
        <v>2.0456230757624363</v>
      </c>
      <c r="Q45" s="2">
        <f t="shared" si="97"/>
        <v>0.63791169246129198</v>
      </c>
      <c r="R45" s="2">
        <f t="shared" si="3"/>
        <v>0.6301990706017736</v>
      </c>
      <c r="S45" s="67">
        <f t="shared" si="17"/>
        <v>22609.289678719004</v>
      </c>
      <c r="T45" s="63">
        <f t="shared" si="68"/>
        <v>49534.539347730621</v>
      </c>
      <c r="U45" s="63">
        <f t="shared" si="69"/>
        <v>35235.83048872112</v>
      </c>
      <c r="V45" s="63">
        <f t="shared" si="70"/>
        <v>4.4127329191727627E-2</v>
      </c>
      <c r="W45" s="63">
        <f t="shared" si="71"/>
        <v>65.574807724736829</v>
      </c>
      <c r="X45" s="63">
        <f t="shared" si="44"/>
        <v>0.70510545940577241</v>
      </c>
      <c r="Y45" s="63">
        <f t="shared" si="72"/>
        <v>25.322396863174351</v>
      </c>
      <c r="Z45" s="63">
        <f t="shared" si="73"/>
        <v>-283.64676195993758</v>
      </c>
      <c r="AA45" s="63">
        <f t="shared" si="74"/>
        <v>99.666948613350272</v>
      </c>
      <c r="AB45" s="63">
        <f t="shared" si="75"/>
        <v>10.963523687432527</v>
      </c>
      <c r="AC45" s="63">
        <f t="shared" si="76"/>
        <v>88.703424925917744</v>
      </c>
      <c r="AD45" s="63">
        <f t="shared" si="77"/>
        <v>159.87036266965112</v>
      </c>
      <c r="AE45" s="63">
        <f t="shared" si="78"/>
        <v>110.68925687609848</v>
      </c>
      <c r="AF45" s="63">
        <f t="shared" si="79"/>
        <v>49780.515474121952</v>
      </c>
      <c r="AG45" s="63">
        <f t="shared" si="80"/>
        <v>49.181105793552632</v>
      </c>
      <c r="AH45" s="2">
        <f t="shared" si="81"/>
        <v>65.574807724736829</v>
      </c>
      <c r="AI45" s="2">
        <f t="shared" si="82"/>
        <v>0.70510545940577241</v>
      </c>
      <c r="AJ45" s="2">
        <f t="shared" si="83"/>
        <v>0.37432669730998075</v>
      </c>
      <c r="AK45" s="2">
        <f t="shared" si="84"/>
        <v>0.36980092939822634</v>
      </c>
      <c r="AL45" s="67">
        <f t="shared" si="20"/>
        <v>13030.24286284743</v>
      </c>
      <c r="AM45" s="46">
        <v>0</v>
      </c>
      <c r="AN45" s="46">
        <f t="shared" si="98"/>
        <v>0</v>
      </c>
      <c r="AO45" s="46">
        <f t="shared" si="99"/>
        <v>0</v>
      </c>
      <c r="AP45" s="2">
        <f t="shared" si="100"/>
        <v>0</v>
      </c>
      <c r="AQ45" s="2">
        <f t="shared" si="101"/>
        <v>0</v>
      </c>
      <c r="AR45" s="2">
        <f t="shared" si="102"/>
        <v>0</v>
      </c>
      <c r="AS45" s="2">
        <f t="shared" si="103"/>
        <v>0</v>
      </c>
      <c r="AT45" s="64">
        <f t="shared" si="104"/>
        <v>71112.255468417643</v>
      </c>
      <c r="AU45" s="64">
        <f t="shared" si="105"/>
        <v>204.67717687658251</v>
      </c>
      <c r="AV45" s="64">
        <f t="shared" si="23"/>
        <v>2.7757636676944992</v>
      </c>
      <c r="AW45" s="64">
        <f t="shared" si="24"/>
        <v>0.30515544444112441</v>
      </c>
      <c r="AX45" s="2">
        <f t="shared" si="106"/>
        <v>204.67717687658251</v>
      </c>
      <c r="AY45" s="2">
        <f t="shared" si="107"/>
        <v>2.7507285351682089</v>
      </c>
      <c r="AZ45" s="3">
        <f t="shared" si="108"/>
        <v>3.2459950691597852</v>
      </c>
      <c r="BA45" s="3">
        <f t="shared" si="109"/>
        <v>1.0122383897712728</v>
      </c>
      <c r="BB45" s="3">
        <f t="shared" si="110"/>
        <v>1</v>
      </c>
      <c r="BC45" s="68">
        <f t="shared" si="111"/>
        <v>35639.532541566434</v>
      </c>
      <c r="BD45" s="68">
        <f t="shared" si="112"/>
        <v>1.5656755326095073</v>
      </c>
      <c r="BI45" s="26"/>
      <c r="BJ45" s="26"/>
      <c r="BK45" s="26"/>
    </row>
    <row r="46" spans="1:65" s="24" customFormat="1">
      <c r="A46" s="62">
        <f t="shared" si="27"/>
        <v>57276.9367103029</v>
      </c>
      <c r="B46" s="62">
        <f t="shared" si="28"/>
        <v>36225.274885654464</v>
      </c>
      <c r="C46" s="62">
        <f t="shared" si="29"/>
        <v>0.10115740920097374</v>
      </c>
      <c r="D46" s="65">
        <f t="shared" si="30"/>
        <v>139.05567658997725</v>
      </c>
      <c r="E46" s="62">
        <f t="shared" si="0"/>
        <v>2.044936420440842</v>
      </c>
      <c r="F46" s="62">
        <f t="shared" si="31"/>
        <v>29.280363592432565</v>
      </c>
      <c r="G46" s="62">
        <f t="shared" si="32"/>
        <v>-281.93495679627421</v>
      </c>
      <c r="H46" s="62">
        <f t="shared" si="33"/>
        <v>146.49026209781724</v>
      </c>
      <c r="I46" s="62">
        <f t="shared" si="34"/>
        <v>16.11416302828891</v>
      </c>
      <c r="J46" s="62">
        <f t="shared" si="35"/>
        <v>130.37609906952832</v>
      </c>
      <c r="K46" s="62">
        <f t="shared" si="36"/>
        <v>369.94553855136741</v>
      </c>
      <c r="L46" s="62">
        <f t="shared" si="37"/>
        <v>239.58084174826374</v>
      </c>
      <c r="M46" s="62">
        <f t="shared" si="38"/>
        <v>57809.338580854594</v>
      </c>
      <c r="N46" s="62">
        <f t="shared" si="39"/>
        <v>130.36469680310367</v>
      </c>
      <c r="O46" s="2">
        <f t="shared" si="95"/>
        <v>139.00168547504501</v>
      </c>
      <c r="P46" s="2">
        <f t="shared" si="96"/>
        <v>2.0441424334565443</v>
      </c>
      <c r="Q46" s="2">
        <f t="shared" si="97"/>
        <v>0.62998753136435504</v>
      </c>
      <c r="R46" s="2">
        <f t="shared" si="3"/>
        <v>0.62974292625332418</v>
      </c>
      <c r="S46" s="67">
        <f t="shared" si="17"/>
        <v>22812.610610823096</v>
      </c>
      <c r="T46" s="63">
        <f t="shared" si="68"/>
        <v>49780.515474121952</v>
      </c>
      <c r="U46" s="63">
        <f t="shared" si="69"/>
        <v>35409.740794351317</v>
      </c>
      <c r="V46" s="63">
        <f t="shared" si="70"/>
        <v>4.3448781348915957E-2</v>
      </c>
      <c r="W46" s="63">
        <f t="shared" si="71"/>
        <v>64.887081968143562</v>
      </c>
      <c r="X46" s="63">
        <f t="shared" si="44"/>
        <v>0.69771055879724264</v>
      </c>
      <c r="Y46" s="63">
        <f t="shared" si="72"/>
        <v>25.44814154907165</v>
      </c>
      <c r="Z46" s="63">
        <f t="shared" si="73"/>
        <v>-285.39577968097183</v>
      </c>
      <c r="AA46" s="63">
        <f t="shared" si="74"/>
        <v>98.621676350712704</v>
      </c>
      <c r="AB46" s="63">
        <f t="shared" si="75"/>
        <v>10.84854206744032</v>
      </c>
      <c r="AC46" s="63">
        <f t="shared" si="76"/>
        <v>87.773134283272384</v>
      </c>
      <c r="AD46" s="63">
        <f t="shared" si="77"/>
        <v>153.46989173539009</v>
      </c>
      <c r="AE46" s="63">
        <f t="shared" si="78"/>
        <v>104.8045802592824</v>
      </c>
      <c r="AF46" s="63">
        <f t="shared" si="79"/>
        <v>50013.4145413648</v>
      </c>
      <c r="AG46" s="63">
        <f t="shared" si="80"/>
        <v>48.665311476107689</v>
      </c>
      <c r="AH46" s="2">
        <f t="shared" si="81"/>
        <v>64.887081968143562</v>
      </c>
      <c r="AI46" s="2">
        <f t="shared" si="82"/>
        <v>0.69771055879724264</v>
      </c>
      <c r="AJ46" s="2">
        <f t="shared" si="83"/>
        <v>0.3704008892130482</v>
      </c>
      <c r="AK46" s="2">
        <f t="shared" si="84"/>
        <v>0.37025707374667588</v>
      </c>
      <c r="AL46" s="67">
        <f t="shared" si="20"/>
        <v>13110.707008644813</v>
      </c>
      <c r="AM46" s="46">
        <v>0</v>
      </c>
      <c r="AN46" s="46">
        <f t="shared" si="98"/>
        <v>0</v>
      </c>
      <c r="AO46" s="46">
        <f t="shared" si="99"/>
        <v>0</v>
      </c>
      <c r="AP46" s="2">
        <f t="shared" si="100"/>
        <v>0</v>
      </c>
      <c r="AQ46" s="2">
        <f t="shared" si="101"/>
        <v>0</v>
      </c>
      <c r="AR46" s="2">
        <f t="shared" si="102"/>
        <v>0</v>
      </c>
      <c r="AS46" s="2">
        <f t="shared" si="103"/>
        <v>0</v>
      </c>
      <c r="AT46" s="64">
        <f t="shared" si="104"/>
        <v>71635.015680005774</v>
      </c>
      <c r="AU46" s="64">
        <f t="shared" si="105"/>
        <v>203.88876744318856</v>
      </c>
      <c r="AV46" s="64">
        <f t="shared" si="23"/>
        <v>2.7426469792380845</v>
      </c>
      <c r="AW46" s="64">
        <f t="shared" si="24"/>
        <v>0.31062405589944031</v>
      </c>
      <c r="AX46" s="2">
        <f t="shared" si="106"/>
        <v>203.88876744318856</v>
      </c>
      <c r="AY46" s="2">
        <f t="shared" si="107"/>
        <v>2.7418529922537869</v>
      </c>
      <c r="AZ46" s="3">
        <f t="shared" si="108"/>
        <v>3.2459950691597852</v>
      </c>
      <c r="BA46" s="3">
        <f t="shared" si="109"/>
        <v>1.0003884205774032</v>
      </c>
      <c r="BB46" s="3">
        <f t="shared" si="110"/>
        <v>1</v>
      </c>
      <c r="BC46" s="68">
        <f t="shared" si="111"/>
        <v>35923.317619467911</v>
      </c>
      <c r="BD46" s="68">
        <f t="shared" si="112"/>
        <v>1.5461165152328389</v>
      </c>
      <c r="BI46" s="26"/>
      <c r="BJ46" s="26"/>
      <c r="BK46" s="26"/>
    </row>
    <row r="47" spans="1:65" s="24" customFormat="1">
      <c r="A47" s="62">
        <f t="shared" si="27"/>
        <v>57809.338580854594</v>
      </c>
      <c r="B47" s="62">
        <f t="shared" si="28"/>
        <v>36558.938982528372</v>
      </c>
      <c r="C47" s="62">
        <f t="shared" si="29"/>
        <v>9.9025930070931023E-2</v>
      </c>
      <c r="D47" s="65">
        <f t="shared" si="30"/>
        <v>137.39096447410756</v>
      </c>
      <c r="E47" s="62">
        <f t="shared" si="0"/>
        <v>2.0204553599133463</v>
      </c>
      <c r="F47" s="62">
        <f t="shared" si="31"/>
        <v>29.552531086757391</v>
      </c>
      <c r="G47" s="62">
        <f t="shared" si="32"/>
        <v>-286.09161025133341</v>
      </c>
      <c r="H47" s="62">
        <f t="shared" si="33"/>
        <v>144.73654646281855</v>
      </c>
      <c r="I47" s="62">
        <f t="shared" si="34"/>
        <v>15.921251504731405</v>
      </c>
      <c r="J47" s="62">
        <f t="shared" si="35"/>
        <v>128.81529495808715</v>
      </c>
      <c r="K47" s="62">
        <f t="shared" si="36"/>
        <v>357.98486453910238</v>
      </c>
      <c r="L47" s="62">
        <f t="shared" si="37"/>
        <v>229.18083534462653</v>
      </c>
      <c r="M47" s="62">
        <f t="shared" si="38"/>
        <v>58318.629326064874</v>
      </c>
      <c r="N47" s="62">
        <f t="shared" si="39"/>
        <v>128.80402919447585</v>
      </c>
      <c r="O47" s="2">
        <f t="shared" si="95"/>
        <v>137.39096447410756</v>
      </c>
      <c r="P47" s="2">
        <f t="shared" si="96"/>
        <v>2.0204553599133463</v>
      </c>
      <c r="Q47" s="2">
        <f t="shared" si="97"/>
        <v>0.62244560354071465</v>
      </c>
      <c r="R47" s="2">
        <f t="shared" si="3"/>
        <v>0.62244560354071465</v>
      </c>
      <c r="S47" s="67">
        <f t="shared" si="17"/>
        <v>22755.950839788035</v>
      </c>
      <c r="T47" s="63">
        <f t="shared" si="68"/>
        <v>50013.4145413648</v>
      </c>
      <c r="U47" s="63">
        <f t="shared" si="69"/>
        <v>35574.411406337153</v>
      </c>
      <c r="V47" s="63">
        <f t="shared" si="70"/>
        <v>4.2815927143088663E-2</v>
      </c>
      <c r="W47" s="63">
        <f t="shared" si="71"/>
        <v>64.241121395404988</v>
      </c>
      <c r="X47" s="63">
        <f t="shared" si="44"/>
        <v>0.69076474618715045</v>
      </c>
      <c r="Y47" s="63">
        <f t="shared" si="72"/>
        <v>25.56720115248061</v>
      </c>
      <c r="Z47" s="63">
        <f t="shared" si="73"/>
        <v>-287.04960698159192</v>
      </c>
      <c r="AA47" s="63">
        <f t="shared" si="74"/>
        <v>97.639882862584813</v>
      </c>
      <c r="AB47" s="63">
        <f t="shared" si="75"/>
        <v>10.740543214129229</v>
      </c>
      <c r="AC47" s="63">
        <f t="shared" si="76"/>
        <v>86.89933964845558</v>
      </c>
      <c r="AD47" s="63">
        <f t="shared" si="77"/>
        <v>147.44709126068597</v>
      </c>
      <c r="AE47" s="63">
        <f t="shared" si="78"/>
        <v>99.266250214132214</v>
      </c>
      <c r="AF47" s="63">
        <f t="shared" si="79"/>
        <v>50234.006208507315</v>
      </c>
      <c r="AG47" s="63">
        <f t="shared" si="80"/>
        <v>48.180841046553752</v>
      </c>
      <c r="AH47" s="2">
        <f t="shared" si="81"/>
        <v>64.241121395404988</v>
      </c>
      <c r="AI47" s="2">
        <f t="shared" si="82"/>
        <v>0.69076474618715045</v>
      </c>
      <c r="AJ47" s="2">
        <f t="shared" si="83"/>
        <v>0.36671349315081803</v>
      </c>
      <c r="AK47" s="2">
        <f t="shared" si="84"/>
        <v>0.36671349315081803</v>
      </c>
      <c r="AL47" s="67">
        <f t="shared" si="20"/>
        <v>13045.616673602202</v>
      </c>
      <c r="AM47" s="46">
        <v>0</v>
      </c>
      <c r="AN47" s="46">
        <f t="shared" si="98"/>
        <v>0</v>
      </c>
      <c r="AO47" s="46">
        <f t="shared" si="99"/>
        <v>0</v>
      </c>
      <c r="AP47" s="2">
        <f t="shared" si="100"/>
        <v>0</v>
      </c>
      <c r="AQ47" s="2">
        <f t="shared" si="101"/>
        <v>0</v>
      </c>
      <c r="AR47" s="2">
        <f t="shared" si="102"/>
        <v>0</v>
      </c>
      <c r="AS47" s="2">
        <f t="shared" si="103"/>
        <v>0</v>
      </c>
      <c r="AT47" s="64">
        <f t="shared" si="104"/>
        <v>72133.350388865525</v>
      </c>
      <c r="AU47" s="64">
        <f t="shared" si="105"/>
        <v>201.63208586951254</v>
      </c>
      <c r="AV47" s="64">
        <f t="shared" si="23"/>
        <v>2.7112201061004968</v>
      </c>
      <c r="AW47" s="64">
        <f t="shared" si="24"/>
        <v>0.32949832126375544</v>
      </c>
      <c r="AX47" s="2">
        <f t="shared" si="106"/>
        <v>201.63208586951254</v>
      </c>
      <c r="AY47" s="2">
        <f t="shared" si="107"/>
        <v>2.7112201061004968</v>
      </c>
      <c r="AZ47" s="3">
        <f t="shared" si="108"/>
        <v>3.2459950691597852</v>
      </c>
      <c r="BA47" s="3">
        <f t="shared" si="109"/>
        <v>0.98915909669153268</v>
      </c>
      <c r="BB47" s="3">
        <f t="shared" si="110"/>
        <v>0.98915909669153268</v>
      </c>
      <c r="BC47" s="68">
        <f t="shared" si="111"/>
        <v>35801.56751339024</v>
      </c>
      <c r="BD47" s="68">
        <f t="shared" si="112"/>
        <v>1.5109363089480627</v>
      </c>
      <c r="BI47" s="26"/>
      <c r="BJ47" s="26"/>
      <c r="BK47" s="26"/>
    </row>
    <row r="48" spans="1:65" s="24" customFormat="1">
      <c r="A48" s="62">
        <f t="shared" si="27"/>
        <v>58318.629326064874</v>
      </c>
      <c r="B48" s="62">
        <f t="shared" si="28"/>
        <v>36878.127439894975</v>
      </c>
      <c r="C48" s="62">
        <f t="shared" si="29"/>
        <v>9.7029019701385499E-2</v>
      </c>
      <c r="D48" s="65">
        <f t="shared" si="30"/>
        <v>135.80638641207713</v>
      </c>
      <c r="E48" s="62">
        <f t="shared" si="0"/>
        <v>1.9971527413540755</v>
      </c>
      <c r="F48" s="62">
        <f t="shared" si="31"/>
        <v>29.812884015012642</v>
      </c>
      <c r="G48" s="62">
        <f t="shared" si="32"/>
        <v>-290.0634528711106</v>
      </c>
      <c r="H48" s="62">
        <f t="shared" si="33"/>
        <v>143.06724923372565</v>
      </c>
      <c r="I48" s="62">
        <f t="shared" si="34"/>
        <v>15.737626140785286</v>
      </c>
      <c r="J48" s="62">
        <f t="shared" si="35"/>
        <v>127.32962309294037</v>
      </c>
      <c r="K48" s="62">
        <f t="shared" si="36"/>
        <v>346.58466259359125</v>
      </c>
      <c r="L48" s="62">
        <f t="shared" si="37"/>
        <v>219.26617533226894</v>
      </c>
      <c r="M48" s="62">
        <f t="shared" si="38"/>
        <v>58805.88749346992</v>
      </c>
      <c r="N48" s="62">
        <f t="shared" si="39"/>
        <v>127.3184872613223</v>
      </c>
      <c r="O48" s="2">
        <f t="shared" si="95"/>
        <v>135.80638641207713</v>
      </c>
      <c r="P48" s="2">
        <f t="shared" si="96"/>
        <v>1.9971527413540755</v>
      </c>
      <c r="Q48" s="2">
        <f t="shared" si="97"/>
        <v>0.61526672062106114</v>
      </c>
      <c r="R48" s="2">
        <f t="shared" si="3"/>
        <v>0.61526672062106114</v>
      </c>
      <c r="S48" s="67">
        <f t="shared" si="17"/>
        <v>22689.884532589749</v>
      </c>
      <c r="T48" s="63">
        <f t="shared" si="68"/>
        <v>50234.006208507315</v>
      </c>
      <c r="U48" s="63">
        <f t="shared" si="69"/>
        <v>35730.385529435596</v>
      </c>
      <c r="V48" s="63">
        <f t="shared" si="70"/>
        <v>4.2225017952060205E-2</v>
      </c>
      <c r="W48" s="63">
        <f t="shared" si="71"/>
        <v>63.633954418743755</v>
      </c>
      <c r="X48" s="63">
        <f t="shared" si="44"/>
        <v>0.68423606901875</v>
      </c>
      <c r="Y48" s="63">
        <f t="shared" si="72"/>
        <v>25.679969128394937</v>
      </c>
      <c r="Z48" s="63">
        <f t="shared" si="73"/>
        <v>-288.61406798262021</v>
      </c>
      <c r="AA48" s="63">
        <f t="shared" si="74"/>
        <v>96.717051641841621</v>
      </c>
      <c r="AB48" s="63">
        <f t="shared" si="75"/>
        <v>10.639030304494861</v>
      </c>
      <c r="AC48" s="63">
        <f t="shared" si="76"/>
        <v>86.078021337346755</v>
      </c>
      <c r="AD48" s="63">
        <f t="shared" si="77"/>
        <v>141.77603870411355</v>
      </c>
      <c r="AE48" s="63">
        <f t="shared" si="78"/>
        <v>94.050572890055719</v>
      </c>
      <c r="AF48" s="63">
        <f t="shared" si="79"/>
        <v>50443.007481596331</v>
      </c>
      <c r="AG48" s="63">
        <f t="shared" si="80"/>
        <v>47.725465814057827</v>
      </c>
      <c r="AH48" s="2">
        <f t="shared" si="81"/>
        <v>63.633954418743755</v>
      </c>
      <c r="AI48" s="2">
        <f t="shared" si="82"/>
        <v>0.68423606901875</v>
      </c>
      <c r="AJ48" s="2">
        <f t="shared" si="83"/>
        <v>0.36324754613587085</v>
      </c>
      <c r="AK48" s="2">
        <f t="shared" si="84"/>
        <v>0.36324754613587085</v>
      </c>
      <c r="AL48" s="67">
        <f t="shared" si="20"/>
        <v>12978.974866056109</v>
      </c>
      <c r="AM48" s="46">
        <v>0</v>
      </c>
      <c r="AN48" s="46">
        <f t="shared" si="98"/>
        <v>0</v>
      </c>
      <c r="AO48" s="46">
        <f t="shared" si="99"/>
        <v>0</v>
      </c>
      <c r="AP48" s="2">
        <f t="shared" si="100"/>
        <v>0</v>
      </c>
      <c r="AQ48" s="2">
        <f t="shared" si="101"/>
        <v>0</v>
      </c>
      <c r="AR48" s="2">
        <f t="shared" si="102"/>
        <v>0</v>
      </c>
      <c r="AS48" s="2">
        <f t="shared" si="103"/>
        <v>0</v>
      </c>
      <c r="AT48" s="64">
        <f t="shared" si="104"/>
        <v>72608.512969330564</v>
      </c>
      <c r="AU48" s="64">
        <f t="shared" si="105"/>
        <v>199.4403408308209</v>
      </c>
      <c r="AV48" s="64">
        <f t="shared" si="23"/>
        <v>2.6813888103728254</v>
      </c>
      <c r="AW48" s="64">
        <f t="shared" si="24"/>
        <v>0.34787869159216323</v>
      </c>
      <c r="AX48" s="2">
        <f t="shared" si="106"/>
        <v>199.4403408308209</v>
      </c>
      <c r="AY48" s="2">
        <f t="shared" si="107"/>
        <v>2.6813888103728254</v>
      </c>
      <c r="AZ48" s="3">
        <f t="shared" si="108"/>
        <v>3.2459950691597852</v>
      </c>
      <c r="BA48" s="3">
        <f t="shared" si="109"/>
        <v>0.97851426675693198</v>
      </c>
      <c r="BB48" s="3">
        <f t="shared" si="110"/>
        <v>0.97851426675693198</v>
      </c>
      <c r="BC48" s="68">
        <f t="shared" si="111"/>
        <v>35668.859398645858</v>
      </c>
      <c r="BD48" s="68">
        <f t="shared" si="112"/>
        <v>1.4773286908009997</v>
      </c>
      <c r="BI48" s="26"/>
      <c r="BJ48" s="26"/>
      <c r="BK48" s="26"/>
    </row>
    <row r="49" spans="1:64" s="24" customFormat="1">
      <c r="A49" s="62">
        <f t="shared" si="27"/>
        <v>58805.88749346992</v>
      </c>
      <c r="B49" s="62">
        <f t="shared" si="28"/>
        <v>37183.515507298129</v>
      </c>
      <c r="C49" s="62">
        <f t="shared" si="29"/>
        <v>9.5156202602595122E-2</v>
      </c>
      <c r="D49" s="65">
        <f t="shared" si="30"/>
        <v>134.29787866929692</v>
      </c>
      <c r="E49" s="62">
        <f t="shared" si="0"/>
        <v>1.9749688039602489</v>
      </c>
      <c r="F49" s="62">
        <f t="shared" si="31"/>
        <v>30.061973738109437</v>
      </c>
      <c r="G49" s="62">
        <f t="shared" si="32"/>
        <v>-293.85924299717459</v>
      </c>
      <c r="H49" s="62">
        <f t="shared" si="33"/>
        <v>141.47808940914652</v>
      </c>
      <c r="I49" s="62">
        <f t="shared" si="34"/>
        <v>15.562816019453292</v>
      </c>
      <c r="J49" s="62">
        <f t="shared" si="35"/>
        <v>125.91527338969323</v>
      </c>
      <c r="K49" s="62">
        <f t="shared" si="36"/>
        <v>335.71712395129151</v>
      </c>
      <c r="L49" s="62">
        <f t="shared" si="37"/>
        <v>209.81286269882565</v>
      </c>
      <c r="M49" s="62">
        <f t="shared" si="38"/>
        <v>59272.138299467311</v>
      </c>
      <c r="N49" s="62">
        <f t="shared" si="39"/>
        <v>125.90426125246586</v>
      </c>
      <c r="O49" s="2">
        <f t="shared" si="95"/>
        <v>134.29787866929695</v>
      </c>
      <c r="P49" s="2">
        <f t="shared" si="96"/>
        <v>1.9749688039602491</v>
      </c>
      <c r="Q49" s="2">
        <f t="shared" si="97"/>
        <v>0.60843247197891248</v>
      </c>
      <c r="R49" s="2">
        <f t="shared" si="3"/>
        <v>0.60843247197891248</v>
      </c>
      <c r="S49" s="67">
        <f t="shared" si="17"/>
        <v>22623.658256971627</v>
      </c>
      <c r="T49" s="63">
        <f t="shared" si="68"/>
        <v>50443.007481596331</v>
      </c>
      <c r="U49" s="63">
        <f t="shared" si="69"/>
        <v>35878.169266352139</v>
      </c>
      <c r="V49" s="63">
        <f t="shared" si="70"/>
        <v>4.1672682059484982E-2</v>
      </c>
      <c r="W49" s="63">
        <f t="shared" si="71"/>
        <v>63.062862387143582</v>
      </c>
      <c r="X49" s="63">
        <f t="shared" si="44"/>
        <v>0.67809529448541483</v>
      </c>
      <c r="Y49" s="63">
        <f t="shared" si="72"/>
        <v>25.786812015232265</v>
      </c>
      <c r="Z49" s="63">
        <f t="shared" si="73"/>
        <v>-290.09456644294391</v>
      </c>
      <c r="AA49" s="63">
        <f t="shared" si="74"/>
        <v>95.849050619163577</v>
      </c>
      <c r="AB49" s="63">
        <f t="shared" si="75"/>
        <v>10.543548804306024</v>
      </c>
      <c r="AC49" s="63">
        <f t="shared" si="76"/>
        <v>85.30550181485755</v>
      </c>
      <c r="AD49" s="63">
        <f t="shared" si="77"/>
        <v>136.43294263134385</v>
      </c>
      <c r="AE49" s="63">
        <f t="shared" si="78"/>
        <v>89.135795840986162</v>
      </c>
      <c r="AF49" s="63">
        <f t="shared" si="79"/>
        <v>50641.087027909634</v>
      </c>
      <c r="AG49" s="63">
        <f t="shared" si="80"/>
        <v>47.297146790357687</v>
      </c>
      <c r="AH49" s="2">
        <f t="shared" si="81"/>
        <v>63.062862387143582</v>
      </c>
      <c r="AI49" s="2">
        <f t="shared" si="82"/>
        <v>0.67809529448541483</v>
      </c>
      <c r="AJ49" s="2">
        <f t="shared" si="83"/>
        <v>0.35998752904293019</v>
      </c>
      <c r="AK49" s="2">
        <f t="shared" si="84"/>
        <v>0.35998752904293019</v>
      </c>
      <c r="AL49" s="67">
        <f t="shared" si="20"/>
        <v>12915.693500778107</v>
      </c>
      <c r="AM49" s="46">
        <v>0</v>
      </c>
      <c r="AN49" s="46">
        <f t="shared" si="98"/>
        <v>0</v>
      </c>
      <c r="AO49" s="46">
        <f t="shared" si="99"/>
        <v>0</v>
      </c>
      <c r="AP49" s="2">
        <f t="shared" si="100"/>
        <v>0</v>
      </c>
      <c r="AQ49" s="2">
        <f t="shared" si="101"/>
        <v>0</v>
      </c>
      <c r="AR49" s="2">
        <f t="shared" si="102"/>
        <v>0</v>
      </c>
      <c r="AS49" s="2">
        <f t="shared" si="103"/>
        <v>0</v>
      </c>
      <c r="AT49" s="64">
        <f t="shared" si="104"/>
        <v>73061.684773650268</v>
      </c>
      <c r="AU49" s="64">
        <f t="shared" si="105"/>
        <v>197.36074105644053</v>
      </c>
      <c r="AV49" s="64">
        <f t="shared" si="23"/>
        <v>2.6530640984456637</v>
      </c>
      <c r="AW49" s="64">
        <f t="shared" si="24"/>
        <v>0.36533078953049647</v>
      </c>
      <c r="AX49" s="2">
        <f t="shared" si="106"/>
        <v>197.36074105644053</v>
      </c>
      <c r="AY49" s="2">
        <f t="shared" si="107"/>
        <v>2.6530640984456637</v>
      </c>
      <c r="AZ49" s="3">
        <f t="shared" si="108"/>
        <v>3.2459950691597852</v>
      </c>
      <c r="BA49" s="3">
        <f t="shared" si="109"/>
        <v>0.96842000102184267</v>
      </c>
      <c r="BB49" s="3">
        <f t="shared" si="110"/>
        <v>0.96842000102184267</v>
      </c>
      <c r="BC49" s="68">
        <f t="shared" si="111"/>
        <v>35539.351757749733</v>
      </c>
      <c r="BD49" s="68">
        <f t="shared" si="112"/>
        <v>1.4457410009922131</v>
      </c>
      <c r="BI49" s="26"/>
      <c r="BJ49" s="26"/>
      <c r="BK49" s="26"/>
    </row>
    <row r="50" spans="1:64" s="24" customFormat="1">
      <c r="A50" s="62">
        <f t="shared" si="27"/>
        <v>59272.138299467311</v>
      </c>
      <c r="B50" s="62">
        <f t="shared" si="28"/>
        <v>37475.745007333702</v>
      </c>
      <c r="C50" s="62">
        <f t="shared" si="29"/>
        <v>9.3397982746976305E-2</v>
      </c>
      <c r="D50" s="65">
        <f t="shared" si="30"/>
        <v>132.86155560648101</v>
      </c>
      <c r="E50" s="62">
        <f t="shared" si="0"/>
        <v>1.9538464059776619</v>
      </c>
      <c r="F50" s="62">
        <f t="shared" si="31"/>
        <v>30.300324353714419</v>
      </c>
      <c r="G50" s="62">
        <f t="shared" si="32"/>
        <v>-297.48733101502364</v>
      </c>
      <c r="H50" s="62">
        <f t="shared" si="33"/>
        <v>139.96497360482411</v>
      </c>
      <c r="I50" s="62">
        <f t="shared" si="34"/>
        <v>15.396370861922952</v>
      </c>
      <c r="J50" s="62">
        <f t="shared" si="35"/>
        <v>124.56860274290116</v>
      </c>
      <c r="K50" s="62">
        <f t="shared" si="36"/>
        <v>325.35568269948214</v>
      </c>
      <c r="L50" s="62">
        <f t="shared" si="37"/>
        <v>200.7979743184062</v>
      </c>
      <c r="M50" s="62">
        <f t="shared" si="38"/>
        <v>59718.356020174884</v>
      </c>
      <c r="N50" s="62">
        <f t="shared" si="39"/>
        <v>124.55770838107594</v>
      </c>
      <c r="O50" s="2">
        <f t="shared" si="95"/>
        <v>132.86155560648101</v>
      </c>
      <c r="P50" s="2">
        <f t="shared" si="96"/>
        <v>1.9538464059776619</v>
      </c>
      <c r="Q50" s="2">
        <f t="shared" si="97"/>
        <v>0.60192525384316387</v>
      </c>
      <c r="R50" s="2">
        <f t="shared" si="3"/>
        <v>0.60192525384316387</v>
      </c>
      <c r="S50" s="67">
        <f t="shared" si="17"/>
        <v>22557.597326501018</v>
      </c>
      <c r="T50" s="63">
        <f t="shared" si="68"/>
        <v>50641.087027909634</v>
      </c>
      <c r="U50" s="63">
        <f t="shared" si="69"/>
        <v>36018.234652202984</v>
      </c>
      <c r="V50" s="63">
        <f t="shared" si="70"/>
        <v>4.1155879483484169E-2</v>
      </c>
      <c r="W50" s="63">
        <f t="shared" si="71"/>
        <v>62.525354238998474</v>
      </c>
      <c r="X50" s="63">
        <f t="shared" si="44"/>
        <v>0.67231563697847818</v>
      </c>
      <c r="Y50" s="63">
        <f t="shared" si="72"/>
        <v>25.888071640299369</v>
      </c>
      <c r="Z50" s="63">
        <f t="shared" si="73"/>
        <v>-291.49612230078401</v>
      </c>
      <c r="AA50" s="63">
        <f t="shared" si="74"/>
        <v>95.032093637675899</v>
      </c>
      <c r="AB50" s="63">
        <f t="shared" si="75"/>
        <v>10.453682230253472</v>
      </c>
      <c r="AC50" s="63">
        <f t="shared" si="76"/>
        <v>84.578411407422422</v>
      </c>
      <c r="AD50" s="63">
        <f t="shared" si="77"/>
        <v>131.39593473632812</v>
      </c>
      <c r="AE50" s="63">
        <f t="shared" si="78"/>
        <v>84.501919057079263</v>
      </c>
      <c r="AF50" s="63">
        <f t="shared" si="79"/>
        <v>50828.869070258697</v>
      </c>
      <c r="AG50" s="63">
        <f t="shared" si="80"/>
        <v>46.894015679248852</v>
      </c>
      <c r="AH50" s="2">
        <f t="shared" si="81"/>
        <v>62.525354238998474</v>
      </c>
      <c r="AI50" s="2">
        <f t="shared" si="82"/>
        <v>0.67231563697847818</v>
      </c>
      <c r="AJ50" s="2">
        <f t="shared" si="83"/>
        <v>0.35691922191625197</v>
      </c>
      <c r="AK50" s="2">
        <f t="shared" si="84"/>
        <v>0.35691922191625197</v>
      </c>
      <c r="AL50" s="67">
        <f t="shared" si="20"/>
        <v>12855.600286861274</v>
      </c>
      <c r="AM50" s="46">
        <v>0</v>
      </c>
      <c r="AN50" s="46">
        <f t="shared" si="98"/>
        <v>0</v>
      </c>
      <c r="AO50" s="46">
        <f t="shared" si="99"/>
        <v>0</v>
      </c>
      <c r="AP50" s="2">
        <f t="shared" si="100"/>
        <v>0</v>
      </c>
      <c r="AQ50" s="2">
        <f t="shared" si="101"/>
        <v>0</v>
      </c>
      <c r="AR50" s="2">
        <f t="shared" si="102"/>
        <v>0</v>
      </c>
      <c r="AS50" s="2">
        <f t="shared" si="103"/>
        <v>0</v>
      </c>
      <c r="AT50" s="64">
        <f t="shared" si="104"/>
        <v>73493.979659536679</v>
      </c>
      <c r="AU50" s="64">
        <f t="shared" si="105"/>
        <v>195.38690984547947</v>
      </c>
      <c r="AV50" s="64">
        <f t="shared" si="23"/>
        <v>2.6261620429561399</v>
      </c>
      <c r="AW50" s="64">
        <f t="shared" si="24"/>
        <v>0.38190632640984701</v>
      </c>
      <c r="AX50" s="2">
        <f t="shared" si="106"/>
        <v>195.38690984547947</v>
      </c>
      <c r="AY50" s="2">
        <f t="shared" si="107"/>
        <v>2.6261620429561399</v>
      </c>
      <c r="AZ50" s="3">
        <f t="shared" si="108"/>
        <v>3.2459950691597852</v>
      </c>
      <c r="BA50" s="3">
        <f t="shared" si="109"/>
        <v>0.95884447575941589</v>
      </c>
      <c r="BB50" s="3">
        <f t="shared" si="110"/>
        <v>0.95884447575941589</v>
      </c>
      <c r="BC50" s="68">
        <f t="shared" si="111"/>
        <v>35413.197613362296</v>
      </c>
      <c r="BD50" s="68">
        <f t="shared" si="112"/>
        <v>1.4160318679211452</v>
      </c>
      <c r="BI50" s="26"/>
      <c r="BJ50" s="26"/>
      <c r="BK50" s="26"/>
    </row>
    <row r="51" spans="1:64" s="24" customFormat="1">
      <c r="A51" s="62">
        <f t="shared" si="27"/>
        <v>59718.356020174884</v>
      </c>
      <c r="B51" s="62">
        <f t="shared" si="28"/>
        <v>37755.425848316663</v>
      </c>
      <c r="C51" s="62">
        <f t="shared" si="29"/>
        <v>9.1745738425285564E-2</v>
      </c>
      <c r="D51" s="65">
        <f t="shared" si="30"/>
        <v>131.49371209476101</v>
      </c>
      <c r="E51" s="62">
        <f t="shared" si="0"/>
        <v>1.9337310602170736</v>
      </c>
      <c r="F51" s="62">
        <f t="shared" si="31"/>
        <v>30.528433918473219</v>
      </c>
      <c r="G51" s="62">
        <f t="shared" si="32"/>
        <v>-300.9556690832452</v>
      </c>
      <c r="H51" s="62">
        <f t="shared" si="33"/>
        <v>138.52399859787423</v>
      </c>
      <c r="I51" s="62">
        <f t="shared" si="34"/>
        <v>15.237861307436832</v>
      </c>
      <c r="J51" s="62">
        <f t="shared" si="35"/>
        <v>123.2861372904374</v>
      </c>
      <c r="K51" s="62">
        <f t="shared" si="36"/>
        <v>315.47501736894174</v>
      </c>
      <c r="L51" s="62">
        <f t="shared" si="37"/>
        <v>192.19966228010327</v>
      </c>
      <c r="M51" s="62">
        <f t="shared" si="38"/>
        <v>60145.466380797334</v>
      </c>
      <c r="N51" s="62">
        <f t="shared" si="39"/>
        <v>123.27535508883847</v>
      </c>
      <c r="O51" s="2">
        <f t="shared" si="95"/>
        <v>131.49371209476101</v>
      </c>
      <c r="P51" s="2">
        <f t="shared" si="96"/>
        <v>1.9337310602170736</v>
      </c>
      <c r="Q51" s="2">
        <f t="shared" si="97"/>
        <v>0.59572828023969038</v>
      </c>
      <c r="R51" s="2">
        <f t="shared" si="3"/>
        <v>0.59572828023969038</v>
      </c>
      <c r="S51" s="67">
        <f t="shared" si="17"/>
        <v>22491.97491033484</v>
      </c>
      <c r="T51" s="63">
        <f t="shared" si="68"/>
        <v>50828.869070258697</v>
      </c>
      <c r="U51" s="63">
        <f t="shared" si="69"/>
        <v>36151.022394122672</v>
      </c>
      <c r="V51" s="63">
        <f t="shared" si="70"/>
        <v>4.067186303925522E-2</v>
      </c>
      <c r="W51" s="63">
        <f t="shared" si="71"/>
        <v>62.019144037973923</v>
      </c>
      <c r="X51" s="63">
        <f t="shared" si="44"/>
        <v>0.66687251653735402</v>
      </c>
      <c r="Y51" s="63">
        <f t="shared" si="72"/>
        <v>25.984067110586473</v>
      </c>
      <c r="Z51" s="63">
        <f t="shared" si="73"/>
        <v>-292.82340446487711</v>
      </c>
      <c r="AA51" s="63">
        <f t="shared" si="74"/>
        <v>94.262706309773208</v>
      </c>
      <c r="AB51" s="63">
        <f t="shared" si="75"/>
        <v>10.369048394146027</v>
      </c>
      <c r="AC51" s="63">
        <f t="shared" si="76"/>
        <v>83.893657915627188</v>
      </c>
      <c r="AD51" s="63">
        <f t="shared" si="77"/>
        <v>126.64488511325879</v>
      </c>
      <c r="AE51" s="63">
        <f t="shared" si="78"/>
        <v>80.13052708477835</v>
      </c>
      <c r="AF51" s="63">
        <f t="shared" si="79"/>
        <v>51006.936908224874</v>
      </c>
      <c r="AG51" s="63">
        <f t="shared" si="80"/>
        <v>46.514358028480444</v>
      </c>
      <c r="AH51" s="2">
        <f t="shared" si="81"/>
        <v>62.019144037973923</v>
      </c>
      <c r="AI51" s="2">
        <f t="shared" si="82"/>
        <v>0.66687251653735402</v>
      </c>
      <c r="AJ51" s="2">
        <f t="shared" si="83"/>
        <v>0.35402957573551819</v>
      </c>
      <c r="AK51" s="2">
        <f t="shared" si="84"/>
        <v>0.35402957573551819</v>
      </c>
      <c r="AL51" s="67">
        <f t="shared" si="20"/>
        <v>12798.531120596466</v>
      </c>
      <c r="AM51" s="46">
        <v>0</v>
      </c>
      <c r="AN51" s="46">
        <f t="shared" si="98"/>
        <v>0</v>
      </c>
      <c r="AO51" s="46">
        <f t="shared" si="99"/>
        <v>0</v>
      </c>
      <c r="AP51" s="2">
        <f t="shared" si="100"/>
        <v>0</v>
      </c>
      <c r="AQ51" s="2">
        <f t="shared" si="101"/>
        <v>0</v>
      </c>
      <c r="AR51" s="2">
        <f t="shared" si="102"/>
        <v>0</v>
      </c>
      <c r="AS51" s="2">
        <f t="shared" si="103"/>
        <v>0</v>
      </c>
      <c r="AT51" s="64">
        <f t="shared" si="104"/>
        <v>73906.448242439335</v>
      </c>
      <c r="AU51" s="64">
        <f t="shared" si="105"/>
        <v>193.51285613273492</v>
      </c>
      <c r="AV51" s="64">
        <f t="shared" si="23"/>
        <v>2.6006035767544278</v>
      </c>
      <c r="AW51" s="64">
        <f t="shared" si="24"/>
        <v>0.39765401897077735</v>
      </c>
      <c r="AX51" s="2">
        <f t="shared" si="106"/>
        <v>193.51285613273492</v>
      </c>
      <c r="AY51" s="2">
        <f t="shared" si="107"/>
        <v>2.6006035767544278</v>
      </c>
      <c r="AZ51" s="3">
        <f t="shared" si="108"/>
        <v>3.2459950691597852</v>
      </c>
      <c r="BA51" s="3">
        <f t="shared" si="109"/>
        <v>0.94975785597520856</v>
      </c>
      <c r="BB51" s="3">
        <f t="shared" si="110"/>
        <v>0.94975785597520856</v>
      </c>
      <c r="BC51" s="68">
        <f t="shared" si="111"/>
        <v>35290.506030931305</v>
      </c>
      <c r="BD51" s="68">
        <f t="shared" si="112"/>
        <v>1.3880708730485871</v>
      </c>
      <c r="BI51" s="26"/>
      <c r="BJ51" s="26"/>
      <c r="BK51" s="26"/>
    </row>
    <row r="52" spans="1:64" s="24" customFormat="1">
      <c r="A52" s="62">
        <f t="shared" si="27"/>
        <v>60145.466380797334</v>
      </c>
      <c r="B52" s="62">
        <f t="shared" si="28"/>
        <v>38023.137531997076</v>
      </c>
      <c r="C52" s="62">
        <f t="shared" si="29"/>
        <v>9.0191629529095971E-2</v>
      </c>
      <c r="D52" s="65">
        <f t="shared" si="30"/>
        <v>130.19082292011765</v>
      </c>
      <c r="E52" s="62">
        <f t="shared" si="0"/>
        <v>1.9145709252958478</v>
      </c>
      <c r="F52" s="62">
        <f t="shared" si="31"/>
        <v>30.746775669471063</v>
      </c>
      <c r="G52" s="62">
        <f t="shared" si="32"/>
        <v>-304.27182325886724</v>
      </c>
      <c r="H52" s="62">
        <f t="shared" si="33"/>
        <v>137.15145069937535</v>
      </c>
      <c r="I52" s="62">
        <f t="shared" si="34"/>
        <v>15.086878844276395</v>
      </c>
      <c r="J52" s="62">
        <f t="shared" si="35"/>
        <v>122.06457185509895</v>
      </c>
      <c r="K52" s="62">
        <f t="shared" si="36"/>
        <v>306.05103601662745</v>
      </c>
      <c r="L52" s="62">
        <f t="shared" si="37"/>
        <v>183.99713952901715</v>
      </c>
      <c r="M52" s="62">
        <f t="shared" si="38"/>
        <v>60554.348913084039</v>
      </c>
      <c r="N52" s="62">
        <f t="shared" si="39"/>
        <v>122.0538964876103</v>
      </c>
      <c r="O52" s="2">
        <f t="shared" si="95"/>
        <v>130.19082292011765</v>
      </c>
      <c r="P52" s="2">
        <f t="shared" si="96"/>
        <v>1.914570925295848</v>
      </c>
      <c r="Q52" s="2">
        <f t="shared" si="97"/>
        <v>0.58982558029314203</v>
      </c>
      <c r="R52" s="2">
        <f t="shared" si="3"/>
        <v>0.58982558029314203</v>
      </c>
      <c r="S52" s="67">
        <f t="shared" si="17"/>
        <v>22427.019159376123</v>
      </c>
      <c r="T52" s="63">
        <f t="shared" si="68"/>
        <v>51006.936908224874</v>
      </c>
      <c r="U52" s="63">
        <f t="shared" si="69"/>
        <v>36276.944348877631</v>
      </c>
      <c r="V52" s="63">
        <f t="shared" si="70"/>
        <v>4.0218144670844877E-2</v>
      </c>
      <c r="W52" s="63">
        <f t="shared" si="71"/>
        <v>61.542131033749349</v>
      </c>
      <c r="X52" s="63">
        <f t="shared" si="44"/>
        <v>0.66174334444891769</v>
      </c>
      <c r="Y52" s="63">
        <f t="shared" si="72"/>
        <v>26.075096612847375</v>
      </c>
      <c r="Z52" s="63">
        <f t="shared" si="73"/>
        <v>-294.08076029087528</v>
      </c>
      <c r="AA52" s="63">
        <f t="shared" si="74"/>
        <v>93.537695711503233</v>
      </c>
      <c r="AB52" s="63">
        <f t="shared" si="75"/>
        <v>10.28929606924433</v>
      </c>
      <c r="AC52" s="63">
        <f t="shared" si="76"/>
        <v>83.248399642258903</v>
      </c>
      <c r="AD52" s="63">
        <f t="shared" si="77"/>
        <v>122.16123792041924</v>
      </c>
      <c r="AE52" s="63">
        <f t="shared" si="78"/>
        <v>76.004639645107233</v>
      </c>
      <c r="AF52" s="63">
        <f t="shared" si="79"/>
        <v>51175.836107436226</v>
      </c>
      <c r="AG52" s="63">
        <f t="shared" si="80"/>
        <v>46.156598275312007</v>
      </c>
      <c r="AH52" s="2">
        <f t="shared" si="81"/>
        <v>61.542131033749349</v>
      </c>
      <c r="AI52" s="2">
        <f t="shared" si="82"/>
        <v>0.66174334444891769</v>
      </c>
      <c r="AJ52" s="2">
        <f t="shared" si="83"/>
        <v>0.35130659859474128</v>
      </c>
      <c r="AK52" s="2">
        <f t="shared" si="84"/>
        <v>0.35130659859474128</v>
      </c>
      <c r="AL52" s="67">
        <f t="shared" si="20"/>
        <v>12744.329926614922</v>
      </c>
      <c r="AM52" s="46">
        <v>0</v>
      </c>
      <c r="AN52" s="46">
        <f t="shared" si="98"/>
        <v>0</v>
      </c>
      <c r="AO52" s="46">
        <f t="shared" si="99"/>
        <v>0</v>
      </c>
      <c r="AP52" s="2">
        <f t="shared" si="100"/>
        <v>0</v>
      </c>
      <c r="AQ52" s="2">
        <f t="shared" si="101"/>
        <v>0</v>
      </c>
      <c r="AR52" s="2">
        <f t="shared" si="102"/>
        <v>0</v>
      </c>
      <c r="AS52" s="2">
        <f t="shared" si="103"/>
        <v>0</v>
      </c>
      <c r="AT52" s="64">
        <f t="shared" si="104"/>
        <v>74300.081880874699</v>
      </c>
      <c r="AU52" s="64">
        <f t="shared" si="105"/>
        <v>191.732953953867</v>
      </c>
      <c r="AV52" s="64">
        <f t="shared" si="23"/>
        <v>2.5763142697447656</v>
      </c>
      <c r="AW52" s="64">
        <f t="shared" si="24"/>
        <v>0.41261972686136217</v>
      </c>
      <c r="AX52" s="2">
        <f t="shared" si="106"/>
        <v>191.732953953867</v>
      </c>
      <c r="AY52" s="2">
        <f t="shared" si="107"/>
        <v>2.5763142697447656</v>
      </c>
      <c r="AZ52" s="3">
        <f t="shared" si="108"/>
        <v>3.2459950691597852</v>
      </c>
      <c r="BA52" s="3">
        <f t="shared" si="109"/>
        <v>0.94113217888788325</v>
      </c>
      <c r="BB52" s="3">
        <f t="shared" si="110"/>
        <v>0.94113217888788325</v>
      </c>
      <c r="BC52" s="68">
        <f t="shared" si="111"/>
        <v>35171.349085991045</v>
      </c>
      <c r="BD52" s="68">
        <f t="shared" si="112"/>
        <v>1.3617377105060589</v>
      </c>
      <c r="BI52" s="26"/>
      <c r="BJ52" s="26"/>
      <c r="BK52" s="26"/>
    </row>
    <row r="53" spans="1:64" s="24" customFormat="1">
      <c r="A53" s="62">
        <f t="shared" si="27"/>
        <v>60554.348913084039</v>
      </c>
      <c r="B53" s="62">
        <f t="shared" si="28"/>
        <v>38279.430638163059</v>
      </c>
      <c r="C53" s="62">
        <f t="shared" si="29"/>
        <v>8.872851570250595E-2</v>
      </c>
      <c r="D53" s="65">
        <f t="shared" si="30"/>
        <v>128.94953996135044</v>
      </c>
      <c r="E53" s="62">
        <f t="shared" si="0"/>
        <v>1.8963167641375065</v>
      </c>
      <c r="F53" s="62">
        <f t="shared" si="31"/>
        <v>30.955799229381448</v>
      </c>
      <c r="G53" s="62">
        <f t="shared" si="32"/>
        <v>-307.44298724757476</v>
      </c>
      <c r="H53" s="62">
        <f t="shared" si="33"/>
        <v>135.84380278145878</v>
      </c>
      <c r="I53" s="62">
        <f t="shared" si="34"/>
        <v>14.943035482737184</v>
      </c>
      <c r="J53" s="62">
        <f t="shared" si="35"/>
        <v>120.90076729872159</v>
      </c>
      <c r="K53" s="62">
        <f t="shared" si="36"/>
        <v>297.06084924603323</v>
      </c>
      <c r="L53" s="62">
        <f t="shared" si="37"/>
        <v>176.17065553226718</v>
      </c>
      <c r="M53" s="62">
        <f t="shared" si="38"/>
        <v>60945.839258711298</v>
      </c>
      <c r="N53" s="62">
        <f t="shared" si="39"/>
        <v>120.89019371376605</v>
      </c>
      <c r="O53" s="2">
        <f t="shared" si="95"/>
        <v>128.94953996135044</v>
      </c>
      <c r="P53" s="2">
        <f t="shared" si="96"/>
        <v>1.8963167641375065</v>
      </c>
      <c r="Q53" s="2">
        <f t="shared" si="97"/>
        <v>0.58420198544182067</v>
      </c>
      <c r="R53" s="2">
        <f t="shared" si="3"/>
        <v>0.58420198544182067</v>
      </c>
      <c r="S53" s="67">
        <f t="shared" si="17"/>
        <v>22362.919380397321</v>
      </c>
      <c r="T53" s="63">
        <f t="shared" si="68"/>
        <v>51175.836107436226</v>
      </c>
      <c r="U53" s="63">
        <f t="shared" si="69"/>
        <v>36396.38576731347</v>
      </c>
      <c r="V53" s="63">
        <f t="shared" si="70"/>
        <v>3.979246625166806E-2</v>
      </c>
      <c r="W53" s="63">
        <f t="shared" si="71"/>
        <v>61.092381936181553</v>
      </c>
      <c r="X53" s="63">
        <f t="shared" si="44"/>
        <v>0.65690733264711343</v>
      </c>
      <c r="Y53" s="63">
        <f t="shared" si="72"/>
        <v>26.161439043979684</v>
      </c>
      <c r="Z53" s="63">
        <f t="shared" si="73"/>
        <v>-295.2722421237259</v>
      </c>
      <c r="AA53" s="63">
        <f t="shared" si="74"/>
        <v>92.854123441122326</v>
      </c>
      <c r="AB53" s="63">
        <f t="shared" si="75"/>
        <v>10.214102026658889</v>
      </c>
      <c r="AC53" s="63">
        <f t="shared" si="76"/>
        <v>82.640021414463433</v>
      </c>
      <c r="AD53" s="63">
        <f t="shared" si="77"/>
        <v>117.92786494859126</v>
      </c>
      <c r="AE53" s="63">
        <f t="shared" si="78"/>
        <v>72.108578496455095</v>
      </c>
      <c r="AF53" s="63">
        <f t="shared" si="79"/>
        <v>51336.077392983905</v>
      </c>
      <c r="AG53" s="63">
        <f t="shared" si="80"/>
        <v>45.819286452136168</v>
      </c>
      <c r="AH53" s="2">
        <f t="shared" si="81"/>
        <v>61.092381936181553</v>
      </c>
      <c r="AI53" s="2">
        <f t="shared" si="82"/>
        <v>0.65690733264711343</v>
      </c>
      <c r="AJ53" s="2">
        <f t="shared" si="83"/>
        <v>0.34873925451624405</v>
      </c>
      <c r="AK53" s="2">
        <f t="shared" si="84"/>
        <v>0.34873925451624405</v>
      </c>
      <c r="AL53" s="67">
        <f t="shared" si="20"/>
        <v>12692.848439578534</v>
      </c>
      <c r="AM53" s="46">
        <v>0</v>
      </c>
      <c r="AN53" s="46">
        <f t="shared" si="98"/>
        <v>0</v>
      </c>
      <c r="AO53" s="46">
        <f t="shared" si="99"/>
        <v>0</v>
      </c>
      <c r="AP53" s="2">
        <f t="shared" si="100"/>
        <v>0</v>
      </c>
      <c r="AQ53" s="2">
        <f t="shared" si="101"/>
        <v>0</v>
      </c>
      <c r="AR53" s="2">
        <f t="shared" si="102"/>
        <v>0</v>
      </c>
      <c r="AS53" s="2">
        <f t="shared" si="103"/>
        <v>0</v>
      </c>
      <c r="AT53" s="64">
        <f t="shared" si="104"/>
        <v>74675.816405476537</v>
      </c>
      <c r="AU53" s="64">
        <f t="shared" si="105"/>
        <v>190.04192189753201</v>
      </c>
      <c r="AV53" s="64">
        <f t="shared" si="23"/>
        <v>2.55322409678462</v>
      </c>
      <c r="AW53" s="64">
        <f t="shared" si="24"/>
        <v>0.42684659564469796</v>
      </c>
      <c r="AX53" s="2">
        <f t="shared" si="106"/>
        <v>190.04192189753201</v>
      </c>
      <c r="AY53" s="2">
        <f t="shared" si="107"/>
        <v>2.55322409678462</v>
      </c>
      <c r="AZ53" s="3">
        <f t="shared" si="108"/>
        <v>3.2459950691597852</v>
      </c>
      <c r="BA53" s="3">
        <f t="shared" si="109"/>
        <v>0.93294123995806477</v>
      </c>
      <c r="BB53" s="3">
        <f t="shared" si="110"/>
        <v>0.93294123995806477</v>
      </c>
      <c r="BC53" s="68">
        <f t="shared" si="111"/>
        <v>35055.767819975852</v>
      </c>
      <c r="BD53" s="68">
        <f t="shared" si="112"/>
        <v>1.3369213921093488</v>
      </c>
      <c r="BI53" s="26"/>
      <c r="BJ53" s="26"/>
      <c r="BK53" s="26"/>
    </row>
    <row r="54" spans="1:64" s="24" customFormat="1">
      <c r="A54" s="62">
        <f t="shared" si="27"/>
        <v>60945.839258711298</v>
      </c>
      <c r="B54" s="62">
        <f t="shared" si="28"/>
        <v>38524.828272949468</v>
      </c>
      <c r="C54" s="62">
        <f t="shared" si="29"/>
        <v>8.7349884003960682E-2</v>
      </c>
      <c r="D54" s="65">
        <f t="shared" si="30"/>
        <v>127.76668775453916</v>
      </c>
      <c r="E54" s="62">
        <f t="shared" si="0"/>
        <v>1.8789218787432229</v>
      </c>
      <c r="F54" s="62">
        <f t="shared" si="31"/>
        <v>31.155931783970935</v>
      </c>
      <c r="G54" s="62">
        <f t="shared" si="32"/>
        <v>-310.47599718342775</v>
      </c>
      <c r="H54" s="62">
        <f t="shared" si="33"/>
        <v>134.59770960462507</v>
      </c>
      <c r="I54" s="62">
        <f t="shared" si="34"/>
        <v>14.805963241126143</v>
      </c>
      <c r="J54" s="62">
        <f t="shared" si="35"/>
        <v>119.79174636349893</v>
      </c>
      <c r="K54" s="62">
        <f t="shared" si="36"/>
        <v>288.48273463406696</v>
      </c>
      <c r="L54" s="62">
        <f t="shared" si="37"/>
        <v>168.70146486418651</v>
      </c>
      <c r="M54" s="62">
        <f t="shared" si="38"/>
        <v>61320.731402853933</v>
      </c>
      <c r="N54" s="62">
        <f t="shared" si="39"/>
        <v>119.78126976988045</v>
      </c>
      <c r="O54" s="2">
        <f t="shared" si="95"/>
        <v>127.76668775453918</v>
      </c>
      <c r="P54" s="2">
        <f t="shared" si="96"/>
        <v>1.8789218787432231</v>
      </c>
      <c r="Q54" s="2">
        <f t="shared" si="97"/>
        <v>0.57884310934260774</v>
      </c>
      <c r="R54" s="2">
        <f t="shared" si="3"/>
        <v>0.57884310934260774</v>
      </c>
      <c r="S54" s="67">
        <f t="shared" si="17"/>
        <v>22299.831384404075</v>
      </c>
      <c r="T54" s="63">
        <f t="shared" si="68"/>
        <v>51336.077392983905</v>
      </c>
      <c r="U54" s="63">
        <f t="shared" si="69"/>
        <v>36509.707330954756</v>
      </c>
      <c r="V54" s="63">
        <f t="shared" si="70"/>
        <v>3.9392774187332884E-2</v>
      </c>
      <c r="W54" s="63">
        <f t="shared" si="71"/>
        <v>60.668115132157787</v>
      </c>
      <c r="X54" s="63">
        <f t="shared" si="44"/>
        <v>0.65234532400169665</v>
      </c>
      <c r="Y54" s="63">
        <f t="shared" si="72"/>
        <v>26.243355490159164</v>
      </c>
      <c r="Z54" s="63">
        <f t="shared" si="73"/>
        <v>-296.40163123924481</v>
      </c>
      <c r="AA54" s="63">
        <f t="shared" si="74"/>
        <v>92.209281630339007</v>
      </c>
      <c r="AB54" s="63">
        <f t="shared" si="75"/>
        <v>10.143168396548509</v>
      </c>
      <c r="AC54" s="63">
        <f t="shared" si="76"/>
        <v>82.066113233790503</v>
      </c>
      <c r="AD54" s="63">
        <f t="shared" si="77"/>
        <v>113.92893492970768</v>
      </c>
      <c r="AE54" s="63">
        <f t="shared" si="78"/>
        <v>68.427848580589341</v>
      </c>
      <c r="AF54" s="63">
        <f t="shared" si="79"/>
        <v>51488.139278718547</v>
      </c>
      <c r="AG54" s="63">
        <f t="shared" si="80"/>
        <v>45.501086349118339</v>
      </c>
      <c r="AH54" s="2">
        <f t="shared" si="81"/>
        <v>60.668115132157787</v>
      </c>
      <c r="AI54" s="2">
        <f t="shared" si="82"/>
        <v>0.65234532400169665</v>
      </c>
      <c r="AJ54" s="2">
        <f t="shared" si="83"/>
        <v>0.3463173733542721</v>
      </c>
      <c r="AK54" s="2">
        <f t="shared" si="84"/>
        <v>0.3463173733542721</v>
      </c>
      <c r="AL54" s="67">
        <f t="shared" si="20"/>
        <v>12643.945944789462</v>
      </c>
      <c r="AM54" s="46">
        <v>0</v>
      </c>
      <c r="AN54" s="46">
        <f t="shared" si="98"/>
        <v>0</v>
      </c>
      <c r="AO54" s="46">
        <f t="shared" si="99"/>
        <v>0</v>
      </c>
      <c r="AP54" s="2">
        <f t="shared" si="100"/>
        <v>0</v>
      </c>
      <c r="AQ54" s="2">
        <f t="shared" si="101"/>
        <v>0</v>
      </c>
      <c r="AR54" s="2">
        <f t="shared" si="102"/>
        <v>0</v>
      </c>
      <c r="AS54" s="2">
        <f t="shared" si="103"/>
        <v>0</v>
      </c>
      <c r="AT54" s="64">
        <f t="shared" si="104"/>
        <v>75034.535603904224</v>
      </c>
      <c r="AU54" s="64">
        <f t="shared" si="105"/>
        <v>188.43480288669696</v>
      </c>
      <c r="AV54" s="64">
        <f t="shared" si="23"/>
        <v>2.5312672027449197</v>
      </c>
      <c r="AW54" s="64">
        <f t="shared" si="24"/>
        <v>0.44037520155560217</v>
      </c>
      <c r="AX54" s="2">
        <f t="shared" si="106"/>
        <v>188.43480288669696</v>
      </c>
      <c r="AY54" s="2">
        <f t="shared" si="107"/>
        <v>2.5312672027449197</v>
      </c>
      <c r="AZ54" s="3">
        <f t="shared" si="108"/>
        <v>3.2459950691597852</v>
      </c>
      <c r="BA54" s="3">
        <f t="shared" si="109"/>
        <v>0.92516048269687978</v>
      </c>
      <c r="BB54" s="3">
        <f t="shared" si="110"/>
        <v>0.92516048269687978</v>
      </c>
      <c r="BC54" s="68">
        <f t="shared" si="111"/>
        <v>34943.777329193537</v>
      </c>
      <c r="BD54" s="68">
        <f t="shared" si="112"/>
        <v>1.3135195016317904</v>
      </c>
      <c r="BI54" s="26"/>
      <c r="BJ54" s="26"/>
      <c r="BK54" s="26"/>
    </row>
    <row r="55" spans="1:64">
      <c r="BF55" s="24"/>
      <c r="BG55" s="24"/>
      <c r="BH55" t="s">
        <v>330</v>
      </c>
      <c r="BI55" s="26">
        <f>1*(BI4^-1)</f>
        <v>24999.999999999996</v>
      </c>
      <c r="BJ55" s="26">
        <f t="shared" ref="BJ55:BK55" si="113">1*(BJ4^-1)</f>
        <v>15873.015873015873</v>
      </c>
      <c r="BK55" s="26">
        <f t="shared" si="113"/>
        <v>22727.272727272728</v>
      </c>
      <c r="BL55" t="s">
        <v>335</v>
      </c>
    </row>
    <row r="56" spans="1:64">
      <c r="BF56" s="24"/>
      <c r="BG56" s="24"/>
      <c r="BH56" t="s">
        <v>342</v>
      </c>
      <c r="BI56" s="26">
        <f>(BI55*BI3*EXP(-BI4*BI55))/BI6</f>
        <v>3.2459950691597852</v>
      </c>
      <c r="BJ56" s="26">
        <f t="shared" ref="BJ56:BK56" si="114">(BJ55*BJ3*EXP(-BJ4*BJ55))/BJ6</f>
        <v>1.8836632932485526</v>
      </c>
      <c r="BK56" s="26">
        <f t="shared" si="114"/>
        <v>3.5203774274779174</v>
      </c>
      <c r="BL56" s="26">
        <f>MAX(BI56:BK56)</f>
        <v>3.5203774274779174</v>
      </c>
    </row>
    <row r="57" spans="1:64">
      <c r="BF57" s="24"/>
      <c r="BG57" s="24"/>
      <c r="BI57" t="s">
        <v>332</v>
      </c>
      <c r="BJ57" t="s">
        <v>333</v>
      </c>
      <c r="BK57" t="s">
        <v>334</v>
      </c>
    </row>
    <row r="58" spans="1:64">
      <c r="BF58" s="24"/>
      <c r="BG58" s="24"/>
    </row>
    <row r="59" spans="1:64">
      <c r="BF59" s="24"/>
      <c r="BG59" s="24"/>
    </row>
    <row r="61" spans="1:64">
      <c r="BE61" s="24"/>
      <c r="BF61" t="s">
        <v>307</v>
      </c>
      <c r="BG61" t="s">
        <v>321</v>
      </c>
    </row>
    <row r="62" spans="1:64">
      <c r="BE62" s="24"/>
      <c r="BF62">
        <v>0</v>
      </c>
      <c r="BG62" s="24">
        <f t="shared" ref="BG62:BG74" si="115">IF(BF62&lt;($BF$3/2),1,1-(((BF62-($BF$3/2))/($BF$3/2))^$BF$4))</f>
        <v>1</v>
      </c>
    </row>
    <row r="63" spans="1:64">
      <c r="BE63" s="24"/>
      <c r="BF63">
        <f>BF62+0.5</f>
        <v>0.5</v>
      </c>
      <c r="BG63" s="24">
        <f t="shared" si="115"/>
        <v>1</v>
      </c>
    </row>
    <row r="64" spans="1:64">
      <c r="BE64" s="24"/>
      <c r="BF64" s="24">
        <f t="shared" ref="BF64:BF74" si="116">BF63+0.5</f>
        <v>1</v>
      </c>
      <c r="BG64" s="24">
        <f t="shared" si="115"/>
        <v>1</v>
      </c>
    </row>
    <row r="65" spans="57:59">
      <c r="BE65" s="24"/>
      <c r="BF65" s="24">
        <f t="shared" si="116"/>
        <v>1.5</v>
      </c>
      <c r="BG65" s="24">
        <f t="shared" si="115"/>
        <v>1</v>
      </c>
    </row>
    <row r="66" spans="57:59">
      <c r="BE66" s="24"/>
      <c r="BF66" s="24">
        <f t="shared" si="116"/>
        <v>2</v>
      </c>
      <c r="BG66" s="24">
        <f t="shared" si="115"/>
        <v>0.86375819570411927</v>
      </c>
    </row>
    <row r="67" spans="57:59">
      <c r="BE67" s="24"/>
      <c r="BF67" s="24">
        <f t="shared" si="116"/>
        <v>2.5</v>
      </c>
      <c r="BG67" s="24">
        <f t="shared" si="115"/>
        <v>0.579697744630149</v>
      </c>
    </row>
    <row r="68" spans="57:59">
      <c r="BE68" s="24"/>
      <c r="BF68" s="24">
        <f t="shared" si="116"/>
        <v>3</v>
      </c>
      <c r="BG68" s="24">
        <f t="shared" si="115"/>
        <v>0.29563729355617885</v>
      </c>
    </row>
    <row r="69" spans="57:59">
      <c r="BE69" s="24"/>
      <c r="BF69" s="24">
        <f t="shared" si="116"/>
        <v>3.5</v>
      </c>
      <c r="BG69" s="24">
        <f t="shared" si="115"/>
        <v>1.1576842482208693E-2</v>
      </c>
    </row>
    <row r="70" spans="57:59">
      <c r="BF70" s="24">
        <f t="shared" si="116"/>
        <v>4</v>
      </c>
      <c r="BG70" s="24">
        <f t="shared" si="115"/>
        <v>-0.27248360859176146</v>
      </c>
    </row>
    <row r="71" spans="57:59">
      <c r="BF71" s="24">
        <f t="shared" si="116"/>
        <v>4.5</v>
      </c>
      <c r="BG71" s="24">
        <f t="shared" si="115"/>
        <v>-0.55654405966573162</v>
      </c>
    </row>
    <row r="72" spans="57:59">
      <c r="BF72" s="24">
        <f t="shared" si="116"/>
        <v>5</v>
      </c>
      <c r="BG72" s="24">
        <f t="shared" si="115"/>
        <v>-0.84060451073970177</v>
      </c>
    </row>
    <row r="73" spans="57:59">
      <c r="BF73" s="24">
        <f t="shared" si="116"/>
        <v>5.5</v>
      </c>
      <c r="BG73" s="24">
        <f t="shared" si="115"/>
        <v>-1.1246649618136719</v>
      </c>
    </row>
    <row r="74" spans="57:59">
      <c r="BF74" s="24">
        <f t="shared" si="116"/>
        <v>6</v>
      </c>
      <c r="BG74" s="24">
        <f t="shared" si="115"/>
        <v>-1.4087254128876423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6FEB-CD28-42A8-941E-3AD7A388174D}">
  <dimension ref="G2:G40"/>
  <sheetViews>
    <sheetView topLeftCell="G4" zoomScale="80" zoomScaleNormal="80" workbookViewId="0">
      <selection activeCell="L62" sqref="L62"/>
    </sheetView>
  </sheetViews>
  <sheetFormatPr defaultRowHeight="14.4"/>
  <sheetData>
    <row r="2" spans="7:7">
      <c r="G2" s="48" t="s">
        <v>385</v>
      </c>
    </row>
    <row r="21" spans="7:7">
      <c r="G21" s="48" t="s">
        <v>386</v>
      </c>
    </row>
    <row r="40" spans="7:7">
      <c r="G40" s="48" t="s">
        <v>387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3E93-07B3-4432-9B83-46E4F2D9B715}">
  <dimension ref="A1:BM74"/>
  <sheetViews>
    <sheetView topLeftCell="BA1" zoomScale="90" zoomScaleNormal="90" workbookViewId="0">
      <pane ySplit="3" topLeftCell="A4" activePane="bottomLeft" state="frozen"/>
      <selection pane="bottomLeft" activeCell="BJ3" sqref="BJ3:BJ18"/>
    </sheetView>
  </sheetViews>
  <sheetFormatPr defaultRowHeight="14.4"/>
  <cols>
    <col min="1" max="17" width="8.88671875" style="24"/>
    <col min="18" max="18" width="10.33203125" style="24" bestFit="1" customWidth="1"/>
    <col min="19" max="19" width="10.33203125" style="24" customWidth="1"/>
    <col min="20" max="33" width="8.88671875" style="24"/>
    <col min="34" max="38" width="9.6640625" style="24" customWidth="1"/>
    <col min="39" max="51" width="8.88671875" style="24"/>
    <col min="52" max="52" width="8.88671875" style="3"/>
    <col min="53" max="53" width="12.21875" style="3" bestFit="1" customWidth="1"/>
    <col min="54" max="54" width="12" style="3" bestFit="1" customWidth="1"/>
    <col min="55" max="56" width="12" style="3" customWidth="1"/>
    <col min="57" max="58" width="8.88671875" style="24"/>
    <col min="59" max="59" width="12" style="24" customWidth="1"/>
    <col min="60" max="60" width="19.44140625" style="24" bestFit="1" customWidth="1"/>
    <col min="61" max="61" width="11" style="24" bestFit="1" customWidth="1"/>
    <col min="62" max="63" width="8.88671875" style="24"/>
    <col min="64" max="64" width="12" style="24" bestFit="1" customWidth="1"/>
    <col min="65" max="16384" width="8.88671875" style="24"/>
  </cols>
  <sheetData>
    <row r="1" spans="1:65">
      <c r="A1" s="48" t="s">
        <v>373</v>
      </c>
    </row>
    <row r="2" spans="1:65">
      <c r="A2" s="62" t="s">
        <v>309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7"/>
      <c r="T2" s="63" t="s">
        <v>319</v>
      </c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46" t="s">
        <v>320</v>
      </c>
      <c r="AN2" s="46"/>
      <c r="AO2" s="46"/>
      <c r="AP2" s="46"/>
      <c r="AQ2" s="46"/>
      <c r="AR2" s="46"/>
      <c r="AS2" s="46"/>
      <c r="AT2" s="64" t="s">
        <v>338</v>
      </c>
      <c r="AU2" s="64"/>
      <c r="AV2" s="64"/>
      <c r="AW2" s="64"/>
      <c r="AX2" s="64"/>
      <c r="AY2" s="64"/>
      <c r="BE2" s="28" t="s">
        <v>323</v>
      </c>
      <c r="BF2" s="28"/>
      <c r="BI2" s="62" t="s">
        <v>311</v>
      </c>
      <c r="BJ2" s="63" t="s">
        <v>312</v>
      </c>
      <c r="BK2" s="46" t="s">
        <v>313</v>
      </c>
      <c r="BL2" s="64" t="s">
        <v>314</v>
      </c>
    </row>
    <row r="3" spans="1:65">
      <c r="A3" s="62" t="s">
        <v>363</v>
      </c>
      <c r="B3" s="62" t="s">
        <v>310</v>
      </c>
      <c r="C3" s="62" t="s">
        <v>364</v>
      </c>
      <c r="D3" s="62" t="s">
        <v>317</v>
      </c>
      <c r="E3" s="62" t="s">
        <v>376</v>
      </c>
      <c r="F3" s="62" t="s">
        <v>366</v>
      </c>
      <c r="G3" s="62" t="s">
        <v>361</v>
      </c>
      <c r="H3" s="62" t="s">
        <v>354</v>
      </c>
      <c r="I3" s="62" t="s">
        <v>22</v>
      </c>
      <c r="J3" s="62" t="s">
        <v>355</v>
      </c>
      <c r="K3" s="62" t="s">
        <v>361</v>
      </c>
      <c r="L3" s="62" t="s">
        <v>362</v>
      </c>
      <c r="M3" s="62" t="s">
        <v>363</v>
      </c>
      <c r="N3" s="62" t="s">
        <v>361</v>
      </c>
      <c r="O3" s="2" t="s">
        <v>324</v>
      </c>
      <c r="P3" s="2" t="s">
        <v>325</v>
      </c>
      <c r="Q3" s="2" t="s">
        <v>377</v>
      </c>
      <c r="R3" s="2" t="s">
        <v>378</v>
      </c>
      <c r="S3" s="67" t="s">
        <v>380</v>
      </c>
      <c r="T3" s="63" t="s">
        <v>363</v>
      </c>
      <c r="U3" s="63" t="s">
        <v>310</v>
      </c>
      <c r="V3" s="63" t="s">
        <v>364</v>
      </c>
      <c r="W3" s="63" t="s">
        <v>317</v>
      </c>
      <c r="X3" s="63" t="s">
        <v>379</v>
      </c>
      <c r="Y3" s="63" t="s">
        <v>366</v>
      </c>
      <c r="Z3" s="63" t="s">
        <v>361</v>
      </c>
      <c r="AA3" s="63" t="s">
        <v>354</v>
      </c>
      <c r="AB3" s="63" t="s">
        <v>22</v>
      </c>
      <c r="AC3" s="63" t="s">
        <v>355</v>
      </c>
      <c r="AD3" s="63" t="s">
        <v>361</v>
      </c>
      <c r="AE3" s="63" t="s">
        <v>362</v>
      </c>
      <c r="AF3" s="63" t="s">
        <v>363</v>
      </c>
      <c r="AG3" s="63" t="s">
        <v>361</v>
      </c>
      <c r="AH3" s="2" t="s">
        <v>324</v>
      </c>
      <c r="AI3" s="2" t="s">
        <v>325</v>
      </c>
      <c r="AJ3" s="2" t="s">
        <v>377</v>
      </c>
      <c r="AK3" s="2" t="s">
        <v>378</v>
      </c>
      <c r="AL3" s="67" t="s">
        <v>380</v>
      </c>
      <c r="AM3" s="46" t="s">
        <v>310</v>
      </c>
      <c r="AN3" s="46" t="s">
        <v>317</v>
      </c>
      <c r="AO3" s="62" t="s">
        <v>376</v>
      </c>
      <c r="AP3" s="2" t="s">
        <v>324</v>
      </c>
      <c r="AQ3" s="2" t="s">
        <v>325</v>
      </c>
      <c r="AR3" s="2" t="s">
        <v>377</v>
      </c>
      <c r="AS3" s="2" t="s">
        <v>378</v>
      </c>
      <c r="AT3" s="64" t="s">
        <v>384</v>
      </c>
      <c r="AU3" s="64" t="s">
        <v>317</v>
      </c>
      <c r="AV3" s="64" t="s">
        <v>383</v>
      </c>
      <c r="AW3" s="64"/>
      <c r="AX3" s="2" t="s">
        <v>324</v>
      </c>
      <c r="AY3" s="2" t="s">
        <v>325</v>
      </c>
      <c r="AZ3" s="64" t="s">
        <v>308</v>
      </c>
      <c r="BA3" s="64" t="s">
        <v>374</v>
      </c>
      <c r="BB3" s="64" t="s">
        <v>375</v>
      </c>
      <c r="BC3" s="64" t="s">
        <v>381</v>
      </c>
      <c r="BD3" s="64" t="s">
        <v>382</v>
      </c>
      <c r="BE3" s="28" t="s">
        <v>308</v>
      </c>
      <c r="BF3" s="28">
        <f>BL56</f>
        <v>3.5202126302884333</v>
      </c>
      <c r="BG3" s="24" t="s">
        <v>341</v>
      </c>
      <c r="BH3" s="24" t="s">
        <v>201</v>
      </c>
      <c r="BI3" s="28">
        <v>2.4E-2</v>
      </c>
      <c r="BJ3" s="28">
        <v>0.03</v>
      </c>
      <c r="BK3" s="28">
        <v>0.08</v>
      </c>
    </row>
    <row r="4" spans="1:65">
      <c r="A4" s="62">
        <f>ROUNDDOWN(B4/(1-$BI$16),0)</f>
        <v>311</v>
      </c>
      <c r="B4" s="62">
        <f>$BI10</f>
        <v>195.99999999999997</v>
      </c>
      <c r="C4" s="62">
        <f>EXP(-$BI$4*A4)</f>
        <v>0.9876370569395867</v>
      </c>
      <c r="D4" s="65">
        <f>A4*$BI$3*C4</f>
        <v>7.3717229929970758</v>
      </c>
      <c r="E4" s="62">
        <f t="shared" ref="E4:E33" si="0">D4/$BI$6</f>
        <v>0.10840769107348641</v>
      </c>
      <c r="F4" s="62">
        <f>$BI$30*A4*$BI$7</f>
        <v>0.15898533686087507</v>
      </c>
      <c r="G4" s="62">
        <f>$BI$9 - (F4*12) - (D4*$BI$7)</f>
        <v>1.7749006108208154</v>
      </c>
      <c r="H4" s="62">
        <f>$BF$6*$BF$7*$BF$8*$BF$9*$BI$26*D4</f>
        <v>7.7658507717079601</v>
      </c>
      <c r="I4" s="62">
        <f>$BF$7*$BI$29*D4</f>
        <v>0.85425600034154037</v>
      </c>
      <c r="J4" s="62">
        <f>H4-I4</f>
        <v>6.9115947713664196</v>
      </c>
      <c r="K4" s="62">
        <f>G4+(J4*$BF$20)</f>
        <v>36.332874467652914</v>
      </c>
      <c r="L4" s="62">
        <f>(K4-($BI$8*C4*A4*$BI$7))</f>
        <v>29.421884161718154</v>
      </c>
      <c r="M4" s="62">
        <f>A4+(L4/$BI$7)</f>
        <v>376.38196480381811</v>
      </c>
      <c r="N4" s="62">
        <f>K4 -L4</f>
        <v>6.9109903059347602</v>
      </c>
      <c r="O4" s="2">
        <f>P4*$BI$6</f>
        <v>7.3717229929970758</v>
      </c>
      <c r="P4" s="2">
        <f t="shared" ref="P4:P33" si="1">R4*$BI$56</f>
        <v>0.10840769107348641</v>
      </c>
      <c r="Q4" s="2">
        <f t="shared" ref="Q4:Q33" si="2">E4*(1/$BI$56)</f>
        <v>3.3397921465127718E-2</v>
      </c>
      <c r="R4" s="2">
        <f t="shared" ref="R4:R54" si="3">IF($BA4&gt;1, Q4/$BA4, Q4)</f>
        <v>3.3397921465127718E-2</v>
      </c>
      <c r="S4" s="67">
        <f>M4*(Q4/R4)</f>
        <v>376.38196480381811</v>
      </c>
      <c r="T4" s="63">
        <f>ROUNDDOWN(U4/(1-$BJ$16),0)</f>
        <v>311</v>
      </c>
      <c r="U4" s="63">
        <f>$BJ10</f>
        <v>220.88888888888886</v>
      </c>
      <c r="V4" s="63">
        <f>EXP(-$BJ$4*T4)</f>
        <v>0.98059769536227137</v>
      </c>
      <c r="W4" s="63">
        <f>T4*$BJ$3*V4</f>
        <v>9.1489764977299917</v>
      </c>
      <c r="X4" s="63">
        <f>W4/$BJ$6</f>
        <v>9.8376091373440777E-2</v>
      </c>
      <c r="Y4" s="63">
        <f>$BJ$30*T4*$BJ$7</f>
        <v>0.15898533686087507</v>
      </c>
      <c r="Z4" s="63">
        <f>$BJ$9 - (Y4*12) - (AH4*$BJ$7)</f>
        <v>0.97513653369100339</v>
      </c>
      <c r="AA4" s="63">
        <f>$BF$6*$BF$7*$BF$8*$BF$9*$BJ$26*AH4</f>
        <v>13.90550124510737</v>
      </c>
      <c r="AB4" s="63">
        <f>$BF$7*$BJ$29*AH4</f>
        <v>1.529627368023347</v>
      </c>
      <c r="AC4" s="63">
        <f>AA4-AB4</f>
        <v>12.375873877084024</v>
      </c>
      <c r="AD4" s="63">
        <f>Z4+(AC4*$BF$20)</f>
        <v>62.854505919111119</v>
      </c>
      <c r="AE4" s="63">
        <f>(AD4-($BJ$8*V4*T4*$BJ$7))</f>
        <v>55.992773545813627</v>
      </c>
      <c r="AF4" s="63">
        <f>T4+(AE4/$BJ$7)</f>
        <v>435.42838565736361</v>
      </c>
      <c r="AG4" s="63">
        <f>AD4 -AE4</f>
        <v>6.8617323732974924</v>
      </c>
      <c r="AH4" s="2">
        <f>W4</f>
        <v>9.1489764977299917</v>
      </c>
      <c r="AI4" s="2">
        <f>AH4/$BJ$6</f>
        <v>9.8376091373440777E-2</v>
      </c>
      <c r="AJ4" s="2">
        <f t="shared" ref="AJ4:AJ33" si="4">X4*(1/$BJ$56)</f>
        <v>5.224158965708945E-2</v>
      </c>
      <c r="AK4" s="2">
        <f t="shared" ref="AK4:AK23" si="5">IF($BA4&gt;1, AJ4/$BA4, AJ4)</f>
        <v>5.224158965708945E-2</v>
      </c>
      <c r="AL4" s="67">
        <f>AF4*(AJ4/AK4)</f>
        <v>435.42838565736361</v>
      </c>
      <c r="AM4" s="46">
        <v>0</v>
      </c>
      <c r="AN4" s="46">
        <f t="shared" ref="AN4:AN54" si="6">AM4*$BK$3*EXP(-$BK$4*AM4)</f>
        <v>0</v>
      </c>
      <c r="AO4" s="46">
        <f t="shared" ref="AO4:AO54" si="7">AN4/$BK$6</f>
        <v>0</v>
      </c>
      <c r="AP4" s="2">
        <f>AN4</f>
        <v>0</v>
      </c>
      <c r="AQ4" s="2">
        <f>AP4/$BK$6</f>
        <v>0</v>
      </c>
      <c r="AR4" s="2">
        <f t="shared" ref="AR4:AR33" si="8">AQ4*(1/$BK$56)</f>
        <v>0</v>
      </c>
      <c r="AS4" s="2">
        <f>IF($BA4&gt;1, AR4/$BA4, AR4)</f>
        <v>0</v>
      </c>
      <c r="AT4" s="64">
        <f t="shared" ref="AT4:AT54" si="9">B4+U4+AM4</f>
        <v>416.8888888888888</v>
      </c>
      <c r="AU4" s="64">
        <f t="shared" ref="AU4:AU54" si="10">SUM(AP4,AH4,O4)</f>
        <v>16.520699490727068</v>
      </c>
      <c r="AV4" s="64">
        <f>SUM(AO4,X4,E4)</f>
        <v>0.20678378244692719</v>
      </c>
      <c r="AW4" s="64">
        <f>IF($AY4&lt;($AZ4/2),1,1-((($AY4-($AZ4/2))/($AZ4/2))^$BF$4))</f>
        <v>1</v>
      </c>
      <c r="AX4" s="2">
        <f t="shared" ref="AX4:AY33" si="11">O4+AH4+AP4</f>
        <v>16.520699490727068</v>
      </c>
      <c r="AY4" s="2">
        <f t="shared" si="11"/>
        <v>0.20678378244692719</v>
      </c>
      <c r="AZ4" s="3">
        <f t="shared" ref="AZ4:AZ33" si="12">MAX(IF(B4&gt;0,$BI$56,0),IF(U4&gt;0,$BJ$56,0),IF(AM4&gt;0,$BK$56,0))</f>
        <v>3.2459412537597525</v>
      </c>
      <c r="BA4" s="3">
        <f t="shared" ref="BA4:BA54" si="13">Q4+AJ4+AR4</f>
        <v>8.5639511122217168E-2</v>
      </c>
      <c r="BB4" s="3">
        <f t="shared" ref="BB4:BB54" si="14">SUM(AS4,AK4,R4)</f>
        <v>8.5639511122217168E-2</v>
      </c>
      <c r="BC4" s="3">
        <f>SUM(B4*R4,U4*AK4)</f>
        <v>18.08557930030879</v>
      </c>
      <c r="BD4" s="3">
        <f>SUM(E4*R4,X4*AK4)</f>
        <v>8.7599149502877571E-3</v>
      </c>
      <c r="BE4" s="28" t="s">
        <v>322</v>
      </c>
      <c r="BF4" s="28">
        <v>1</v>
      </c>
      <c r="BH4" s="24" t="s">
        <v>190</v>
      </c>
      <c r="BI4" s="66">
        <v>4.0000000000000003E-5</v>
      </c>
      <c r="BJ4" s="28">
        <v>6.3E-5</v>
      </c>
      <c r="BK4" s="28">
        <v>4.3999999999999999E-5</v>
      </c>
    </row>
    <row r="5" spans="1:65">
      <c r="A5" s="62">
        <f>M4</f>
        <v>376.38196480381811</v>
      </c>
      <c r="B5" s="62">
        <f>A5*(1-$BI$16) +D4</f>
        <v>244.49236081940248</v>
      </c>
      <c r="C5" s="62">
        <f>EXP(-$BI$4*S4)</f>
        <v>0.98505748550701533</v>
      </c>
      <c r="D5" s="65">
        <f>A5*$BI$3*C5</f>
        <v>8.8981889241561358</v>
      </c>
      <c r="E5" s="62">
        <f t="shared" si="0"/>
        <v>0.13085571947288435</v>
      </c>
      <c r="F5" s="62">
        <f>$BI$30*A5*$BI$7</f>
        <v>0.19240904650383617</v>
      </c>
      <c r="G5" s="62">
        <f>N4 - (F5*12) - (D5*$BI$7)</f>
        <v>0.59789673201846494</v>
      </c>
      <c r="H5" s="62">
        <f>$BF$6*$BF$7*$BF$8*$BF$9*$BI$26*D5</f>
        <v>9.3739289158187393</v>
      </c>
      <c r="I5" s="62">
        <f>$BF$7*$BI$29*D5</f>
        <v>1.0311471670671919</v>
      </c>
      <c r="J5" s="62">
        <f>H5-I5</f>
        <v>8.3427817487515483</v>
      </c>
      <c r="K5" s="62">
        <f>G5+(J5*$BF$20)</f>
        <v>42.311805475776204</v>
      </c>
      <c r="L5" s="62">
        <f>(K5-($BI$8*C5*A5*$BI$7))</f>
        <v>33.969753359379823</v>
      </c>
      <c r="M5" s="62">
        <f>A5+(L5/$BI$7)</f>
        <v>451.87030560243994</v>
      </c>
      <c r="N5" s="62">
        <f>K5 -L5</f>
        <v>8.3420521163963812</v>
      </c>
      <c r="O5" s="2">
        <f t="shared" ref="O5:O54" si="15">P5*$BI$6</f>
        <v>8.8981889241561358</v>
      </c>
      <c r="P5" s="2">
        <f t="shared" si="1"/>
        <v>0.13085571947288435</v>
      </c>
      <c r="Q5" s="2">
        <f t="shared" si="2"/>
        <v>4.0313643791709118E-2</v>
      </c>
      <c r="R5" s="2">
        <f t="shared" si="3"/>
        <v>4.0313643791709118E-2</v>
      </c>
      <c r="S5" s="67">
        <f t="shared" ref="S5:S54" si="16">M5*(Q5/R5)</f>
        <v>451.87030560243994</v>
      </c>
      <c r="T5" s="63">
        <f>AF4</f>
        <v>435.42838565736361</v>
      </c>
      <c r="U5" s="63">
        <f>T5*(1-$BJ$16) +W4</f>
        <v>318.30313031445814</v>
      </c>
      <c r="V5" s="63">
        <f>EXP(-$BJ$4*AL4)</f>
        <v>0.97294085166810185</v>
      </c>
      <c r="W5" s="63">
        <f>T5*$BJ$3*V5</f>
        <v>12.70938193145826</v>
      </c>
      <c r="X5" s="63">
        <f>W5/$BJ$6</f>
        <v>0.13666002076836839</v>
      </c>
      <c r="Y5" s="63">
        <f>$BJ$30*T5*$BJ$7</f>
        <v>0.2225939825483054</v>
      </c>
      <c r="Z5" s="63">
        <f>AG4 - (Y5*12) - (W5*$BJ$7)</f>
        <v>-1.5286172864383891</v>
      </c>
      <c r="AA5" s="63">
        <f>$BF$6*$BF$7*$BF$8*$BF$9*$BJ$26*W5</f>
        <v>19.316950515315849</v>
      </c>
      <c r="AB5" s="63">
        <f>$BF$7*$BJ$29*W5</f>
        <v>2.1248954391612562</v>
      </c>
      <c r="AC5" s="63">
        <f>AA5-AB5</f>
        <v>17.192055076154592</v>
      </c>
      <c r="AD5" s="63">
        <f>Z5+(AC5*$BF$20)</f>
        <v>84.431658094334566</v>
      </c>
      <c r="AE5" s="63">
        <f>(AD5-($BJ$8*V5*T5*$BJ$7))</f>
        <v>74.899621645740865</v>
      </c>
      <c r="AF5" s="63">
        <f>T5+(AE5/$BJ$7)</f>
        <v>601.87198931456555</v>
      </c>
      <c r="AG5" s="63">
        <f>AD5 -AE5</f>
        <v>9.5320364485937006</v>
      </c>
      <c r="AH5" s="2">
        <f t="shared" ref="AH5:AH23" si="17">MIN(W5,AH4+((W5-AH4)*$AW4))</f>
        <v>12.70938193145826</v>
      </c>
      <c r="AI5" s="2">
        <f t="shared" ref="AI5:AI54" si="18">AH5/$BJ$6</f>
        <v>0.13666002076836839</v>
      </c>
      <c r="AJ5" s="2">
        <f t="shared" si="4"/>
        <v>7.2571868101662315E-2</v>
      </c>
      <c r="AK5" s="2">
        <f t="shared" si="5"/>
        <v>7.2571868101662315E-2</v>
      </c>
      <c r="AL5" s="67">
        <f t="shared" ref="AL5:AL54" si="19">AF5*(AJ5/AK5)</f>
        <v>601.87198931456555</v>
      </c>
      <c r="AM5" s="46">
        <v>0</v>
      </c>
      <c r="AN5" s="46">
        <f t="shared" si="6"/>
        <v>0</v>
      </c>
      <c r="AO5" s="46">
        <f t="shared" si="7"/>
        <v>0</v>
      </c>
      <c r="AP5" s="2">
        <f>MIN(AN5,AP4+((AN5-AP4)*$AW4))</f>
        <v>0</v>
      </c>
      <c r="AQ5" s="2">
        <f t="shared" ref="AQ5:AQ54" si="20">AP5/$BK$6</f>
        <v>0</v>
      </c>
      <c r="AR5" s="2">
        <f t="shared" si="8"/>
        <v>0</v>
      </c>
      <c r="AS5" s="2">
        <f t="shared" ref="AS5:AS54" si="21">IF($BA5&gt;1, AR5/$BA5, AR5)</f>
        <v>0</v>
      </c>
      <c r="AT5" s="64">
        <f t="shared" si="9"/>
        <v>562.79549113386065</v>
      </c>
      <c r="AU5" s="64">
        <f t="shared" si="10"/>
        <v>21.607570855614398</v>
      </c>
      <c r="AV5" s="64">
        <f t="shared" ref="AV5:AV54" si="22">SUM(AO5,X5,E5)</f>
        <v>0.26751574024125274</v>
      </c>
      <c r="AW5" s="64">
        <f t="shared" ref="AW5:AW54" si="23">IF($AY5&lt;($AZ5/2),1,1-((($AY5-($AZ5/2))/($AZ5/2))^$BF$4))</f>
        <v>1</v>
      </c>
      <c r="AX5" s="2">
        <f t="shared" si="11"/>
        <v>21.607570855614398</v>
      </c>
      <c r="AY5" s="2">
        <f t="shared" si="11"/>
        <v>0.26751574024125274</v>
      </c>
      <c r="AZ5" s="3">
        <f t="shared" si="12"/>
        <v>3.2459412537597525</v>
      </c>
      <c r="BA5" s="3">
        <f t="shared" si="13"/>
        <v>0.11288551189337143</v>
      </c>
      <c r="BB5" s="3">
        <f t="shared" si="14"/>
        <v>0.11288551189337143</v>
      </c>
      <c r="BC5" s="3">
        <f t="shared" ref="BC5:BC54" si="24">SUM(B5*R5,U5*AK5)</f>
        <v>32.956230733394499</v>
      </c>
      <c r="BD5" s="3">
        <f t="shared" ref="BD5:BD54" si="25">SUM(E5*R5,X5*AK5)</f>
        <v>1.5192943864910137E-2</v>
      </c>
      <c r="BE5" s="28" t="s">
        <v>326</v>
      </c>
      <c r="BF5" s="28">
        <v>25144.23</v>
      </c>
      <c r="BG5" s="24" t="s">
        <v>337</v>
      </c>
      <c r="BH5" s="24" t="s">
        <v>315</v>
      </c>
      <c r="BI5" s="28">
        <v>1</v>
      </c>
      <c r="BJ5" s="28">
        <v>1</v>
      </c>
      <c r="BK5" s="28">
        <v>0.4</v>
      </c>
    </row>
    <row r="6" spans="1:65">
      <c r="A6" s="62">
        <f t="shared" ref="A6:A54" si="26">M5</f>
        <v>451.87030560243994</v>
      </c>
      <c r="B6" s="62">
        <f t="shared" ref="B6:B54" si="27">A6*(1-$BI$16) +D5</f>
        <v>293.5764814536933</v>
      </c>
      <c r="C6" s="62">
        <f t="shared" ref="C6:C54" si="28">EXP(-$BI$4*S5)</f>
        <v>0.9820875574554927</v>
      </c>
      <c r="D6" s="65">
        <f t="shared" ref="D6:D54" si="29">A6*$BI$3*C6</f>
        <v>10.650628913178414</v>
      </c>
      <c r="E6" s="62">
        <f t="shared" si="0"/>
        <v>0.15662689578203551</v>
      </c>
      <c r="F6" s="62">
        <f t="shared" ref="F6:F54" si="30">$BI$30*A6*$BI$7</f>
        <v>0.2309992049955964</v>
      </c>
      <c r="G6" s="62">
        <f t="shared" ref="G6:G54" si="31">N5 - (F6*12) - (D6*$BI$7)</f>
        <v>0.77727864551893866</v>
      </c>
      <c r="H6" s="62">
        <f t="shared" ref="H6:H54" si="32">$BF$6*$BF$7*$BF$8*$BF$9*$BI$26*D6</f>
        <v>11.220062778153078</v>
      </c>
      <c r="I6" s="62">
        <f t="shared" ref="I6:I54" si="33">$BF$7*$BI$29*D6</f>
        <v>1.2342248433828757</v>
      </c>
      <c r="J6" s="62">
        <f t="shared" ref="J6:J54" si="34">H6-I6</f>
        <v>9.9858379347702027</v>
      </c>
      <c r="K6" s="62">
        <f t="shared" ref="K6:K54" si="35">G6+(J6*$BF$20)</f>
        <v>50.706468319369954</v>
      </c>
      <c r="L6" s="62">
        <f t="shared" ref="L6:L54" si="36">(K6-($BI$8*C6*A6*$BI$7))</f>
        <v>40.721503713265193</v>
      </c>
      <c r="M6" s="62">
        <f t="shared" ref="M6:M54" si="37">A6+(L6/$BI$7)</f>
        <v>542.36253607636263</v>
      </c>
      <c r="N6" s="62">
        <f t="shared" ref="N6:N54" si="38">K6 -L6</f>
        <v>9.9849646061047608</v>
      </c>
      <c r="O6" s="2">
        <f t="shared" si="15"/>
        <v>10.650628913178414</v>
      </c>
      <c r="P6" s="2">
        <f t="shared" si="1"/>
        <v>0.15662689578203551</v>
      </c>
      <c r="Q6" s="2">
        <f t="shared" si="2"/>
        <v>4.8253151716968257E-2</v>
      </c>
      <c r="R6" s="2">
        <f t="shared" si="3"/>
        <v>4.8253151716968257E-2</v>
      </c>
      <c r="S6" s="67">
        <f t="shared" si="16"/>
        <v>542.36253607636263</v>
      </c>
      <c r="T6" s="63">
        <f t="shared" ref="T6:T54" si="39">AF5</f>
        <v>601.87198931456555</v>
      </c>
      <c r="U6" s="63">
        <f t="shared" ref="U6:U54" si="40">T6*(1-$BJ$16) +W5</f>
        <v>440.0384943447998</v>
      </c>
      <c r="V6" s="63">
        <f t="shared" ref="V6:V54" si="41">EXP(-$BJ$4*AL5)</f>
        <v>0.96279194885589925</v>
      </c>
      <c r="W6" s="63">
        <f t="shared" ref="W6:W54" si="42">T6*$BJ$3*V6</f>
        <v>17.384325166618424</v>
      </c>
      <c r="X6" s="63">
        <f t="shared" ref="X6:X54" si="43">W6/$BJ$6</f>
        <v>0.18692822759804759</v>
      </c>
      <c r="Y6" s="63">
        <f t="shared" ref="Y6:Y54" si="44">$BJ$30*T6*$BJ$7</f>
        <v>0.30768109636109708</v>
      </c>
      <c r="Z6" s="63">
        <f t="shared" ref="Z6:Z54" si="45">AG5 - (Y6*12) - (W6*$BJ$7)</f>
        <v>-1.9830830327177562</v>
      </c>
      <c r="AA6" s="63">
        <f t="shared" ref="AA6:AA54" si="46">$BF$6*$BF$7*$BF$8*$BF$9*$BJ$26*W6</f>
        <v>26.422382362632906</v>
      </c>
      <c r="AB6" s="63">
        <f t="shared" ref="AB6:AB54" si="47">$BF$7*$BJ$29*W6</f>
        <v>2.9065043019920713</v>
      </c>
      <c r="AC6" s="63">
        <f t="shared" ref="AC6:AC54" si="48">AA6-AB6</f>
        <v>23.515878060640834</v>
      </c>
      <c r="AD6" s="63">
        <f t="shared" ref="AD6:AD54" si="49">Z6+(AC6*$BF$20)</f>
        <v>115.59630727048641</v>
      </c>
      <c r="AE6" s="63">
        <f t="shared" ref="AE6:AE54" si="50">(AD6-($BJ$8*V6*T6*$BJ$7))</f>
        <v>102.55806339552258</v>
      </c>
      <c r="AF6" s="63">
        <f t="shared" ref="AF6:AF54" si="51">T6+(AE6/$BJ$7)</f>
        <v>829.77879686017127</v>
      </c>
      <c r="AG6" s="63">
        <f t="shared" ref="AG6:AG54" si="52">AD6 -AE6</f>
        <v>13.038243874963825</v>
      </c>
      <c r="AH6" s="2">
        <f t="shared" si="17"/>
        <v>17.384325166618424</v>
      </c>
      <c r="AI6" s="2">
        <f t="shared" si="18"/>
        <v>0.18692822759804759</v>
      </c>
      <c r="AJ6" s="2">
        <f t="shared" si="4"/>
        <v>9.9266271155601743E-2</v>
      </c>
      <c r="AK6" s="2">
        <f t="shared" si="5"/>
        <v>9.9266271155601743E-2</v>
      </c>
      <c r="AL6" s="67">
        <f t="shared" si="19"/>
        <v>829.77879686017127</v>
      </c>
      <c r="AM6" s="46">
        <v>0</v>
      </c>
      <c r="AN6" s="46">
        <f t="shared" si="6"/>
        <v>0</v>
      </c>
      <c r="AO6" s="46">
        <f t="shared" si="7"/>
        <v>0</v>
      </c>
      <c r="AP6" s="2">
        <f t="shared" ref="AP6:AP54" si="53">MIN(AN6,AP5+((AN6-AP5)*$AW5))</f>
        <v>0</v>
      </c>
      <c r="AQ6" s="2">
        <f t="shared" si="20"/>
        <v>0</v>
      </c>
      <c r="AR6" s="2">
        <f t="shared" si="8"/>
        <v>0</v>
      </c>
      <c r="AS6" s="2">
        <f t="shared" si="21"/>
        <v>0</v>
      </c>
      <c r="AT6" s="64">
        <f t="shared" si="9"/>
        <v>733.61497579849311</v>
      </c>
      <c r="AU6" s="64">
        <f t="shared" si="10"/>
        <v>28.03495407979684</v>
      </c>
      <c r="AV6" s="64">
        <f t="shared" si="22"/>
        <v>0.34355512338008309</v>
      </c>
      <c r="AW6" s="64">
        <f t="shared" si="23"/>
        <v>1</v>
      </c>
      <c r="AX6" s="2">
        <f t="shared" si="11"/>
        <v>28.03495407979684</v>
      </c>
      <c r="AY6" s="2">
        <f t="shared" si="11"/>
        <v>0.34355512338008309</v>
      </c>
      <c r="AZ6" s="3">
        <f t="shared" si="12"/>
        <v>3.2459412537597525</v>
      </c>
      <c r="BA6" s="3">
        <f t="shared" si="13"/>
        <v>0.14751942287257</v>
      </c>
      <c r="BB6" s="3">
        <f t="shared" si="14"/>
        <v>0.14751942287257</v>
      </c>
      <c r="BC6" s="3">
        <f t="shared" si="24"/>
        <v>57.846970998652402</v>
      </c>
      <c r="BD6" s="3">
        <f t="shared" si="25"/>
        <v>2.6113409492512164E-2</v>
      </c>
      <c r="BE6" s="28" t="s">
        <v>34</v>
      </c>
      <c r="BF6" s="28">
        <v>0.94943730000000004</v>
      </c>
      <c r="BH6" s="24" t="s">
        <v>316</v>
      </c>
      <c r="BI6" s="28">
        <v>68</v>
      </c>
      <c r="BJ6" s="28">
        <v>93</v>
      </c>
      <c r="BK6" s="28">
        <v>190</v>
      </c>
    </row>
    <row r="7" spans="1:65">
      <c r="A7" s="62">
        <f t="shared" si="26"/>
        <v>542.36253607636263</v>
      </c>
      <c r="B7" s="62">
        <f t="shared" si="27"/>
        <v>352.33902664128686</v>
      </c>
      <c r="C7" s="62">
        <f t="shared" si="28"/>
        <v>0.97853913168528472</v>
      </c>
      <c r="D7" s="65">
        <f t="shared" si="29"/>
        <v>12.737351162659028</v>
      </c>
      <c r="E7" s="62">
        <f t="shared" si="0"/>
        <v>0.18731398768616217</v>
      </c>
      <c r="F7" s="62">
        <f t="shared" si="30"/>
        <v>0.27725945498012544</v>
      </c>
      <c r="G7" s="62">
        <f t="shared" si="31"/>
        <v>0.92604312314669279</v>
      </c>
      <c r="H7" s="62">
        <f t="shared" si="32"/>
        <v>13.418351238919122</v>
      </c>
      <c r="I7" s="62">
        <f t="shared" si="33"/>
        <v>1.4760400885241303</v>
      </c>
      <c r="J7" s="62">
        <f t="shared" si="34"/>
        <v>11.942311150394993</v>
      </c>
      <c r="K7" s="62">
        <f t="shared" si="35"/>
        <v>60.637598875121654</v>
      </c>
      <c r="L7" s="62">
        <f t="shared" si="36"/>
        <v>48.696332160128811</v>
      </c>
      <c r="M7" s="62">
        <f t="shared" si="37"/>
        <v>650.5766075433155</v>
      </c>
      <c r="N7" s="62">
        <f t="shared" si="38"/>
        <v>11.941266714992842</v>
      </c>
      <c r="O7" s="2">
        <f t="shared" si="15"/>
        <v>12.737351162659028</v>
      </c>
      <c r="P7" s="2">
        <f t="shared" si="1"/>
        <v>0.18731398768616217</v>
      </c>
      <c r="Q7" s="2">
        <f t="shared" si="2"/>
        <v>5.770714040779315E-2</v>
      </c>
      <c r="R7" s="2">
        <f t="shared" si="3"/>
        <v>5.770714040779315E-2</v>
      </c>
      <c r="S7" s="67">
        <f t="shared" si="16"/>
        <v>650.5766075433155</v>
      </c>
      <c r="T7" s="63">
        <f t="shared" si="39"/>
        <v>829.77879686017127</v>
      </c>
      <c r="U7" s="63">
        <f t="shared" si="40"/>
        <v>606.52727093733995</v>
      </c>
      <c r="V7" s="63">
        <f t="shared" si="41"/>
        <v>0.94906682729818104</v>
      </c>
      <c r="W7" s="63">
        <f t="shared" si="42"/>
        <v>23.625465902861539</v>
      </c>
      <c r="X7" s="63">
        <f t="shared" si="43"/>
        <v>0.25403726777270469</v>
      </c>
      <c r="Y7" s="63">
        <f t="shared" si="44"/>
        <v>0.42418862231133747</v>
      </c>
      <c r="Z7" s="63">
        <f t="shared" si="45"/>
        <v>-2.683479249059916</v>
      </c>
      <c r="AA7" s="63">
        <f t="shared" si="46"/>
        <v>35.908272975670549</v>
      </c>
      <c r="AB7" s="63">
        <f t="shared" si="47"/>
        <v>3.9499674347492184</v>
      </c>
      <c r="AC7" s="63">
        <f t="shared" si="48"/>
        <v>31.95830554092133</v>
      </c>
      <c r="AD7" s="63">
        <f t="shared" si="49"/>
        <v>157.10804845554674</v>
      </c>
      <c r="AE7" s="63">
        <f t="shared" si="50"/>
        <v>139.38894902840059</v>
      </c>
      <c r="AF7" s="63">
        <f t="shared" si="51"/>
        <v>1139.5320169232837</v>
      </c>
      <c r="AG7" s="63">
        <f t="shared" si="52"/>
        <v>17.719099427146148</v>
      </c>
      <c r="AH7" s="2">
        <f t="shared" si="17"/>
        <v>23.625465902861539</v>
      </c>
      <c r="AI7" s="2">
        <f t="shared" si="18"/>
        <v>0.25403726777270469</v>
      </c>
      <c r="AJ7" s="2">
        <f t="shared" si="4"/>
        <v>0.13490382180575974</v>
      </c>
      <c r="AK7" s="2">
        <f t="shared" si="5"/>
        <v>0.13490382180575974</v>
      </c>
      <c r="AL7" s="67">
        <f t="shared" si="19"/>
        <v>1139.5320169232837</v>
      </c>
      <c r="AM7" s="46">
        <v>0</v>
      </c>
      <c r="AN7" s="46">
        <f t="shared" si="6"/>
        <v>0</v>
      </c>
      <c r="AO7" s="46">
        <f t="shared" si="7"/>
        <v>0</v>
      </c>
      <c r="AP7" s="2">
        <f t="shared" si="53"/>
        <v>0</v>
      </c>
      <c r="AQ7" s="2">
        <f t="shared" si="20"/>
        <v>0</v>
      </c>
      <c r="AR7" s="2">
        <f t="shared" si="8"/>
        <v>0</v>
      </c>
      <c r="AS7" s="2">
        <f t="shared" si="21"/>
        <v>0</v>
      </c>
      <c r="AT7" s="64">
        <f t="shared" si="9"/>
        <v>958.86629757862681</v>
      </c>
      <c r="AU7" s="64">
        <f t="shared" si="10"/>
        <v>36.362817065520566</v>
      </c>
      <c r="AV7" s="64">
        <f t="shared" si="22"/>
        <v>0.44135125545886689</v>
      </c>
      <c r="AW7" s="64">
        <f t="shared" si="23"/>
        <v>1</v>
      </c>
      <c r="AX7" s="2">
        <f t="shared" si="11"/>
        <v>36.362817065520566</v>
      </c>
      <c r="AY7" s="2">
        <f t="shared" si="11"/>
        <v>0.44135125545886689</v>
      </c>
      <c r="AZ7" s="3">
        <f t="shared" si="12"/>
        <v>3.2459412537597525</v>
      </c>
      <c r="BA7" s="3">
        <f t="shared" si="13"/>
        <v>0.19261096221355289</v>
      </c>
      <c r="BB7" s="3">
        <f t="shared" si="14"/>
        <v>0.19261096221355289</v>
      </c>
      <c r="BC7" s="3">
        <f t="shared" si="24"/>
        <v>102.15532456039858</v>
      </c>
      <c r="BD7" s="3">
        <f t="shared" si="25"/>
        <v>4.5079952891380018E-2</v>
      </c>
      <c r="BE7" s="28" t="s">
        <v>20</v>
      </c>
      <c r="BF7" s="28">
        <v>1</v>
      </c>
      <c r="BH7" s="24" t="s">
        <v>343</v>
      </c>
      <c r="BI7" s="28">
        <v>0.45</v>
      </c>
      <c r="BJ7" s="28">
        <v>0.45</v>
      </c>
      <c r="BK7" s="28">
        <v>0.45</v>
      </c>
    </row>
    <row r="8" spans="1:65">
      <c r="A8" s="62">
        <f t="shared" si="26"/>
        <v>650.5766075433155</v>
      </c>
      <c r="B8" s="62">
        <f t="shared" si="27"/>
        <v>422.60061391494781</v>
      </c>
      <c r="C8" s="62">
        <f t="shared" si="28"/>
        <v>0.97431261750940656</v>
      </c>
      <c r="D8" s="65">
        <f t="shared" si="29"/>
        <v>15.212759937262025</v>
      </c>
      <c r="E8" s="62">
        <f t="shared" si="0"/>
        <v>0.22371705790091212</v>
      </c>
      <c r="F8" s="62">
        <f t="shared" si="30"/>
        <v>0.33257923184591426</v>
      </c>
      <c r="G8" s="62">
        <f t="shared" si="31"/>
        <v>1.1045739610739602</v>
      </c>
      <c r="H8" s="62">
        <f t="shared" si="32"/>
        <v>16.026107276524613</v>
      </c>
      <c r="I8" s="62">
        <f t="shared" si="33"/>
        <v>1.7628974217434537</v>
      </c>
      <c r="J8" s="62">
        <f t="shared" si="34"/>
        <v>14.263209854781159</v>
      </c>
      <c r="K8" s="62">
        <f t="shared" si="35"/>
        <v>72.420623234979757</v>
      </c>
      <c r="L8" s="62">
        <f t="shared" si="36"/>
        <v>58.158660793796606</v>
      </c>
      <c r="M8" s="62">
        <f t="shared" si="37"/>
        <v>779.8180759739746</v>
      </c>
      <c r="N8" s="62">
        <f t="shared" si="38"/>
        <v>14.261962441183151</v>
      </c>
      <c r="O8" s="2">
        <f t="shared" si="15"/>
        <v>15.212759937262023</v>
      </c>
      <c r="P8" s="2">
        <f t="shared" si="1"/>
        <v>0.22371705790091209</v>
      </c>
      <c r="Q8" s="2">
        <f t="shared" si="2"/>
        <v>6.8922090823973506E-2</v>
      </c>
      <c r="R8" s="2">
        <f t="shared" si="3"/>
        <v>6.8922090823973506E-2</v>
      </c>
      <c r="S8" s="67">
        <f t="shared" si="16"/>
        <v>779.8180759739746</v>
      </c>
      <c r="T8" s="63">
        <f t="shared" si="39"/>
        <v>1139.5320169232837</v>
      </c>
      <c r="U8" s="63">
        <f t="shared" si="40"/>
        <v>832.6931979183928</v>
      </c>
      <c r="V8" s="63">
        <f t="shared" si="41"/>
        <v>0.93072584657199842</v>
      </c>
      <c r="W8" s="63">
        <f t="shared" si="42"/>
        <v>31.8177570344046</v>
      </c>
      <c r="X8" s="63">
        <f t="shared" si="43"/>
        <v>0.34212641972478064</v>
      </c>
      <c r="Y8" s="63">
        <f t="shared" si="44"/>
        <v>0.58253659670193136</v>
      </c>
      <c r="Z8" s="63">
        <f t="shared" si="45"/>
        <v>-3.589330398759099</v>
      </c>
      <c r="AA8" s="63">
        <f t="shared" si="46"/>
        <v>48.359711074590024</v>
      </c>
      <c r="AB8" s="63">
        <f t="shared" si="47"/>
        <v>5.3196455320459384</v>
      </c>
      <c r="AC8" s="63">
        <f t="shared" si="48"/>
        <v>43.040065542544085</v>
      </c>
      <c r="AD8" s="63">
        <f t="shared" si="49"/>
        <v>211.61099731396132</v>
      </c>
      <c r="AE8" s="63">
        <f t="shared" si="50"/>
        <v>187.74767953815785</v>
      </c>
      <c r="AF8" s="63">
        <f t="shared" si="51"/>
        <v>1556.7490825636344</v>
      </c>
      <c r="AG8" s="63">
        <f t="shared" si="52"/>
        <v>23.863317775803466</v>
      </c>
      <c r="AH8" s="2">
        <f t="shared" si="17"/>
        <v>31.8177570344046</v>
      </c>
      <c r="AI8" s="2">
        <f t="shared" si="18"/>
        <v>0.34212641972478064</v>
      </c>
      <c r="AJ8" s="2">
        <f t="shared" si="4"/>
        <v>0.18168264037105761</v>
      </c>
      <c r="AK8" s="2">
        <f t="shared" si="5"/>
        <v>0.18168264037105761</v>
      </c>
      <c r="AL8" s="67">
        <f t="shared" si="19"/>
        <v>1556.7490825636344</v>
      </c>
      <c r="AM8" s="46">
        <v>0</v>
      </c>
      <c r="AN8" s="46">
        <f t="shared" si="6"/>
        <v>0</v>
      </c>
      <c r="AO8" s="46">
        <f t="shared" si="7"/>
        <v>0</v>
      </c>
      <c r="AP8" s="2">
        <f t="shared" si="53"/>
        <v>0</v>
      </c>
      <c r="AQ8" s="2">
        <f t="shared" si="20"/>
        <v>0</v>
      </c>
      <c r="AR8" s="2">
        <f t="shared" si="8"/>
        <v>0</v>
      </c>
      <c r="AS8" s="2">
        <f t="shared" si="21"/>
        <v>0</v>
      </c>
      <c r="AT8" s="64">
        <f t="shared" si="9"/>
        <v>1255.2938118333407</v>
      </c>
      <c r="AU8" s="64">
        <f t="shared" si="10"/>
        <v>47.030516971666621</v>
      </c>
      <c r="AV8" s="64">
        <f t="shared" si="22"/>
        <v>0.56584347762569276</v>
      </c>
      <c r="AW8" s="64">
        <f t="shared" si="23"/>
        <v>1</v>
      </c>
      <c r="AX8" s="2">
        <f t="shared" si="11"/>
        <v>47.030516971666621</v>
      </c>
      <c r="AY8" s="2">
        <f t="shared" si="11"/>
        <v>0.56584347762569276</v>
      </c>
      <c r="AZ8" s="3">
        <f t="shared" si="12"/>
        <v>3.2459412537597525</v>
      </c>
      <c r="BA8" s="3">
        <f t="shared" si="13"/>
        <v>0.25060473119503113</v>
      </c>
      <c r="BB8" s="3">
        <f t="shared" si="14"/>
        <v>0.25060473119503113</v>
      </c>
      <c r="BC8" s="3">
        <f t="shared" si="24"/>
        <v>180.41241671134625</v>
      </c>
      <c r="BD8" s="3">
        <f t="shared" si="25"/>
        <v>7.7577478659813626E-2</v>
      </c>
      <c r="BE8" s="28" t="s">
        <v>21</v>
      </c>
      <c r="BF8" s="28">
        <v>0.99475809999999998</v>
      </c>
      <c r="BH8" s="24" t="s">
        <v>344</v>
      </c>
      <c r="BI8" s="28">
        <v>0.05</v>
      </c>
      <c r="BJ8" s="28">
        <v>0.05</v>
      </c>
      <c r="BK8" s="28">
        <v>0.05</v>
      </c>
    </row>
    <row r="9" spans="1:65">
      <c r="A9" s="62">
        <f t="shared" si="26"/>
        <v>779.8180759739746</v>
      </c>
      <c r="B9" s="62">
        <f t="shared" si="27"/>
        <v>506.49814780086604</v>
      </c>
      <c r="C9" s="62">
        <f t="shared" si="28"/>
        <v>0.96928875080044286</v>
      </c>
      <c r="D9" s="65">
        <f t="shared" si="29"/>
        <v>18.14085332909805</v>
      </c>
      <c r="E9" s="62">
        <f t="shared" si="0"/>
        <v>0.26677725483967718</v>
      </c>
      <c r="F9" s="62">
        <f t="shared" si="30"/>
        <v>0.39864835851743352</v>
      </c>
      <c r="G9" s="62">
        <f t="shared" si="31"/>
        <v>1.3147981408798266</v>
      </c>
      <c r="H9" s="62">
        <f t="shared" si="32"/>
        <v>19.110750628997881</v>
      </c>
      <c r="I9" s="62">
        <f t="shared" si="33"/>
        <v>2.1022131220095299</v>
      </c>
      <c r="J9" s="62">
        <f t="shared" si="34"/>
        <v>17.00853750698835</v>
      </c>
      <c r="K9" s="62">
        <f t="shared" si="35"/>
        <v>86.357485675821579</v>
      </c>
      <c r="L9" s="62">
        <f t="shared" si="36"/>
        <v>69.350435679792156</v>
      </c>
      <c r="M9" s="62">
        <f t="shared" si="37"/>
        <v>933.93015526240163</v>
      </c>
      <c r="N9" s="62">
        <f t="shared" si="38"/>
        <v>17.007049996029423</v>
      </c>
      <c r="O9" s="2">
        <f t="shared" si="15"/>
        <v>18.14085332909805</v>
      </c>
      <c r="P9" s="2">
        <f t="shared" si="1"/>
        <v>0.26677725483967718</v>
      </c>
      <c r="Q9" s="2">
        <f t="shared" si="2"/>
        <v>8.2187949190599435E-2</v>
      </c>
      <c r="R9" s="2">
        <f t="shared" si="3"/>
        <v>8.2187949190599435E-2</v>
      </c>
      <c r="S9" s="67">
        <f t="shared" si="16"/>
        <v>933.93015526240163</v>
      </c>
      <c r="T9" s="63">
        <f t="shared" si="39"/>
        <v>1556.7490825636344</v>
      </c>
      <c r="U9" s="63">
        <f t="shared" si="40"/>
        <v>1137.109605654585</v>
      </c>
      <c r="V9" s="63">
        <f t="shared" si="41"/>
        <v>0.90658073338982392</v>
      </c>
      <c r="W9" s="63">
        <f t="shared" si="42"/>
        <v>42.339561749234257</v>
      </c>
      <c r="X9" s="63">
        <f t="shared" si="43"/>
        <v>0.45526410483047586</v>
      </c>
      <c r="Y9" s="63">
        <f t="shared" si="44"/>
        <v>0.79582082732873838</v>
      </c>
      <c r="Z9" s="63">
        <f t="shared" si="45"/>
        <v>-4.7393349392968087</v>
      </c>
      <c r="AA9" s="63">
        <f t="shared" si="46"/>
        <v>64.351769705316912</v>
      </c>
      <c r="AB9" s="63">
        <f t="shared" si="47"/>
        <v>7.0787975483172465</v>
      </c>
      <c r="AC9" s="63">
        <f t="shared" si="48"/>
        <v>57.272972156999664</v>
      </c>
      <c r="AD9" s="63">
        <f t="shared" si="49"/>
        <v>281.62552584570153</v>
      </c>
      <c r="AE9" s="63">
        <f t="shared" si="50"/>
        <v>249.87085453377583</v>
      </c>
      <c r="AF9" s="63">
        <f t="shared" si="51"/>
        <v>2112.0176481942472</v>
      </c>
      <c r="AG9" s="63">
        <f t="shared" si="52"/>
        <v>31.754671311925705</v>
      </c>
      <c r="AH9" s="2">
        <f t="shared" si="17"/>
        <v>42.339561749234257</v>
      </c>
      <c r="AI9" s="2">
        <f t="shared" si="18"/>
        <v>0.45526410483047586</v>
      </c>
      <c r="AJ9" s="2">
        <f t="shared" si="4"/>
        <v>0.24176321927521627</v>
      </c>
      <c r="AK9" s="2">
        <f t="shared" si="5"/>
        <v>0.24176321927521627</v>
      </c>
      <c r="AL9" s="67">
        <f t="shared" si="19"/>
        <v>2112.0176481942472</v>
      </c>
      <c r="AM9" s="46">
        <v>0</v>
      </c>
      <c r="AN9" s="46">
        <f t="shared" si="6"/>
        <v>0</v>
      </c>
      <c r="AO9" s="46">
        <f t="shared" si="7"/>
        <v>0</v>
      </c>
      <c r="AP9" s="2">
        <f t="shared" si="53"/>
        <v>0</v>
      </c>
      <c r="AQ9" s="2">
        <f t="shared" si="20"/>
        <v>0</v>
      </c>
      <c r="AR9" s="2">
        <f t="shared" si="8"/>
        <v>0</v>
      </c>
      <c r="AS9" s="2">
        <f t="shared" si="21"/>
        <v>0</v>
      </c>
      <c r="AT9" s="64">
        <f t="shared" si="9"/>
        <v>1643.6077534554511</v>
      </c>
      <c r="AU9" s="64">
        <f t="shared" si="10"/>
        <v>60.480415078332307</v>
      </c>
      <c r="AV9" s="64">
        <f t="shared" si="22"/>
        <v>0.72204135967015304</v>
      </c>
      <c r="AW9" s="64">
        <f t="shared" si="23"/>
        <v>1</v>
      </c>
      <c r="AX9" s="2">
        <f t="shared" si="11"/>
        <v>60.480415078332307</v>
      </c>
      <c r="AY9" s="2">
        <f t="shared" si="11"/>
        <v>0.72204135967015304</v>
      </c>
      <c r="AZ9" s="3">
        <f t="shared" si="12"/>
        <v>3.2459412537597525</v>
      </c>
      <c r="BA9" s="3">
        <f t="shared" si="13"/>
        <v>0.32395116846581573</v>
      </c>
      <c r="BB9" s="3">
        <f t="shared" si="14"/>
        <v>0.32395116846581573</v>
      </c>
      <c r="BC9" s="3">
        <f t="shared" si="24"/>
        <v>316.53932296841447</v>
      </c>
      <c r="BD9" s="3">
        <f t="shared" si="25"/>
        <v>0.13199199107023638</v>
      </c>
      <c r="BE9" s="28" t="s">
        <v>347</v>
      </c>
      <c r="BF9" s="28">
        <v>1</v>
      </c>
      <c r="BH9" s="24" t="s">
        <v>345</v>
      </c>
      <c r="BI9" s="28">
        <v>7</v>
      </c>
      <c r="BJ9" s="28">
        <v>7</v>
      </c>
      <c r="BK9" s="28">
        <v>7</v>
      </c>
    </row>
    <row r="10" spans="1:65">
      <c r="A10" s="62">
        <f t="shared" si="26"/>
        <v>933.93015526240163</v>
      </c>
      <c r="B10" s="62">
        <f t="shared" si="27"/>
        <v>606.51685114441102</v>
      </c>
      <c r="C10" s="62">
        <f t="shared" si="28"/>
        <v>0.96333196572202362</v>
      </c>
      <c r="D10" s="65">
        <f t="shared" si="29"/>
        <v>21.592434535584097</v>
      </c>
      <c r="E10" s="62">
        <f t="shared" si="0"/>
        <v>0.31753580199388376</v>
      </c>
      <c r="F10" s="62">
        <f t="shared" si="30"/>
        <v>0.47743151234380155</v>
      </c>
      <c r="G10" s="62">
        <f t="shared" si="31"/>
        <v>1.5612763068909601</v>
      </c>
      <c r="H10" s="62">
        <f t="shared" si="32"/>
        <v>22.746869973344626</v>
      </c>
      <c r="I10" s="62">
        <f t="shared" si="33"/>
        <v>2.5021920630397099</v>
      </c>
      <c r="J10" s="62">
        <f t="shared" si="34"/>
        <v>20.244677910304915</v>
      </c>
      <c r="K10" s="62">
        <f t="shared" si="35"/>
        <v>102.78466585841554</v>
      </c>
      <c r="L10" s="62">
        <f t="shared" si="36"/>
        <v>82.541758481305436</v>
      </c>
      <c r="M10" s="62">
        <f t="shared" si="37"/>
        <v>1117.3562852208581</v>
      </c>
      <c r="N10" s="62">
        <f t="shared" si="38"/>
        <v>20.2429073771101</v>
      </c>
      <c r="O10" s="2">
        <f t="shared" si="15"/>
        <v>21.592434535584097</v>
      </c>
      <c r="P10" s="2">
        <f t="shared" si="1"/>
        <v>0.31753580199388376</v>
      </c>
      <c r="Q10" s="2">
        <f t="shared" si="2"/>
        <v>9.7825492567397546E-2</v>
      </c>
      <c r="R10" s="2">
        <f t="shared" si="3"/>
        <v>9.7825492567397546E-2</v>
      </c>
      <c r="S10" s="67">
        <f t="shared" si="16"/>
        <v>1117.3562852208581</v>
      </c>
      <c r="T10" s="63">
        <f t="shared" si="39"/>
        <v>2112.0176481942472</v>
      </c>
      <c r="U10" s="63">
        <f t="shared" si="40"/>
        <v>1541.8720919671496</v>
      </c>
      <c r="V10" s="63">
        <f t="shared" si="41"/>
        <v>0.87541509411755103</v>
      </c>
      <c r="W10" s="63">
        <f t="shared" si="42"/>
        <v>55.466763848156866</v>
      </c>
      <c r="X10" s="63">
        <f t="shared" si="43"/>
        <v>0.59641681557157922</v>
      </c>
      <c r="Y10" s="63">
        <f t="shared" si="44"/>
        <v>1.0796779332934903</v>
      </c>
      <c r="Z10" s="63">
        <f t="shared" si="45"/>
        <v>-6.1615076192667679</v>
      </c>
      <c r="AA10" s="63">
        <f t="shared" si="46"/>
        <v>84.303763808333315</v>
      </c>
      <c r="AB10" s="63">
        <f t="shared" si="47"/>
        <v>9.2735487973851232</v>
      </c>
      <c r="AC10" s="63">
        <f t="shared" si="48"/>
        <v>75.030215010948197</v>
      </c>
      <c r="AD10" s="63">
        <f t="shared" si="49"/>
        <v>368.98956743547421</v>
      </c>
      <c r="AE10" s="63">
        <f t="shared" si="50"/>
        <v>327.38949454935658</v>
      </c>
      <c r="AF10" s="63">
        <f t="shared" si="51"/>
        <v>2839.5498583039284</v>
      </c>
      <c r="AG10" s="63">
        <f t="shared" si="52"/>
        <v>41.60007288611763</v>
      </c>
      <c r="AH10" s="2">
        <f t="shared" si="17"/>
        <v>55.466763848156866</v>
      </c>
      <c r="AI10" s="2">
        <f t="shared" si="18"/>
        <v>0.59641681557157922</v>
      </c>
      <c r="AJ10" s="2">
        <f t="shared" si="4"/>
        <v>0.31672088318087316</v>
      </c>
      <c r="AK10" s="2">
        <f t="shared" si="5"/>
        <v>0.31672088318087316</v>
      </c>
      <c r="AL10" s="67">
        <f t="shared" si="19"/>
        <v>2839.5498583039284</v>
      </c>
      <c r="AM10" s="46">
        <v>0</v>
      </c>
      <c r="AN10" s="46">
        <f t="shared" si="6"/>
        <v>0</v>
      </c>
      <c r="AO10" s="46">
        <f t="shared" si="7"/>
        <v>0</v>
      </c>
      <c r="AP10" s="2">
        <f t="shared" si="53"/>
        <v>0</v>
      </c>
      <c r="AQ10" s="2">
        <f t="shared" si="20"/>
        <v>0</v>
      </c>
      <c r="AR10" s="2">
        <f t="shared" si="8"/>
        <v>0</v>
      </c>
      <c r="AS10" s="2">
        <f t="shared" si="21"/>
        <v>0</v>
      </c>
      <c r="AT10" s="64">
        <f t="shared" si="9"/>
        <v>2148.3889431115604</v>
      </c>
      <c r="AU10" s="64">
        <f t="shared" si="10"/>
        <v>77.059198383740963</v>
      </c>
      <c r="AV10" s="64">
        <f t="shared" si="22"/>
        <v>0.91395261756546298</v>
      </c>
      <c r="AW10" s="64">
        <f t="shared" si="23"/>
        <v>1</v>
      </c>
      <c r="AX10" s="2">
        <f t="shared" si="11"/>
        <v>77.059198383740963</v>
      </c>
      <c r="AY10" s="2">
        <f t="shared" si="11"/>
        <v>0.91395261756546298</v>
      </c>
      <c r="AZ10" s="3">
        <f t="shared" si="12"/>
        <v>3.2459412537597525</v>
      </c>
      <c r="BA10" s="3">
        <f t="shared" si="13"/>
        <v>0.41454637574827069</v>
      </c>
      <c r="BB10" s="3">
        <f t="shared" si="14"/>
        <v>0.41454637574827069</v>
      </c>
      <c r="BC10" s="3">
        <f t="shared" si="24"/>
        <v>547.6759004334051</v>
      </c>
      <c r="BD10" s="3">
        <f t="shared" si="25"/>
        <v>0.21996075680958979</v>
      </c>
      <c r="BE10" s="28" t="s">
        <v>350</v>
      </c>
      <c r="BF10" s="28">
        <v>389</v>
      </c>
      <c r="BH10" s="24" t="s">
        <v>346</v>
      </c>
      <c r="BI10" s="28">
        <f t="shared" ref="BI10:BK10" si="54">BI9/(BI7*BI8)*(1-BI16)</f>
        <v>195.99999999999997</v>
      </c>
      <c r="BJ10" s="28">
        <f t="shared" si="54"/>
        <v>220.88888888888886</v>
      </c>
      <c r="BK10" s="28">
        <f t="shared" si="54"/>
        <v>208.4444444444444</v>
      </c>
    </row>
    <row r="11" spans="1:65">
      <c r="A11" s="62">
        <f t="shared" si="26"/>
        <v>1117.3562852208581</v>
      </c>
      <c r="B11" s="62">
        <f t="shared" si="27"/>
        <v>725.52689422472474</v>
      </c>
      <c r="C11" s="62">
        <f t="shared" si="28"/>
        <v>0.95628982140525709</v>
      </c>
      <c r="D11" s="65">
        <f t="shared" si="29"/>
        <v>25.644394618557502</v>
      </c>
      <c r="E11" s="62">
        <f t="shared" si="0"/>
        <v>0.37712345027290445</v>
      </c>
      <c r="F11" s="62">
        <f t="shared" si="30"/>
        <v>0.5712002102876339</v>
      </c>
      <c r="G11" s="62">
        <f t="shared" si="31"/>
        <v>1.8485272753076156</v>
      </c>
      <c r="H11" s="62">
        <f t="shared" si="32"/>
        <v>27.015467337513293</v>
      </c>
      <c r="I11" s="62">
        <f t="shared" si="33"/>
        <v>2.9717445974082257</v>
      </c>
      <c r="J11" s="62">
        <f t="shared" si="34"/>
        <v>24.043722740105068</v>
      </c>
      <c r="K11" s="62">
        <f t="shared" si="35"/>
        <v>122.06714097583296</v>
      </c>
      <c r="L11" s="62">
        <f t="shared" si="36"/>
        <v>98.025521020935301</v>
      </c>
      <c r="M11" s="62">
        <f t="shared" si="37"/>
        <v>1335.190776378492</v>
      </c>
      <c r="N11" s="62">
        <f t="shared" si="38"/>
        <v>24.041619954897655</v>
      </c>
      <c r="O11" s="2">
        <f t="shared" si="15"/>
        <v>25.644394618557502</v>
      </c>
      <c r="P11" s="2">
        <f t="shared" si="1"/>
        <v>0.37712345027290445</v>
      </c>
      <c r="Q11" s="2">
        <f t="shared" si="2"/>
        <v>0.11618307935674585</v>
      </c>
      <c r="R11" s="2">
        <f t="shared" si="3"/>
        <v>0.11618307935674585</v>
      </c>
      <c r="S11" s="67">
        <f t="shared" si="16"/>
        <v>1335.190776378492</v>
      </c>
      <c r="T11" s="63">
        <f t="shared" si="39"/>
        <v>2839.5498583039284</v>
      </c>
      <c r="U11" s="63">
        <f t="shared" si="40"/>
        <v>2071.5471632439458</v>
      </c>
      <c r="V11" s="63">
        <f t="shared" si="41"/>
        <v>0.83619650384384092</v>
      </c>
      <c r="W11" s="63">
        <f t="shared" si="42"/>
        <v>71.232649920120565</v>
      </c>
      <c r="X11" s="63">
        <f t="shared" si="43"/>
        <v>0.76594247225936096</v>
      </c>
      <c r="Y11" s="63">
        <f t="shared" si="44"/>
        <v>1.4515973979282963</v>
      </c>
      <c r="Z11" s="63">
        <f t="shared" si="45"/>
        <v>-7.8737883530761827</v>
      </c>
      <c r="AA11" s="63">
        <f t="shared" si="46"/>
        <v>108.26628556782273</v>
      </c>
      <c r="AB11" s="63">
        <f t="shared" si="47"/>
        <v>11.909464500392703</v>
      </c>
      <c r="AC11" s="63">
        <f t="shared" si="48"/>
        <v>96.356821067430033</v>
      </c>
      <c r="AD11" s="63">
        <f t="shared" si="49"/>
        <v>473.91031698407397</v>
      </c>
      <c r="AE11" s="63">
        <f t="shared" si="50"/>
        <v>420.48582954398353</v>
      </c>
      <c r="AF11" s="63">
        <f t="shared" si="51"/>
        <v>3773.962812846114</v>
      </c>
      <c r="AG11" s="63">
        <f t="shared" si="52"/>
        <v>53.424487440090445</v>
      </c>
      <c r="AH11" s="2">
        <f t="shared" si="17"/>
        <v>71.232649920120565</v>
      </c>
      <c r="AI11" s="2">
        <f t="shared" si="18"/>
        <v>0.76594247225936096</v>
      </c>
      <c r="AJ11" s="2">
        <f t="shared" si="4"/>
        <v>0.40674570190855341</v>
      </c>
      <c r="AK11" s="2">
        <f t="shared" si="5"/>
        <v>0.40674570190855341</v>
      </c>
      <c r="AL11" s="67">
        <f t="shared" si="19"/>
        <v>3773.962812846114</v>
      </c>
      <c r="AM11" s="46">
        <v>0</v>
      </c>
      <c r="AN11" s="46">
        <f t="shared" si="6"/>
        <v>0</v>
      </c>
      <c r="AO11" s="46">
        <f t="shared" si="7"/>
        <v>0</v>
      </c>
      <c r="AP11" s="2">
        <f t="shared" si="53"/>
        <v>0</v>
      </c>
      <c r="AQ11" s="2">
        <f t="shared" si="20"/>
        <v>0</v>
      </c>
      <c r="AR11" s="2">
        <f t="shared" si="8"/>
        <v>0</v>
      </c>
      <c r="AS11" s="2">
        <f t="shared" si="21"/>
        <v>0</v>
      </c>
      <c r="AT11" s="64">
        <f t="shared" si="9"/>
        <v>2797.0740574686706</v>
      </c>
      <c r="AU11" s="64">
        <f t="shared" si="10"/>
        <v>96.877044538678064</v>
      </c>
      <c r="AV11" s="64">
        <f t="shared" si="22"/>
        <v>1.1430659225322655</v>
      </c>
      <c r="AW11" s="64">
        <f t="shared" si="23"/>
        <v>1</v>
      </c>
      <c r="AX11" s="2">
        <f t="shared" si="11"/>
        <v>96.877044538678064</v>
      </c>
      <c r="AY11" s="2">
        <f t="shared" si="11"/>
        <v>1.1430659225322655</v>
      </c>
      <c r="AZ11" s="3">
        <f t="shared" si="12"/>
        <v>3.2459412537597525</v>
      </c>
      <c r="BA11" s="3">
        <f t="shared" si="13"/>
        <v>0.52292878126529929</v>
      </c>
      <c r="BB11" s="3">
        <f t="shared" si="14"/>
        <v>0.52292878126529929</v>
      </c>
      <c r="BC11" s="3">
        <f t="shared" si="24"/>
        <v>926.88685367749599</v>
      </c>
      <c r="BD11" s="3">
        <f t="shared" si="25"/>
        <v>0.35535917225105312</v>
      </c>
      <c r="BE11" s="28" t="s">
        <v>28</v>
      </c>
      <c r="BF11" s="28">
        <v>1.00474215</v>
      </c>
      <c r="BH11" s="24" t="s">
        <v>8</v>
      </c>
      <c r="BI11" s="28">
        <v>1.7</v>
      </c>
      <c r="BJ11" s="28">
        <v>2.2000000000000002</v>
      </c>
      <c r="BK11" s="28">
        <v>1.3</v>
      </c>
    </row>
    <row r="12" spans="1:65">
      <c r="A12" s="62">
        <f t="shared" si="26"/>
        <v>1335.190776378492</v>
      </c>
      <c r="B12" s="62">
        <f t="shared" si="27"/>
        <v>866.81458373700752</v>
      </c>
      <c r="C12" s="62">
        <f t="shared" si="28"/>
        <v>0.94799350211930211</v>
      </c>
      <c r="D12" s="65">
        <f t="shared" si="29"/>
        <v>30.378052322314478</v>
      </c>
      <c r="E12" s="62">
        <f t="shared" si="0"/>
        <v>0.44673606356344819</v>
      </c>
      <c r="F12" s="62">
        <f t="shared" si="30"/>
        <v>0.68255869889410892</v>
      </c>
      <c r="G12" s="62">
        <f t="shared" si="31"/>
        <v>2.1807920231268341</v>
      </c>
      <c r="H12" s="62">
        <f t="shared" si="32"/>
        <v>32.002209157118322</v>
      </c>
      <c r="I12" s="62">
        <f t="shared" si="33"/>
        <v>3.5202941699896702</v>
      </c>
      <c r="J12" s="62">
        <f t="shared" si="34"/>
        <v>28.481914987128654</v>
      </c>
      <c r="K12" s="62">
        <f t="shared" si="35"/>
        <v>144.59036695877009</v>
      </c>
      <c r="L12" s="62">
        <f t="shared" si="36"/>
        <v>116.11094290660026</v>
      </c>
      <c r="M12" s="62">
        <f t="shared" si="37"/>
        <v>1593.2150939487149</v>
      </c>
      <c r="N12" s="62">
        <f t="shared" si="38"/>
        <v>28.479424052169833</v>
      </c>
      <c r="O12" s="2">
        <f t="shared" si="15"/>
        <v>30.378052322314478</v>
      </c>
      <c r="P12" s="2">
        <f t="shared" si="1"/>
        <v>0.44673606356344819</v>
      </c>
      <c r="Q12" s="2">
        <f t="shared" si="2"/>
        <v>0.13762912777487785</v>
      </c>
      <c r="R12" s="2">
        <f t="shared" si="3"/>
        <v>0.13762912777487785</v>
      </c>
      <c r="S12" s="67">
        <f t="shared" si="16"/>
        <v>1593.2150939487149</v>
      </c>
      <c r="T12" s="63">
        <f t="shared" si="39"/>
        <v>3773.962812846114</v>
      </c>
      <c r="U12" s="63">
        <f t="shared" si="40"/>
        <v>2750.7462470408614</v>
      </c>
      <c r="V12" s="63">
        <f t="shared" si="41"/>
        <v>0.78839215269513407</v>
      </c>
      <c r="W12" s="63">
        <f t="shared" si="42"/>
        <v>89.260879986333933</v>
      </c>
      <c r="X12" s="63">
        <f t="shared" si="43"/>
        <v>0.95979440845520358</v>
      </c>
      <c r="Y12" s="63">
        <f t="shared" si="44"/>
        <v>1.9292757205812059</v>
      </c>
      <c r="Z12" s="63">
        <f t="shared" si="45"/>
        <v>-9.8942172007342961</v>
      </c>
      <c r="AA12" s="63">
        <f t="shared" si="46"/>
        <v>135.66733700729387</v>
      </c>
      <c r="AB12" s="63">
        <f t="shared" si="47"/>
        <v>14.923623965458932</v>
      </c>
      <c r="AC12" s="63">
        <f t="shared" si="48"/>
        <v>120.74371304183494</v>
      </c>
      <c r="AD12" s="63">
        <f t="shared" si="49"/>
        <v>593.82434800844044</v>
      </c>
      <c r="AE12" s="63">
        <f t="shared" si="50"/>
        <v>526.87868801869001</v>
      </c>
      <c r="AF12" s="63">
        <f t="shared" si="51"/>
        <v>4944.8043417765366</v>
      </c>
      <c r="AG12" s="63">
        <f t="shared" si="52"/>
        <v>66.945659989750425</v>
      </c>
      <c r="AH12" s="2">
        <f t="shared" si="17"/>
        <v>89.260879986333933</v>
      </c>
      <c r="AI12" s="2">
        <f t="shared" si="18"/>
        <v>0.95979440845520358</v>
      </c>
      <c r="AJ12" s="2">
        <f t="shared" si="4"/>
        <v>0.50968873576555396</v>
      </c>
      <c r="AK12" s="2">
        <f t="shared" si="5"/>
        <v>0.50968873576555396</v>
      </c>
      <c r="AL12" s="67">
        <f t="shared" si="19"/>
        <v>4944.8043417765366</v>
      </c>
      <c r="AM12" s="46">
        <v>0</v>
      </c>
      <c r="AN12" s="46">
        <f t="shared" si="6"/>
        <v>0</v>
      </c>
      <c r="AO12" s="46">
        <f t="shared" si="7"/>
        <v>0</v>
      </c>
      <c r="AP12" s="2">
        <f t="shared" si="53"/>
        <v>0</v>
      </c>
      <c r="AQ12" s="2">
        <f t="shared" si="20"/>
        <v>0</v>
      </c>
      <c r="AR12" s="2">
        <f t="shared" si="8"/>
        <v>0</v>
      </c>
      <c r="AS12" s="2">
        <f t="shared" si="21"/>
        <v>0</v>
      </c>
      <c r="AT12" s="64">
        <f t="shared" si="9"/>
        <v>3617.5608307778689</v>
      </c>
      <c r="AU12" s="64">
        <f t="shared" si="10"/>
        <v>119.63893230864841</v>
      </c>
      <c r="AV12" s="64">
        <f t="shared" si="22"/>
        <v>1.4065304720186518</v>
      </c>
      <c r="AW12" s="64">
        <f t="shared" si="23"/>
        <v>1</v>
      </c>
      <c r="AX12" s="2">
        <f t="shared" si="11"/>
        <v>119.63893230864841</v>
      </c>
      <c r="AY12" s="2">
        <f t="shared" si="11"/>
        <v>1.4065304720186518</v>
      </c>
      <c r="AZ12" s="3">
        <f t="shared" si="12"/>
        <v>3.2459412537597525</v>
      </c>
      <c r="BA12" s="3">
        <f t="shared" si="13"/>
        <v>0.64731786354043175</v>
      </c>
      <c r="BB12" s="3">
        <f t="shared" si="14"/>
        <v>0.64731786354043175</v>
      </c>
      <c r="BC12" s="3">
        <f t="shared" si="24"/>
        <v>1521.323312168367</v>
      </c>
      <c r="BD12" s="3">
        <f t="shared" si="25"/>
        <v>0.55068029341420022</v>
      </c>
      <c r="BE12" s="28" t="s">
        <v>29</v>
      </c>
      <c r="BF12" s="28">
        <v>0.05</v>
      </c>
      <c r="BH12" s="24" t="s">
        <v>6</v>
      </c>
      <c r="BI12" s="28">
        <v>-46</v>
      </c>
      <c r="BJ12" s="28">
        <v>-46</v>
      </c>
      <c r="BK12" s="28">
        <v>5.3</v>
      </c>
    </row>
    <row r="13" spans="1:65">
      <c r="A13" s="62">
        <f t="shared" si="26"/>
        <v>1593.2150939487149</v>
      </c>
      <c r="B13" s="62">
        <f t="shared" si="27"/>
        <v>1034.1035615100047</v>
      </c>
      <c r="C13" s="62">
        <f t="shared" si="28"/>
        <v>0.93825960511056361</v>
      </c>
      <c r="D13" s="65">
        <f t="shared" si="29"/>
        <v>35.876384757708259</v>
      </c>
      <c r="E13" s="62">
        <f t="shared" si="0"/>
        <v>0.52759389349570973</v>
      </c>
      <c r="F13" s="62">
        <f t="shared" si="30"/>
        <v>0.81446250290439604</v>
      </c>
      <c r="G13" s="62">
        <f t="shared" si="31"/>
        <v>2.5615008763483615</v>
      </c>
      <c r="H13" s="62">
        <f t="shared" si="32"/>
        <v>37.794508898586187</v>
      </c>
      <c r="I13" s="62">
        <f t="shared" si="33"/>
        <v>4.1574564018409825</v>
      </c>
      <c r="J13" s="62">
        <f t="shared" si="34"/>
        <v>33.637052496745206</v>
      </c>
      <c r="K13" s="62">
        <f t="shared" si="35"/>
        <v>170.7467633600744</v>
      </c>
      <c r="L13" s="62">
        <f t="shared" si="36"/>
        <v>137.11265264972292</v>
      </c>
      <c r="M13" s="62">
        <f t="shared" si="37"/>
        <v>1897.9098776147657</v>
      </c>
      <c r="N13" s="62">
        <f t="shared" si="38"/>
        <v>33.634110710351479</v>
      </c>
      <c r="O13" s="2">
        <f t="shared" si="15"/>
        <v>35.876384757708259</v>
      </c>
      <c r="P13" s="2">
        <f t="shared" si="1"/>
        <v>0.52759389349570973</v>
      </c>
      <c r="Q13" s="2">
        <f t="shared" si="2"/>
        <v>0.16253956934205177</v>
      </c>
      <c r="R13" s="2">
        <f t="shared" si="3"/>
        <v>0.16253956934205177</v>
      </c>
      <c r="S13" s="67">
        <f t="shared" si="16"/>
        <v>1897.9098776147657</v>
      </c>
      <c r="T13" s="63">
        <f t="shared" si="39"/>
        <v>4944.8043417765366</v>
      </c>
      <c r="U13" s="63">
        <f t="shared" si="40"/>
        <v>3600.0719626476744</v>
      </c>
      <c r="V13" s="63">
        <f t="shared" si="41"/>
        <v>0.73233100578668919</v>
      </c>
      <c r="W13" s="63">
        <f t="shared" si="42"/>
        <v>108.63700611094796</v>
      </c>
      <c r="X13" s="63">
        <f t="shared" si="43"/>
        <v>1.1681398506553544</v>
      </c>
      <c r="Y13" s="63">
        <f t="shared" si="44"/>
        <v>2.5278179549468174</v>
      </c>
      <c r="Z13" s="63">
        <f t="shared" si="45"/>
        <v>-12.274808219537967</v>
      </c>
      <c r="AA13" s="63">
        <f t="shared" si="46"/>
        <v>165.11705152104619</v>
      </c>
      <c r="AB13" s="63">
        <f t="shared" si="47"/>
        <v>18.163139643943349</v>
      </c>
      <c r="AC13" s="63">
        <f t="shared" si="48"/>
        <v>146.95391187710285</v>
      </c>
      <c r="AD13" s="63">
        <f t="shared" si="49"/>
        <v>722.49475116597637</v>
      </c>
      <c r="AE13" s="63">
        <f t="shared" si="50"/>
        <v>641.01699658276539</v>
      </c>
      <c r="AF13" s="63">
        <f t="shared" si="51"/>
        <v>6369.2865564049043</v>
      </c>
      <c r="AG13" s="63">
        <f t="shared" si="52"/>
        <v>81.477754583210981</v>
      </c>
      <c r="AH13" s="2">
        <f t="shared" si="17"/>
        <v>108.63700611094796</v>
      </c>
      <c r="AI13" s="2">
        <f t="shared" si="18"/>
        <v>1.1681398506553544</v>
      </c>
      <c r="AJ13" s="2">
        <f t="shared" si="4"/>
        <v>0.62032839369857518</v>
      </c>
      <c r="AK13" s="2">
        <f t="shared" si="5"/>
        <v>0.62032839369857518</v>
      </c>
      <c r="AL13" s="67">
        <f t="shared" si="19"/>
        <v>6369.2865564049043</v>
      </c>
      <c r="AM13" s="46">
        <v>0</v>
      </c>
      <c r="AN13" s="46">
        <f t="shared" si="6"/>
        <v>0</v>
      </c>
      <c r="AO13" s="46">
        <f t="shared" si="7"/>
        <v>0</v>
      </c>
      <c r="AP13" s="2">
        <f t="shared" si="53"/>
        <v>0</v>
      </c>
      <c r="AQ13" s="2">
        <f t="shared" si="20"/>
        <v>0</v>
      </c>
      <c r="AR13" s="2">
        <f t="shared" si="8"/>
        <v>0</v>
      </c>
      <c r="AS13" s="2">
        <f t="shared" si="21"/>
        <v>0</v>
      </c>
      <c r="AT13" s="64">
        <f t="shared" si="9"/>
        <v>4634.1755241576793</v>
      </c>
      <c r="AU13" s="64">
        <f t="shared" si="10"/>
        <v>144.51339086865622</v>
      </c>
      <c r="AV13" s="64">
        <f t="shared" si="22"/>
        <v>1.695733744151064</v>
      </c>
      <c r="AW13" s="64">
        <f t="shared" si="23"/>
        <v>0.95516670723051023</v>
      </c>
      <c r="AX13" s="2">
        <f t="shared" si="11"/>
        <v>144.51339086865622</v>
      </c>
      <c r="AY13" s="2">
        <f t="shared" si="11"/>
        <v>1.695733744151064</v>
      </c>
      <c r="AZ13" s="3">
        <f t="shared" si="12"/>
        <v>3.2459412537597525</v>
      </c>
      <c r="BA13" s="3">
        <f t="shared" si="13"/>
        <v>0.782867963040627</v>
      </c>
      <c r="BB13" s="3">
        <f t="shared" si="14"/>
        <v>0.782867963040627</v>
      </c>
      <c r="BC13" s="3">
        <f t="shared" si="24"/>
        <v>2401.3096053314271</v>
      </c>
      <c r="BD13" s="3">
        <f t="shared" si="25"/>
        <v>0.81038520140861847</v>
      </c>
      <c r="BE13" s="28" t="s">
        <v>30</v>
      </c>
      <c r="BF13" s="28">
        <v>2</v>
      </c>
      <c r="BH13" s="24" t="s">
        <v>7</v>
      </c>
      <c r="BI13" s="28">
        <v>71.900000000000006</v>
      </c>
      <c r="BJ13" s="28">
        <v>71.900000000000006</v>
      </c>
      <c r="BK13" s="28">
        <v>21.5</v>
      </c>
      <c r="BM13" s="24" t="s">
        <v>340</v>
      </c>
    </row>
    <row r="14" spans="1:65">
      <c r="A14" s="62">
        <f t="shared" si="26"/>
        <v>1897.9098776147657</v>
      </c>
      <c r="B14" s="62">
        <f t="shared" si="27"/>
        <v>1231.5596076550107</v>
      </c>
      <c r="C14" s="62">
        <f t="shared" si="28"/>
        <v>0.92689369617060557</v>
      </c>
      <c r="D14" s="65">
        <f t="shared" si="29"/>
        <v>42.219856835065244</v>
      </c>
      <c r="E14" s="62">
        <f t="shared" si="0"/>
        <v>0.6208802475744889</v>
      </c>
      <c r="F14" s="62">
        <f t="shared" si="30"/>
        <v>0.97022456985262295</v>
      </c>
      <c r="G14" s="62">
        <f t="shared" si="31"/>
        <v>2.9924802963406414</v>
      </c>
      <c r="H14" s="62">
        <f t="shared" si="32"/>
        <v>44.477133513489456</v>
      </c>
      <c r="I14" s="62">
        <f t="shared" si="33"/>
        <v>4.8925557931541217</v>
      </c>
      <c r="J14" s="62">
        <f t="shared" si="34"/>
        <v>39.584577720335332</v>
      </c>
      <c r="K14" s="62">
        <f t="shared" si="35"/>
        <v>200.91536889801731</v>
      </c>
      <c r="L14" s="62">
        <f t="shared" si="36"/>
        <v>161.33425311514364</v>
      </c>
      <c r="M14" s="62">
        <f t="shared" si="37"/>
        <v>2256.4304400928627</v>
      </c>
      <c r="N14" s="62">
        <f t="shared" si="38"/>
        <v>39.581115782873667</v>
      </c>
      <c r="O14" s="2">
        <f t="shared" si="15"/>
        <v>42.219856835065244</v>
      </c>
      <c r="P14" s="2">
        <f t="shared" si="1"/>
        <v>0.6208802475744889</v>
      </c>
      <c r="Q14" s="2">
        <f t="shared" si="2"/>
        <v>0.1912789539414268</v>
      </c>
      <c r="R14" s="2">
        <f t="shared" si="3"/>
        <v>0.1912789539414268</v>
      </c>
      <c r="S14" s="67">
        <f t="shared" si="16"/>
        <v>2256.4304400928627</v>
      </c>
      <c r="T14" s="63">
        <f t="shared" si="39"/>
        <v>6369.2865564049043</v>
      </c>
      <c r="U14" s="63">
        <f t="shared" si="40"/>
        <v>4630.8304611584299</v>
      </c>
      <c r="V14" s="63">
        <f t="shared" si="41"/>
        <v>0.66947259176489937</v>
      </c>
      <c r="W14" s="63">
        <f t="shared" si="42"/>
        <v>127.92188335829167</v>
      </c>
      <c r="X14" s="63">
        <f t="shared" si="43"/>
        <v>1.3755041221321684</v>
      </c>
      <c r="Y14" s="63">
        <f t="shared" si="44"/>
        <v>3.256023050589957</v>
      </c>
      <c r="Z14" s="63">
        <f t="shared" si="45"/>
        <v>-15.159369535099756</v>
      </c>
      <c r="AA14" s="63">
        <f t="shared" si="46"/>
        <v>194.42807714683252</v>
      </c>
      <c r="AB14" s="63">
        <f t="shared" si="47"/>
        <v>21.387399323026226</v>
      </c>
      <c r="AC14" s="63">
        <f t="shared" si="48"/>
        <v>173.04067782380631</v>
      </c>
      <c r="AD14" s="63">
        <f t="shared" si="49"/>
        <v>850.04401958393169</v>
      </c>
      <c r="AE14" s="63">
        <f t="shared" si="50"/>
        <v>754.10260706521296</v>
      </c>
      <c r="AF14" s="63">
        <f t="shared" si="51"/>
        <v>8045.0701276609334</v>
      </c>
      <c r="AG14" s="63">
        <f t="shared" si="52"/>
        <v>95.941412518718721</v>
      </c>
      <c r="AH14" s="2">
        <f t="shared" si="17"/>
        <v>127.05727881063783</v>
      </c>
      <c r="AI14" s="2">
        <f t="shared" si="18"/>
        <v>1.3662072990391163</v>
      </c>
      <c r="AJ14" s="2">
        <f t="shared" si="4"/>
        <v>0.73044701122842026</v>
      </c>
      <c r="AK14" s="2">
        <f t="shared" si="5"/>
        <v>0.73044701122842026</v>
      </c>
      <c r="AL14" s="67">
        <f t="shared" si="19"/>
        <v>8045.0701276609334</v>
      </c>
      <c r="AM14" s="46">
        <v>0</v>
      </c>
      <c r="AN14" s="46">
        <f t="shared" si="6"/>
        <v>0</v>
      </c>
      <c r="AO14" s="46">
        <f t="shared" si="7"/>
        <v>0</v>
      </c>
      <c r="AP14" s="2">
        <f t="shared" si="53"/>
        <v>0</v>
      </c>
      <c r="AQ14" s="2">
        <f t="shared" si="20"/>
        <v>0</v>
      </c>
      <c r="AR14" s="2">
        <f t="shared" si="8"/>
        <v>0</v>
      </c>
      <c r="AS14" s="2">
        <f t="shared" si="21"/>
        <v>0</v>
      </c>
      <c r="AT14" s="64">
        <f t="shared" si="9"/>
        <v>5862.3900688134408</v>
      </c>
      <c r="AU14" s="64">
        <f t="shared" si="10"/>
        <v>169.27713564570308</v>
      </c>
      <c r="AV14" s="64">
        <f t="shared" si="22"/>
        <v>1.9963843697066572</v>
      </c>
      <c r="AW14" s="64">
        <f t="shared" si="23"/>
        <v>0.77564786835746036</v>
      </c>
      <c r="AX14" s="2">
        <f t="shared" si="11"/>
        <v>169.27713564570308</v>
      </c>
      <c r="AY14" s="2">
        <f t="shared" si="11"/>
        <v>1.9870875466136053</v>
      </c>
      <c r="AZ14" s="3">
        <f t="shared" si="12"/>
        <v>3.2459412537597525</v>
      </c>
      <c r="BA14" s="3">
        <f t="shared" si="13"/>
        <v>0.92172596516984706</v>
      </c>
      <c r="BB14" s="3">
        <f t="shared" si="14"/>
        <v>0.92172596516984706</v>
      </c>
      <c r="BC14" s="3">
        <f t="shared" si="24"/>
        <v>3618.1477033274668</v>
      </c>
      <c r="BD14" s="3">
        <f t="shared" si="25"/>
        <v>1.1234941992227567</v>
      </c>
      <c r="BE14" s="28" t="s">
        <v>145</v>
      </c>
      <c r="BF14" s="28">
        <v>2</v>
      </c>
      <c r="BH14" s="24" t="s">
        <v>351</v>
      </c>
      <c r="BI14" s="28">
        <v>0.09</v>
      </c>
      <c r="BJ14" s="28">
        <v>0.11</v>
      </c>
      <c r="BK14" s="28">
        <v>0.1</v>
      </c>
    </row>
    <row r="15" spans="1:65">
      <c r="A15" s="62">
        <f t="shared" si="26"/>
        <v>2256.4304400928627</v>
      </c>
      <c r="B15" s="62">
        <f t="shared" si="27"/>
        <v>1463.7710340935687</v>
      </c>
      <c r="C15" s="62">
        <f t="shared" si="28"/>
        <v>0.91369613631245361</v>
      </c>
      <c r="D15" s="65">
        <f t="shared" si="29"/>
        <v>49.480602599295793</v>
      </c>
      <c r="E15" s="62">
        <f t="shared" si="0"/>
        <v>0.72765592057787931</v>
      </c>
      <c r="F15" s="62">
        <f t="shared" si="30"/>
        <v>1.1535027447630108</v>
      </c>
      <c r="G15" s="62">
        <f t="shared" si="31"/>
        <v>3.4728116760344285</v>
      </c>
      <c r="H15" s="62">
        <f t="shared" si="32"/>
        <v>52.126073679837276</v>
      </c>
      <c r="I15" s="62">
        <f t="shared" si="33"/>
        <v>5.733951439998231</v>
      </c>
      <c r="J15" s="62">
        <f t="shared" si="34"/>
        <v>46.392122239839047</v>
      </c>
      <c r="K15" s="62">
        <f t="shared" si="35"/>
        <v>235.43342287522967</v>
      </c>
      <c r="L15" s="62">
        <f t="shared" si="36"/>
        <v>189.04535793838986</v>
      </c>
      <c r="M15" s="62">
        <f t="shared" si="37"/>
        <v>2676.5312355115066</v>
      </c>
      <c r="N15" s="62">
        <f t="shared" si="38"/>
        <v>46.388064936839811</v>
      </c>
      <c r="O15" s="2">
        <f t="shared" si="15"/>
        <v>46.929340737270053</v>
      </c>
      <c r="P15" s="2">
        <f t="shared" si="1"/>
        <v>0.69013736378338308</v>
      </c>
      <c r="Q15" s="2">
        <f t="shared" si="2"/>
        <v>0.22417408809695499</v>
      </c>
      <c r="R15" s="2">
        <f t="shared" si="3"/>
        <v>0.21261548186801024</v>
      </c>
      <c r="S15" s="67">
        <f t="shared" si="16"/>
        <v>2822.0379048233576</v>
      </c>
      <c r="T15" s="63">
        <f t="shared" si="39"/>
        <v>8045.0701276609334</v>
      </c>
      <c r="U15" s="63">
        <f t="shared" si="40"/>
        <v>5839.9216739975545</v>
      </c>
      <c r="V15" s="63">
        <f t="shared" si="41"/>
        <v>0.6023964967251646</v>
      </c>
      <c r="W15" s="63">
        <f t="shared" si="42"/>
        <v>145.38966182433657</v>
      </c>
      <c r="X15" s="63">
        <f t="shared" si="43"/>
        <v>1.5633296970358772</v>
      </c>
      <c r="Y15" s="63">
        <f t="shared" si="44"/>
        <v>4.1126951264165168</v>
      </c>
      <c r="Z15" s="63">
        <f t="shared" si="45"/>
        <v>-18.836276819230939</v>
      </c>
      <c r="AA15" s="63">
        <f t="shared" si="46"/>
        <v>220.97729992263857</v>
      </c>
      <c r="AB15" s="63">
        <f t="shared" si="47"/>
        <v>24.307856273250181</v>
      </c>
      <c r="AC15" s="63">
        <f t="shared" si="48"/>
        <v>196.66944364938837</v>
      </c>
      <c r="AD15" s="63">
        <f t="shared" si="49"/>
        <v>964.5109414277108</v>
      </c>
      <c r="AE15" s="63">
        <f t="shared" si="50"/>
        <v>855.46869505945835</v>
      </c>
      <c r="AF15" s="63">
        <f t="shared" si="51"/>
        <v>9946.1116722375082</v>
      </c>
      <c r="AG15" s="63">
        <f t="shared" si="52"/>
        <v>109.04224636825245</v>
      </c>
      <c r="AH15" s="2">
        <f t="shared" si="17"/>
        <v>141.27675261712577</v>
      </c>
      <c r="AI15" s="2">
        <f t="shared" si="18"/>
        <v>1.5191048668508147</v>
      </c>
      <c r="AJ15" s="2">
        <f t="shared" si="4"/>
        <v>0.83018980924199903</v>
      </c>
      <c r="AK15" s="2">
        <f t="shared" si="5"/>
        <v>0.78738451813198984</v>
      </c>
      <c r="AL15" s="67">
        <f t="shared" si="19"/>
        <v>10486.8210661088</v>
      </c>
      <c r="AM15" s="46">
        <v>0</v>
      </c>
      <c r="AN15" s="46">
        <f t="shared" si="6"/>
        <v>0</v>
      </c>
      <c r="AO15" s="46">
        <f t="shared" si="7"/>
        <v>0</v>
      </c>
      <c r="AP15" s="2">
        <f t="shared" si="53"/>
        <v>0</v>
      </c>
      <c r="AQ15" s="2">
        <f t="shared" si="20"/>
        <v>0</v>
      </c>
      <c r="AR15" s="2">
        <f t="shared" si="8"/>
        <v>0</v>
      </c>
      <c r="AS15" s="2">
        <f t="shared" si="21"/>
        <v>0</v>
      </c>
      <c r="AT15" s="64">
        <f t="shared" si="9"/>
        <v>7303.6927080911228</v>
      </c>
      <c r="AU15" s="64">
        <f t="shared" si="10"/>
        <v>188.20609335439582</v>
      </c>
      <c r="AV15" s="64">
        <f t="shared" si="22"/>
        <v>2.2909856176137566</v>
      </c>
      <c r="AW15" s="64">
        <f t="shared" si="23"/>
        <v>0.63876634977589508</v>
      </c>
      <c r="AX15" s="2">
        <f t="shared" si="11"/>
        <v>188.20609335439582</v>
      </c>
      <c r="AY15" s="2">
        <f t="shared" si="11"/>
        <v>2.2092422306341977</v>
      </c>
      <c r="AZ15" s="3">
        <f t="shared" si="12"/>
        <v>3.2459412537597525</v>
      </c>
      <c r="BA15" s="3">
        <f t="shared" si="13"/>
        <v>1.054363897338954</v>
      </c>
      <c r="BB15" s="3">
        <f t="shared" si="14"/>
        <v>1</v>
      </c>
      <c r="BC15" s="3">
        <f t="shared" si="24"/>
        <v>4909.4842969673682</v>
      </c>
      <c r="BD15" s="3">
        <f t="shared" si="25"/>
        <v>1.3856525143698004</v>
      </c>
      <c r="BE15" s="28" t="s">
        <v>19</v>
      </c>
      <c r="BF15" s="28">
        <v>13.8315153</v>
      </c>
      <c r="BH15" s="24" t="s">
        <v>113</v>
      </c>
      <c r="BI15" s="28">
        <v>0.75</v>
      </c>
      <c r="BJ15" s="28">
        <v>0.75</v>
      </c>
      <c r="BK15" s="28">
        <v>0.75</v>
      </c>
    </row>
    <row r="16" spans="1:65">
      <c r="A16" s="62">
        <f t="shared" si="26"/>
        <v>2676.5312355115066</v>
      </c>
      <c r="B16" s="62">
        <f t="shared" si="27"/>
        <v>1735.6952809715449</v>
      </c>
      <c r="C16" s="62">
        <f t="shared" si="28"/>
        <v>0.89325649027596565</v>
      </c>
      <c r="D16" s="65">
        <f t="shared" si="29"/>
        <v>57.379893541128062</v>
      </c>
      <c r="E16" s="62">
        <f t="shared" si="0"/>
        <v>0.84382196384011854</v>
      </c>
      <c r="F16" s="62">
        <f t="shared" si="30"/>
        <v>1.3682611578664019</v>
      </c>
      <c r="G16" s="62">
        <f t="shared" si="31"/>
        <v>4.1479789489353607</v>
      </c>
      <c r="H16" s="62">
        <f t="shared" si="32"/>
        <v>60.447698721208141</v>
      </c>
      <c r="I16" s="62">
        <f t="shared" si="33"/>
        <v>6.6493434985324722</v>
      </c>
      <c r="J16" s="62">
        <f t="shared" si="34"/>
        <v>53.798355222675667</v>
      </c>
      <c r="K16" s="62">
        <f t="shared" si="35"/>
        <v>273.13975506231372</v>
      </c>
      <c r="L16" s="62">
        <f t="shared" si="36"/>
        <v>219.34610486750617</v>
      </c>
      <c r="M16" s="62">
        <f t="shared" si="37"/>
        <v>3163.9670241059648</v>
      </c>
      <c r="N16" s="62">
        <f t="shared" si="38"/>
        <v>53.793650194807554</v>
      </c>
      <c r="O16" s="2">
        <f t="shared" si="15"/>
        <v>50.333964291862877</v>
      </c>
      <c r="P16" s="2">
        <f t="shared" si="1"/>
        <v>0.74020535723327763</v>
      </c>
      <c r="Q16" s="2">
        <f t="shared" si="2"/>
        <v>0.25996217980307718</v>
      </c>
      <c r="R16" s="2">
        <f t="shared" si="3"/>
        <v>0.22804028149797925</v>
      </c>
      <c r="S16" s="67">
        <f t="shared" si="16"/>
        <v>3606.8705011615698</v>
      </c>
      <c r="T16" s="63">
        <f t="shared" si="39"/>
        <v>9946.1116722375082</v>
      </c>
      <c r="U16" s="63">
        <f t="shared" si="40"/>
        <v>7207.1289491129664</v>
      </c>
      <c r="V16" s="63">
        <f t="shared" si="41"/>
        <v>0.51650530099974767</v>
      </c>
      <c r="W16" s="63">
        <f t="shared" si="42"/>
        <v>154.11658209138412</v>
      </c>
      <c r="X16" s="63">
        <f t="shared" si="43"/>
        <v>1.6571675493697218</v>
      </c>
      <c r="Y16" s="63">
        <f t="shared" si="44"/>
        <v>5.0845206259374978</v>
      </c>
      <c r="Z16" s="63">
        <f t="shared" si="45"/>
        <v>-21.324463084120381</v>
      </c>
      <c r="AA16" s="63">
        <f t="shared" si="46"/>
        <v>234.24131920058642</v>
      </c>
      <c r="AB16" s="63">
        <f t="shared" si="47"/>
        <v>25.766919599333228</v>
      </c>
      <c r="AC16" s="63">
        <f t="shared" si="48"/>
        <v>208.4743996012532</v>
      </c>
      <c r="AD16" s="63">
        <f t="shared" si="49"/>
        <v>1021.0475349221457</v>
      </c>
      <c r="AE16" s="63">
        <f t="shared" si="50"/>
        <v>905.46009835360758</v>
      </c>
      <c r="AF16" s="63">
        <f t="shared" si="51"/>
        <v>11958.245224134414</v>
      </c>
      <c r="AG16" s="63">
        <f t="shared" si="52"/>
        <v>115.58743656853812</v>
      </c>
      <c r="AH16" s="2">
        <f t="shared" si="17"/>
        <v>149.47840362214274</v>
      </c>
      <c r="AI16" s="2">
        <f t="shared" si="18"/>
        <v>1.6072946626036853</v>
      </c>
      <c r="AJ16" s="2">
        <f t="shared" si="4"/>
        <v>0.88002141474173479</v>
      </c>
      <c r="AK16" s="2">
        <f t="shared" si="5"/>
        <v>0.77195971850202072</v>
      </c>
      <c r="AL16" s="67">
        <f t="shared" si="19"/>
        <v>13632.203375057081</v>
      </c>
      <c r="AM16" s="46">
        <v>0</v>
      </c>
      <c r="AN16" s="46">
        <f t="shared" si="6"/>
        <v>0</v>
      </c>
      <c r="AO16" s="46">
        <f t="shared" si="7"/>
        <v>0</v>
      </c>
      <c r="AP16" s="2">
        <f t="shared" si="53"/>
        <v>0</v>
      </c>
      <c r="AQ16" s="2">
        <f t="shared" si="20"/>
        <v>0</v>
      </c>
      <c r="AR16" s="2">
        <f t="shared" si="8"/>
        <v>0</v>
      </c>
      <c r="AS16" s="2">
        <f t="shared" si="21"/>
        <v>0</v>
      </c>
      <c r="AT16" s="64">
        <f t="shared" si="9"/>
        <v>8942.8242300845122</v>
      </c>
      <c r="AU16" s="64">
        <f t="shared" si="10"/>
        <v>199.81236791400562</v>
      </c>
      <c r="AV16" s="64">
        <f t="shared" si="22"/>
        <v>2.5009895132098405</v>
      </c>
      <c r="AW16" s="64">
        <f t="shared" si="23"/>
        <v>0.55357824660697785</v>
      </c>
      <c r="AX16" s="2">
        <f t="shared" si="11"/>
        <v>199.81236791400562</v>
      </c>
      <c r="AY16" s="2">
        <f t="shared" si="11"/>
        <v>2.3475000198369629</v>
      </c>
      <c r="AZ16" s="3">
        <f t="shared" si="12"/>
        <v>3.2459412537597525</v>
      </c>
      <c r="BA16" s="3">
        <f t="shared" si="13"/>
        <v>1.139983594544812</v>
      </c>
      <c r="BB16" s="3">
        <f t="shared" si="14"/>
        <v>1</v>
      </c>
      <c r="BC16" s="3">
        <f t="shared" si="24"/>
        <v>5959.4216752324755</v>
      </c>
      <c r="BD16" s="3">
        <f t="shared" si="25"/>
        <v>1.4716919930904124</v>
      </c>
      <c r="BE16" s="28" t="s">
        <v>359</v>
      </c>
      <c r="BF16" s="28">
        <v>31</v>
      </c>
      <c r="BH16" s="24" t="s">
        <v>357</v>
      </c>
      <c r="BI16" s="28">
        <v>0.37</v>
      </c>
      <c r="BJ16" s="28">
        <v>0.28999999999999998</v>
      </c>
      <c r="BK16" s="28">
        <v>0.33</v>
      </c>
    </row>
    <row r="17" spans="1:63">
      <c r="A17" s="62">
        <f t="shared" si="26"/>
        <v>3163.9670241059648</v>
      </c>
      <c r="B17" s="62">
        <f t="shared" si="27"/>
        <v>2050.6791187278859</v>
      </c>
      <c r="C17" s="62">
        <f t="shared" si="28"/>
        <v>0.8656498174436007</v>
      </c>
      <c r="D17" s="65">
        <f t="shared" si="29"/>
        <v>65.733299443557627</v>
      </c>
      <c r="E17" s="62">
        <f t="shared" si="0"/>
        <v>0.9666661682876122</v>
      </c>
      <c r="F17" s="62">
        <f t="shared" si="30"/>
        <v>1.6174416821356503</v>
      </c>
      <c r="G17" s="62">
        <f t="shared" si="31"/>
        <v>4.8043652595788231</v>
      </c>
      <c r="H17" s="62">
        <f t="shared" si="32"/>
        <v>69.247717893849099</v>
      </c>
      <c r="I17" s="62">
        <f t="shared" si="33"/>
        <v>7.6173596763267062</v>
      </c>
      <c r="J17" s="62">
        <f t="shared" si="34"/>
        <v>61.630358217522392</v>
      </c>
      <c r="K17" s="62">
        <f t="shared" si="35"/>
        <v>312.95615634719081</v>
      </c>
      <c r="L17" s="62">
        <f t="shared" si="36"/>
        <v>251.33118811885555</v>
      </c>
      <c r="M17" s="62">
        <f t="shared" si="37"/>
        <v>3722.4807754811991</v>
      </c>
      <c r="N17" s="62">
        <f t="shared" si="38"/>
        <v>61.624968228335263</v>
      </c>
      <c r="O17" s="2">
        <f t="shared" si="15"/>
        <v>56.391280142738758</v>
      </c>
      <c r="P17" s="2">
        <f t="shared" si="1"/>
        <v>0.82928353151086409</v>
      </c>
      <c r="Q17" s="2">
        <f t="shared" si="2"/>
        <v>0.29780765969437339</v>
      </c>
      <c r="R17" s="2">
        <f t="shared" si="3"/>
        <v>0.25548322248602323</v>
      </c>
      <c r="S17" s="67">
        <f t="shared" si="16"/>
        <v>4339.1627724752052</v>
      </c>
      <c r="T17" s="63">
        <f t="shared" si="39"/>
        <v>11958.245224134414</v>
      </c>
      <c r="U17" s="63">
        <f t="shared" si="40"/>
        <v>8644.4706912268193</v>
      </c>
      <c r="V17" s="63">
        <f t="shared" si="41"/>
        <v>0.42365797473940342</v>
      </c>
      <c r="W17" s="63">
        <f t="shared" si="42"/>
        <v>151.98617859281788</v>
      </c>
      <c r="X17" s="63">
        <f t="shared" si="43"/>
        <v>1.6342599848690094</v>
      </c>
      <c r="Y17" s="63">
        <f t="shared" si="44"/>
        <v>6.1131371229066254</v>
      </c>
      <c r="Z17" s="63">
        <f t="shared" si="45"/>
        <v>-26.163989273109422</v>
      </c>
      <c r="AA17" s="63">
        <f t="shared" si="46"/>
        <v>231.00332547426694</v>
      </c>
      <c r="AB17" s="63">
        <f t="shared" si="47"/>
        <v>25.410735112779115</v>
      </c>
      <c r="AC17" s="63">
        <f t="shared" si="48"/>
        <v>205.59259036148782</v>
      </c>
      <c r="AD17" s="63">
        <f t="shared" si="49"/>
        <v>1001.7989625343297</v>
      </c>
      <c r="AE17" s="63">
        <f t="shared" si="50"/>
        <v>887.8093285897163</v>
      </c>
      <c r="AF17" s="63">
        <f t="shared" si="51"/>
        <v>13931.154843222674</v>
      </c>
      <c r="AG17" s="63">
        <f t="shared" si="52"/>
        <v>113.98963394461339</v>
      </c>
      <c r="AH17" s="2">
        <f t="shared" si="17"/>
        <v>150.86665329329395</v>
      </c>
      <c r="AI17" s="2">
        <f t="shared" si="18"/>
        <v>1.6222220784225156</v>
      </c>
      <c r="AJ17" s="2">
        <f t="shared" si="4"/>
        <v>0.86785659331020748</v>
      </c>
      <c r="AK17" s="2">
        <f t="shared" si="5"/>
        <v>0.74451677751397682</v>
      </c>
      <c r="AL17" s="67">
        <f t="shared" si="19"/>
        <v>16239.049203816307</v>
      </c>
      <c r="AM17" s="46">
        <v>0</v>
      </c>
      <c r="AN17" s="46">
        <f t="shared" si="6"/>
        <v>0</v>
      </c>
      <c r="AO17" s="46">
        <f t="shared" si="7"/>
        <v>0</v>
      </c>
      <c r="AP17" s="2">
        <f t="shared" si="53"/>
        <v>0</v>
      </c>
      <c r="AQ17" s="2">
        <f t="shared" si="20"/>
        <v>0</v>
      </c>
      <c r="AR17" s="2">
        <f t="shared" si="8"/>
        <v>0</v>
      </c>
      <c r="AS17" s="2">
        <f t="shared" si="21"/>
        <v>0</v>
      </c>
      <c r="AT17" s="64">
        <f t="shared" si="9"/>
        <v>10695.149809954706</v>
      </c>
      <c r="AU17" s="64">
        <f t="shared" si="10"/>
        <v>207.25793343603272</v>
      </c>
      <c r="AV17" s="64">
        <f t="shared" si="22"/>
        <v>2.6009261531566215</v>
      </c>
      <c r="AW17" s="64">
        <f t="shared" si="23"/>
        <v>0.48949477622626902</v>
      </c>
      <c r="AX17" s="2">
        <f t="shared" si="11"/>
        <v>207.25793343603272</v>
      </c>
      <c r="AY17" s="2">
        <f t="shared" si="11"/>
        <v>2.4515056099333798</v>
      </c>
      <c r="AZ17" s="3">
        <f t="shared" si="12"/>
        <v>3.2459412537597525</v>
      </c>
      <c r="BA17" s="3">
        <f t="shared" si="13"/>
        <v>1.1656642530045809</v>
      </c>
      <c r="BB17" s="3">
        <f t="shared" si="14"/>
        <v>1</v>
      </c>
      <c r="BC17" s="3">
        <f t="shared" si="24"/>
        <v>6959.8675718836103</v>
      </c>
      <c r="BD17" s="3">
        <f t="shared" si="25"/>
        <v>1.463700965297051</v>
      </c>
      <c r="BE17" s="28" t="s">
        <v>11</v>
      </c>
      <c r="BF17" s="28">
        <v>51694.13</v>
      </c>
      <c r="BH17" s="24" t="s">
        <v>2</v>
      </c>
      <c r="BI17" s="28">
        <v>22.15</v>
      </c>
      <c r="BJ17" s="28">
        <v>22.15</v>
      </c>
      <c r="BK17" s="28">
        <v>22.15</v>
      </c>
    </row>
    <row r="18" spans="1:63">
      <c r="A18" s="62">
        <f t="shared" si="26"/>
        <v>3722.4807754811991</v>
      </c>
      <c r="B18" s="62">
        <f t="shared" si="27"/>
        <v>2410.8961879967133</v>
      </c>
      <c r="C18" s="62">
        <f t="shared" si="28"/>
        <v>0.84066123616784472</v>
      </c>
      <c r="D18" s="65">
        <f t="shared" si="29"/>
        <v>75.10428696784949</v>
      </c>
      <c r="E18" s="62">
        <f t="shared" si="0"/>
        <v>1.1044748083507279</v>
      </c>
      <c r="F18" s="62">
        <f t="shared" si="30"/>
        <v>1.9029577493505143</v>
      </c>
      <c r="G18" s="62">
        <f t="shared" si="31"/>
        <v>4.9925461005968188</v>
      </c>
      <c r="H18" s="62">
        <f t="shared" si="32"/>
        <v>79.119723497738519</v>
      </c>
      <c r="I18" s="62">
        <f t="shared" si="33"/>
        <v>8.7032960753689341</v>
      </c>
      <c r="J18" s="62">
        <f t="shared" si="34"/>
        <v>70.41642742236958</v>
      </c>
      <c r="K18" s="62">
        <f t="shared" si="35"/>
        <v>357.07468321244471</v>
      </c>
      <c r="L18" s="62">
        <f t="shared" si="36"/>
        <v>286.66441418008583</v>
      </c>
      <c r="M18" s="62">
        <f t="shared" si="37"/>
        <v>4359.5128069925013</v>
      </c>
      <c r="N18" s="62">
        <f t="shared" si="38"/>
        <v>70.410269032358883</v>
      </c>
      <c r="O18" s="2">
        <f t="shared" si="15"/>
        <v>62.68220210774917</v>
      </c>
      <c r="P18" s="2">
        <f t="shared" si="1"/>
        <v>0.92179708981984076</v>
      </c>
      <c r="Q18" s="2">
        <f t="shared" si="2"/>
        <v>0.34026333873769954</v>
      </c>
      <c r="R18" s="2">
        <f t="shared" si="3"/>
        <v>0.28398452644579725</v>
      </c>
      <c r="S18" s="67">
        <f t="shared" si="16"/>
        <v>5223.4620017585885</v>
      </c>
      <c r="T18" s="63">
        <f t="shared" si="39"/>
        <v>13931.154843222674</v>
      </c>
      <c r="U18" s="63">
        <f t="shared" si="40"/>
        <v>10043.106117280917</v>
      </c>
      <c r="V18" s="63">
        <f t="shared" si="41"/>
        <v>0.35949317027690453</v>
      </c>
      <c r="W18" s="63">
        <f t="shared" si="42"/>
        <v>150.24465060625715</v>
      </c>
      <c r="X18" s="63">
        <f t="shared" si="43"/>
        <v>1.6155338774866361</v>
      </c>
      <c r="Y18" s="63">
        <f t="shared" si="44"/>
        <v>7.1217020759188685</v>
      </c>
      <c r="Z18" s="63">
        <f t="shared" si="45"/>
        <v>-39.080883739228753</v>
      </c>
      <c r="AA18" s="63">
        <f t="shared" si="46"/>
        <v>228.35638244282313</v>
      </c>
      <c r="AB18" s="63">
        <f t="shared" si="47"/>
        <v>25.119567147588381</v>
      </c>
      <c r="AC18" s="63">
        <f t="shared" si="48"/>
        <v>203.23681529523475</v>
      </c>
      <c r="AD18" s="63">
        <f t="shared" si="49"/>
        <v>977.10319273694495</v>
      </c>
      <c r="AE18" s="63">
        <f t="shared" si="50"/>
        <v>864.4197047822521</v>
      </c>
      <c r="AF18" s="63">
        <f t="shared" si="51"/>
        <v>15852.087520516567</v>
      </c>
      <c r="AG18" s="63">
        <f t="shared" si="52"/>
        <v>112.68348795469285</v>
      </c>
      <c r="AH18" s="2">
        <f t="shared" si="17"/>
        <v>150.24465060625715</v>
      </c>
      <c r="AI18" s="2">
        <f t="shared" si="18"/>
        <v>1.6155338774866361</v>
      </c>
      <c r="AJ18" s="2">
        <f t="shared" si="4"/>
        <v>0.85791229074556374</v>
      </c>
      <c r="AK18" s="2">
        <f t="shared" si="5"/>
        <v>0.71601547355420281</v>
      </c>
      <c r="AL18" s="67">
        <f t="shared" si="19"/>
        <v>18993.584943518719</v>
      </c>
      <c r="AM18" s="46">
        <v>0</v>
      </c>
      <c r="AN18" s="46">
        <f t="shared" si="6"/>
        <v>0</v>
      </c>
      <c r="AO18" s="46">
        <f t="shared" si="7"/>
        <v>0</v>
      </c>
      <c r="AP18" s="2">
        <f t="shared" si="53"/>
        <v>0</v>
      </c>
      <c r="AQ18" s="2">
        <f t="shared" si="20"/>
        <v>0</v>
      </c>
      <c r="AR18" s="2">
        <f t="shared" si="8"/>
        <v>0</v>
      </c>
      <c r="AS18" s="2">
        <f t="shared" si="21"/>
        <v>0</v>
      </c>
      <c r="AT18" s="64">
        <f t="shared" si="9"/>
        <v>12454.002305277631</v>
      </c>
      <c r="AU18" s="64">
        <f t="shared" si="10"/>
        <v>212.92685271400632</v>
      </c>
      <c r="AV18" s="64">
        <f t="shared" si="22"/>
        <v>2.7200086858373638</v>
      </c>
      <c r="AW18" s="64">
        <f t="shared" si="23"/>
        <v>0.43661313071054308</v>
      </c>
      <c r="AX18" s="2">
        <f t="shared" si="11"/>
        <v>212.92685271400632</v>
      </c>
      <c r="AY18" s="2">
        <f t="shared" si="11"/>
        <v>2.537330967306477</v>
      </c>
      <c r="AZ18" s="3">
        <f t="shared" si="12"/>
        <v>3.2459412537597525</v>
      </c>
      <c r="BA18" s="3">
        <f t="shared" si="13"/>
        <v>1.1981756294832633</v>
      </c>
      <c r="BB18" s="3">
        <f t="shared" si="14"/>
        <v>1</v>
      </c>
      <c r="BC18" s="3">
        <f t="shared" si="24"/>
        <v>7875.6765947782314</v>
      </c>
      <c r="BD18" s="3">
        <f t="shared" si="25"/>
        <v>1.4704010097522453</v>
      </c>
      <c r="BE18" s="28" t="s">
        <v>370</v>
      </c>
      <c r="BF18" s="28">
        <v>34705.870000000003</v>
      </c>
      <c r="BH18" s="24" t="s">
        <v>64</v>
      </c>
      <c r="BI18" s="28">
        <v>2E-3</v>
      </c>
      <c r="BJ18" s="28">
        <v>2E-3</v>
      </c>
      <c r="BK18" s="28">
        <v>2E-3</v>
      </c>
    </row>
    <row r="19" spans="1:63">
      <c r="A19" s="62">
        <f t="shared" si="26"/>
        <v>4359.5128069925013</v>
      </c>
      <c r="B19" s="62">
        <f t="shared" si="27"/>
        <v>2821.5973553731251</v>
      </c>
      <c r="C19" s="62">
        <f t="shared" si="28"/>
        <v>0.81144515415670782</v>
      </c>
      <c r="D19" s="65">
        <f t="shared" si="29"/>
        <v>84.900133001236128</v>
      </c>
      <c r="E19" s="62">
        <f t="shared" si="0"/>
        <v>1.2485313676652372</v>
      </c>
      <c r="F19" s="62">
        <f t="shared" si="30"/>
        <v>2.2286129008649578</v>
      </c>
      <c r="G19" s="62">
        <f t="shared" si="31"/>
        <v>5.4618543714231294</v>
      </c>
      <c r="H19" s="62">
        <f t="shared" si="32"/>
        <v>89.439302590736887</v>
      </c>
      <c r="I19" s="62">
        <f t="shared" si="33"/>
        <v>9.838466273759721</v>
      </c>
      <c r="J19" s="62">
        <f t="shared" si="34"/>
        <v>79.600836316977166</v>
      </c>
      <c r="K19" s="62">
        <f t="shared" si="35"/>
        <v>403.46603595630893</v>
      </c>
      <c r="L19" s="62">
        <f t="shared" si="36"/>
        <v>323.87216126765003</v>
      </c>
      <c r="M19" s="62">
        <f t="shared" si="37"/>
        <v>5079.2287209206124</v>
      </c>
      <c r="N19" s="62">
        <f t="shared" si="38"/>
        <v>79.5938746886589</v>
      </c>
      <c r="O19" s="2">
        <f t="shared" si="15"/>
        <v>70.4373058683381</v>
      </c>
      <c r="P19" s="2">
        <f t="shared" si="1"/>
        <v>1.0358427333579132</v>
      </c>
      <c r="Q19" s="2">
        <f t="shared" si="2"/>
        <v>0.38464385830121584</v>
      </c>
      <c r="R19" s="2">
        <f t="shared" si="3"/>
        <v>0.3191193716639521</v>
      </c>
      <c r="S19" s="67">
        <f t="shared" si="16"/>
        <v>6122.1420756198622</v>
      </c>
      <c r="T19" s="63">
        <f t="shared" si="39"/>
        <v>15852.087520516567</v>
      </c>
      <c r="U19" s="63">
        <f t="shared" si="40"/>
        <v>11405.226790173019</v>
      </c>
      <c r="V19" s="63">
        <f t="shared" si="41"/>
        <v>0.30222126888990858</v>
      </c>
      <c r="W19" s="63">
        <f t="shared" si="42"/>
        <v>143.72514015013203</v>
      </c>
      <c r="X19" s="63">
        <f t="shared" si="43"/>
        <v>1.5454316145175488</v>
      </c>
      <c r="Y19" s="63">
        <f t="shared" si="44"/>
        <v>8.1036960591556273</v>
      </c>
      <c r="Z19" s="63">
        <f t="shared" si="45"/>
        <v>-49.237177822734097</v>
      </c>
      <c r="AA19" s="63">
        <f t="shared" si="46"/>
        <v>218.44739854854473</v>
      </c>
      <c r="AB19" s="63">
        <f t="shared" si="47"/>
        <v>24.029563077485275</v>
      </c>
      <c r="AC19" s="63">
        <f t="shared" si="48"/>
        <v>194.41783547105945</v>
      </c>
      <c r="AD19" s="63">
        <f t="shared" si="49"/>
        <v>922.85199953256313</v>
      </c>
      <c r="AE19" s="63">
        <f t="shared" si="50"/>
        <v>815.05814441996404</v>
      </c>
      <c r="AF19" s="63">
        <f t="shared" si="51"/>
        <v>17663.32784144982</v>
      </c>
      <c r="AG19" s="63">
        <f t="shared" si="52"/>
        <v>107.79385511259909</v>
      </c>
      <c r="AH19" s="2">
        <f t="shared" si="17"/>
        <v>143.72514015013203</v>
      </c>
      <c r="AI19" s="2">
        <f t="shared" si="18"/>
        <v>1.5454316145175488</v>
      </c>
      <c r="AJ19" s="2">
        <f t="shared" si="4"/>
        <v>0.82068522058110338</v>
      </c>
      <c r="AK19" s="2">
        <f t="shared" si="5"/>
        <v>0.6808806283360479</v>
      </c>
      <c r="AL19" s="67">
        <f t="shared" si="19"/>
        <v>21290.122677131134</v>
      </c>
      <c r="AM19" s="46">
        <v>0</v>
      </c>
      <c r="AN19" s="46">
        <f t="shared" si="6"/>
        <v>0</v>
      </c>
      <c r="AO19" s="46">
        <f t="shared" si="7"/>
        <v>0</v>
      </c>
      <c r="AP19" s="2">
        <f t="shared" si="53"/>
        <v>0</v>
      </c>
      <c r="AQ19" s="2">
        <f t="shared" si="20"/>
        <v>0</v>
      </c>
      <c r="AR19" s="2">
        <f t="shared" si="8"/>
        <v>0</v>
      </c>
      <c r="AS19" s="2">
        <f t="shared" si="21"/>
        <v>0</v>
      </c>
      <c r="AT19" s="64">
        <f t="shared" si="9"/>
        <v>14226.824145546145</v>
      </c>
      <c r="AU19" s="64">
        <f t="shared" si="10"/>
        <v>214.16244601847012</v>
      </c>
      <c r="AV19" s="64">
        <f t="shared" si="22"/>
        <v>2.7939629821827863</v>
      </c>
      <c r="AW19" s="64">
        <f t="shared" si="23"/>
        <v>0.40953723676570608</v>
      </c>
      <c r="AX19" s="2">
        <f t="shared" si="11"/>
        <v>214.16244601847012</v>
      </c>
      <c r="AY19" s="2">
        <f t="shared" si="11"/>
        <v>2.5812743478754623</v>
      </c>
      <c r="AZ19" s="3">
        <f t="shared" si="12"/>
        <v>3.2459412537597525</v>
      </c>
      <c r="BA19" s="3">
        <f t="shared" si="13"/>
        <v>1.2053290788823192</v>
      </c>
      <c r="BB19" s="3">
        <f t="shared" si="14"/>
        <v>1</v>
      </c>
      <c r="BC19" s="3">
        <f t="shared" si="24"/>
        <v>8666.0243583434731</v>
      </c>
      <c r="BD19" s="3">
        <f t="shared" si="25"/>
        <v>1.450684994295167</v>
      </c>
      <c r="BE19" s="28" t="s">
        <v>16</v>
      </c>
      <c r="BF19" s="28">
        <v>17.394178400000001</v>
      </c>
      <c r="BH19" s="24" t="s">
        <v>348</v>
      </c>
      <c r="BI19" s="26">
        <f>(-0.075*BI11)+0.875</f>
        <v>0.74750000000000005</v>
      </c>
      <c r="BJ19" s="26">
        <f t="shared" ref="BJ19:BK19" si="55">(-0.075*BJ11)+0.875</f>
        <v>0.71</v>
      </c>
      <c r="BK19" s="26">
        <f t="shared" si="55"/>
        <v>0.77749999999999997</v>
      </c>
    </row>
    <row r="20" spans="1:63">
      <c r="A20" s="62">
        <f t="shared" si="26"/>
        <v>5079.2287209206124</v>
      </c>
      <c r="B20" s="62">
        <f t="shared" si="27"/>
        <v>3284.8142271812221</v>
      </c>
      <c r="C20" s="62">
        <f t="shared" si="28"/>
        <v>0.78279401977169105</v>
      </c>
      <c r="D20" s="65">
        <f t="shared" si="29"/>
        <v>95.423756826942508</v>
      </c>
      <c r="E20" s="62">
        <f t="shared" si="0"/>
        <v>1.403290541572684</v>
      </c>
      <c r="F20" s="62">
        <f t="shared" si="30"/>
        <v>2.5965366211864795</v>
      </c>
      <c r="G20" s="62">
        <f t="shared" si="31"/>
        <v>5.4947446622970162</v>
      </c>
      <c r="H20" s="62">
        <f t="shared" si="32"/>
        <v>100.52556997838323</v>
      </c>
      <c r="I20" s="62">
        <f t="shared" si="33"/>
        <v>11.057973410284925</v>
      </c>
      <c r="J20" s="62">
        <f t="shared" si="34"/>
        <v>89.467596568098301</v>
      </c>
      <c r="K20" s="62">
        <f t="shared" si="35"/>
        <v>452.83272750278854</v>
      </c>
      <c r="L20" s="62">
        <f t="shared" si="36"/>
        <v>363.37295547752996</v>
      </c>
      <c r="M20" s="62">
        <f t="shared" si="37"/>
        <v>5886.7241775373459</v>
      </c>
      <c r="N20" s="62">
        <f t="shared" si="38"/>
        <v>89.459772025258587</v>
      </c>
      <c r="O20" s="2">
        <f t="shared" si="15"/>
        <v>77.986206753480786</v>
      </c>
      <c r="P20" s="2">
        <f t="shared" si="1"/>
        <v>1.1468559816688351</v>
      </c>
      <c r="Q20" s="2">
        <f t="shared" si="2"/>
        <v>0.43232160777625339</v>
      </c>
      <c r="R20" s="2">
        <f t="shared" si="3"/>
        <v>0.35332000551163373</v>
      </c>
      <c r="S20" s="67">
        <f t="shared" si="16"/>
        <v>7202.9831916338817</v>
      </c>
      <c r="T20" s="63">
        <f t="shared" si="39"/>
        <v>17663.32784144982</v>
      </c>
      <c r="U20" s="63">
        <f t="shared" si="40"/>
        <v>12684.687907579504</v>
      </c>
      <c r="V20" s="63">
        <f t="shared" si="41"/>
        <v>0.26151131451765014</v>
      </c>
      <c r="W20" s="63">
        <f t="shared" si="42"/>
        <v>138.57480247721253</v>
      </c>
      <c r="X20" s="63">
        <f t="shared" si="43"/>
        <v>1.4900516395399197</v>
      </c>
      <c r="Y20" s="63">
        <f t="shared" si="44"/>
        <v>9.0296145561317456</v>
      </c>
      <c r="Z20" s="63">
        <f t="shared" si="45"/>
        <v>-62.920180675727487</v>
      </c>
      <c r="AA20" s="63">
        <f t="shared" si="46"/>
        <v>210.61941615715097</v>
      </c>
      <c r="AB20" s="63">
        <f t="shared" si="47"/>
        <v>23.168472499646974</v>
      </c>
      <c r="AC20" s="63">
        <f t="shared" si="48"/>
        <v>187.45094365750398</v>
      </c>
      <c r="AD20" s="63">
        <f t="shared" si="49"/>
        <v>874.33453761179248</v>
      </c>
      <c r="AE20" s="63">
        <f t="shared" si="50"/>
        <v>770.40343575388306</v>
      </c>
      <c r="AF20" s="63">
        <f t="shared" si="51"/>
        <v>19375.335476458447</v>
      </c>
      <c r="AG20" s="63">
        <f t="shared" si="52"/>
        <v>103.93110185790943</v>
      </c>
      <c r="AH20" s="2">
        <f t="shared" si="17"/>
        <v>138.57480247721253</v>
      </c>
      <c r="AI20" s="2">
        <f t="shared" si="18"/>
        <v>1.4900516395399197</v>
      </c>
      <c r="AJ20" s="2">
        <f t="shared" si="4"/>
        <v>0.79127626676305962</v>
      </c>
      <c r="AK20" s="2">
        <f t="shared" si="5"/>
        <v>0.64667999448836622</v>
      </c>
      <c r="AL20" s="67">
        <f t="shared" si="19"/>
        <v>23707.619307480705</v>
      </c>
      <c r="AM20" s="46">
        <v>0</v>
      </c>
      <c r="AN20" s="46">
        <f t="shared" si="6"/>
        <v>0</v>
      </c>
      <c r="AO20" s="46">
        <f t="shared" si="7"/>
        <v>0</v>
      </c>
      <c r="AP20" s="2">
        <f t="shared" si="53"/>
        <v>0</v>
      </c>
      <c r="AQ20" s="2">
        <f t="shared" si="20"/>
        <v>0</v>
      </c>
      <c r="AR20" s="2">
        <f t="shared" si="8"/>
        <v>0</v>
      </c>
      <c r="AS20" s="2">
        <f t="shared" si="21"/>
        <v>0</v>
      </c>
      <c r="AT20" s="64">
        <f t="shared" si="9"/>
        <v>15969.502134760725</v>
      </c>
      <c r="AU20" s="64">
        <f t="shared" si="10"/>
        <v>216.56100923069332</v>
      </c>
      <c r="AV20" s="64">
        <f t="shared" si="22"/>
        <v>2.8933421811126037</v>
      </c>
      <c r="AW20" s="64">
        <f t="shared" si="23"/>
        <v>0.37525856750830489</v>
      </c>
      <c r="AX20" s="2">
        <f t="shared" si="11"/>
        <v>216.56100923069332</v>
      </c>
      <c r="AY20" s="2">
        <f t="shared" si="11"/>
        <v>2.6369076212087545</v>
      </c>
      <c r="AZ20" s="3">
        <f t="shared" si="12"/>
        <v>3.2459412537597525</v>
      </c>
      <c r="BA20" s="3">
        <f t="shared" si="13"/>
        <v>1.223597874539313</v>
      </c>
      <c r="BB20" s="3">
        <f t="shared" si="14"/>
        <v>1</v>
      </c>
      <c r="BC20" s="3">
        <f t="shared" si="24"/>
        <v>9363.5244870125207</v>
      </c>
      <c r="BD20" s="3">
        <f t="shared" si="25"/>
        <v>1.4593972079279405</v>
      </c>
      <c r="BE20" s="28" t="s">
        <v>365</v>
      </c>
      <c r="BF20" s="28">
        <v>5</v>
      </c>
      <c r="BH20" s="24" t="s">
        <v>37</v>
      </c>
      <c r="BI20" s="26">
        <f>$BF$10*BI19*$BF$7</f>
        <v>290.77750000000003</v>
      </c>
      <c r="BJ20" s="26">
        <f t="shared" ref="BJ20:BK20" si="56">$BF$10*BJ19*$BF$7</f>
        <v>276.19</v>
      </c>
      <c r="BK20" s="26">
        <f t="shared" si="56"/>
        <v>302.44749999999999</v>
      </c>
    </row>
    <row r="21" spans="1:63">
      <c r="A21" s="62">
        <f t="shared" si="26"/>
        <v>5886.7241775373459</v>
      </c>
      <c r="B21" s="62">
        <f t="shared" si="27"/>
        <v>3804.0599886754708</v>
      </c>
      <c r="C21" s="62">
        <f t="shared" si="28"/>
        <v>0.7496721302764161</v>
      </c>
      <c r="D21" s="65">
        <f t="shared" si="29"/>
        <v>105.91471330857853</v>
      </c>
      <c r="E21" s="62">
        <f t="shared" si="0"/>
        <v>1.557569313361449</v>
      </c>
      <c r="F21" s="62">
        <f t="shared" si="30"/>
        <v>3.0093338468579827</v>
      </c>
      <c r="G21" s="62">
        <f t="shared" si="31"/>
        <v>5.6861448741024603</v>
      </c>
      <c r="H21" s="62">
        <f t="shared" si="32"/>
        <v>111.57742346857312</v>
      </c>
      <c r="I21" s="62">
        <f t="shared" si="33"/>
        <v>12.273694963071586</v>
      </c>
      <c r="J21" s="62">
        <f t="shared" si="34"/>
        <v>99.303728505501525</v>
      </c>
      <c r="K21" s="62">
        <f t="shared" si="35"/>
        <v>502.20478740161008</v>
      </c>
      <c r="L21" s="62">
        <f t="shared" si="36"/>
        <v>402.90974367481772</v>
      </c>
      <c r="M21" s="62">
        <f t="shared" si="37"/>
        <v>6782.079163481385</v>
      </c>
      <c r="N21" s="62">
        <f t="shared" si="38"/>
        <v>99.295043726792358</v>
      </c>
      <c r="O21" s="2">
        <f t="shared" si="15"/>
        <v>86.446715339688581</v>
      </c>
      <c r="P21" s="2">
        <f t="shared" si="1"/>
        <v>1.2712752255836557</v>
      </c>
      <c r="Q21" s="2">
        <f t="shared" si="2"/>
        <v>0.47985135638463161</v>
      </c>
      <c r="R21" s="2">
        <f t="shared" si="3"/>
        <v>0.39165071891277942</v>
      </c>
      <c r="S21" s="67">
        <f t="shared" si="16"/>
        <v>8309.4188994179858</v>
      </c>
      <c r="T21" s="63">
        <f t="shared" si="39"/>
        <v>19375.335476458447</v>
      </c>
      <c r="U21" s="63">
        <f t="shared" si="40"/>
        <v>13895.06299076271</v>
      </c>
      <c r="V21" s="63">
        <f t="shared" si="41"/>
        <v>0.22456726026729418</v>
      </c>
      <c r="W21" s="63">
        <f t="shared" si="42"/>
        <v>130.53198014123947</v>
      </c>
      <c r="X21" s="63">
        <f t="shared" si="43"/>
        <v>1.403569678938059</v>
      </c>
      <c r="Y21" s="63">
        <f t="shared" si="44"/>
        <v>9.9048046222418318</v>
      </c>
      <c r="Z21" s="63">
        <f t="shared" si="45"/>
        <v>-73.66594467255031</v>
      </c>
      <c r="AA21" s="63">
        <f t="shared" si="46"/>
        <v>198.39515522099052</v>
      </c>
      <c r="AB21" s="63">
        <f t="shared" si="47"/>
        <v>21.823784253447378</v>
      </c>
      <c r="AC21" s="63">
        <f t="shared" si="48"/>
        <v>176.57137096754315</v>
      </c>
      <c r="AD21" s="63">
        <f t="shared" si="49"/>
        <v>809.19091016516541</v>
      </c>
      <c r="AE21" s="63">
        <f t="shared" si="50"/>
        <v>711.29192505923584</v>
      </c>
      <c r="AF21" s="63">
        <f t="shared" si="51"/>
        <v>20955.984198812304</v>
      </c>
      <c r="AG21" s="63">
        <f t="shared" si="52"/>
        <v>97.898985105929569</v>
      </c>
      <c r="AH21" s="2">
        <f t="shared" si="17"/>
        <v>130.53198014123947</v>
      </c>
      <c r="AI21" s="2">
        <f t="shared" si="18"/>
        <v>1.403569678938059</v>
      </c>
      <c r="AJ21" s="2">
        <f t="shared" si="4"/>
        <v>0.74535093027705712</v>
      </c>
      <c r="AK21" s="2">
        <f t="shared" si="5"/>
        <v>0.60834928108722064</v>
      </c>
      <c r="AL21" s="67">
        <f t="shared" si="19"/>
        <v>25675.319759631053</v>
      </c>
      <c r="AM21" s="46">
        <v>0</v>
      </c>
      <c r="AN21" s="46">
        <f t="shared" si="6"/>
        <v>0</v>
      </c>
      <c r="AO21" s="46">
        <f t="shared" si="7"/>
        <v>0</v>
      </c>
      <c r="AP21" s="2">
        <f t="shared" si="53"/>
        <v>0</v>
      </c>
      <c r="AQ21" s="2">
        <f t="shared" si="20"/>
        <v>0</v>
      </c>
      <c r="AR21" s="2">
        <f t="shared" si="8"/>
        <v>0</v>
      </c>
      <c r="AS21" s="2">
        <f t="shared" si="21"/>
        <v>0</v>
      </c>
      <c r="AT21" s="64">
        <f t="shared" si="9"/>
        <v>17699.12297943818</v>
      </c>
      <c r="AU21" s="64">
        <f t="shared" si="10"/>
        <v>216.97869548092805</v>
      </c>
      <c r="AV21" s="64">
        <f t="shared" si="22"/>
        <v>2.9611389922995079</v>
      </c>
      <c r="AW21" s="64">
        <f t="shared" si="23"/>
        <v>0.35188335499081547</v>
      </c>
      <c r="AX21" s="2">
        <f t="shared" si="11"/>
        <v>216.97869548092805</v>
      </c>
      <c r="AY21" s="2">
        <f t="shared" si="11"/>
        <v>2.6748449045217146</v>
      </c>
      <c r="AZ21" s="3">
        <f t="shared" si="12"/>
        <v>3.2459412537597525</v>
      </c>
      <c r="BA21" s="3">
        <f t="shared" si="13"/>
        <v>1.2252022866616887</v>
      </c>
      <c r="BB21" s="3">
        <f t="shared" si="14"/>
        <v>1</v>
      </c>
      <c r="BC21" s="3">
        <f t="shared" si="24"/>
        <v>9942.9144104442275</v>
      </c>
      <c r="BD21" s="3">
        <f t="shared" si="25"/>
        <v>1.4638837464722849</v>
      </c>
      <c r="BE21" s="28" t="s">
        <v>17</v>
      </c>
      <c r="BF21" s="28">
        <v>6.7061877299999999</v>
      </c>
      <c r="BH21" s="24" t="s">
        <v>349</v>
      </c>
      <c r="BI21" s="26">
        <f>(BI20-40)/(BI20+2*40)*(350+2*40)/(350-40)</f>
        <v>0.9381709011208138</v>
      </c>
      <c r="BJ21" s="26">
        <f t="shared" ref="BJ21:BK21" si="57">(BJ20-40)/(BJ20+2*40)*(350+2*40)/(350-40)</f>
        <v>0.91978547150895351</v>
      </c>
      <c r="BK21" s="26">
        <f t="shared" si="57"/>
        <v>0.95186942167267752</v>
      </c>
    </row>
    <row r="22" spans="1:63">
      <c r="A22" s="62">
        <f t="shared" si="26"/>
        <v>6782.079163481385</v>
      </c>
      <c r="B22" s="62">
        <f t="shared" si="27"/>
        <v>4378.6245863018512</v>
      </c>
      <c r="C22" s="62">
        <f t="shared" si="28"/>
        <v>0.71721705613283571</v>
      </c>
      <c r="D22" s="65">
        <f t="shared" si="29"/>
        <v>116.74134845020714</v>
      </c>
      <c r="E22" s="62">
        <f t="shared" si="0"/>
        <v>1.7167845360324581</v>
      </c>
      <c r="F22" s="62">
        <f t="shared" si="30"/>
        <v>3.4670454675987452</v>
      </c>
      <c r="G22" s="62">
        <f t="shared" si="31"/>
        <v>5.1568913130141993</v>
      </c>
      <c r="H22" s="62">
        <f t="shared" si="32"/>
        <v>122.98290261496653</v>
      </c>
      <c r="I22" s="62">
        <f t="shared" si="33"/>
        <v>13.528315903390538</v>
      </c>
      <c r="J22" s="62">
        <f t="shared" si="34"/>
        <v>109.454586711576</v>
      </c>
      <c r="K22" s="62">
        <f t="shared" si="35"/>
        <v>552.42982487089421</v>
      </c>
      <c r="L22" s="62">
        <f t="shared" si="36"/>
        <v>442.98481069882502</v>
      </c>
      <c r="M22" s="62">
        <f t="shared" si="37"/>
        <v>7766.4898539232181</v>
      </c>
      <c r="N22" s="62">
        <f t="shared" si="38"/>
        <v>109.44501417206919</v>
      </c>
      <c r="O22" s="2">
        <f t="shared" si="15"/>
        <v>94.065110891025341</v>
      </c>
      <c r="P22" s="2">
        <f t="shared" si="1"/>
        <v>1.3833104542797845</v>
      </c>
      <c r="Q22" s="2">
        <f t="shared" si="2"/>
        <v>0.52890191220926064</v>
      </c>
      <c r="R22" s="2">
        <f t="shared" si="3"/>
        <v>0.4261662014608259</v>
      </c>
      <c r="S22" s="67">
        <f t="shared" si="16"/>
        <v>9638.7543658161285</v>
      </c>
      <c r="T22" s="63">
        <f t="shared" si="39"/>
        <v>20955.984198812304</v>
      </c>
      <c r="U22" s="63">
        <f t="shared" si="40"/>
        <v>15009.280761297974</v>
      </c>
      <c r="V22" s="63">
        <f t="shared" si="41"/>
        <v>0.19838510851097224</v>
      </c>
      <c r="W22" s="63">
        <f t="shared" si="42"/>
        <v>124.72065597706795</v>
      </c>
      <c r="X22" s="63">
        <f t="shared" si="43"/>
        <v>1.341082322334064</v>
      </c>
      <c r="Y22" s="63">
        <f t="shared" si="44"/>
        <v>10.712843109644211</v>
      </c>
      <c r="Z22" s="63">
        <f t="shared" si="45"/>
        <v>-86.779427399481548</v>
      </c>
      <c r="AA22" s="63">
        <f t="shared" si="46"/>
        <v>189.56254149412612</v>
      </c>
      <c r="AB22" s="63">
        <f t="shared" si="47"/>
        <v>20.852182622578866</v>
      </c>
      <c r="AC22" s="63">
        <f t="shared" si="48"/>
        <v>168.71035887154727</v>
      </c>
      <c r="AD22" s="63">
        <f t="shared" si="49"/>
        <v>756.77236695825479</v>
      </c>
      <c r="AE22" s="63">
        <f t="shared" si="50"/>
        <v>663.23187497545382</v>
      </c>
      <c r="AF22" s="63">
        <f t="shared" si="51"/>
        <v>22429.832809868869</v>
      </c>
      <c r="AG22" s="63">
        <f t="shared" si="52"/>
        <v>93.540491982800972</v>
      </c>
      <c r="AH22" s="2">
        <f t="shared" si="17"/>
        <v>124.72065597706795</v>
      </c>
      <c r="AI22" s="2">
        <f t="shared" si="18"/>
        <v>1.341082322334064</v>
      </c>
      <c r="AJ22" s="2">
        <f t="shared" si="4"/>
        <v>0.71216767612569898</v>
      </c>
      <c r="AK22" s="2">
        <f t="shared" si="5"/>
        <v>0.57383379853917416</v>
      </c>
      <c r="AL22" s="67">
        <f t="shared" si="19"/>
        <v>27836.983371765928</v>
      </c>
      <c r="AM22" s="46">
        <v>0</v>
      </c>
      <c r="AN22" s="46">
        <f t="shared" si="6"/>
        <v>0</v>
      </c>
      <c r="AO22" s="46">
        <f t="shared" si="7"/>
        <v>0</v>
      </c>
      <c r="AP22" s="2">
        <f t="shared" si="53"/>
        <v>0</v>
      </c>
      <c r="AQ22" s="2">
        <f t="shared" si="20"/>
        <v>0</v>
      </c>
      <c r="AR22" s="2">
        <f t="shared" si="8"/>
        <v>0</v>
      </c>
      <c r="AS22" s="2">
        <f t="shared" si="21"/>
        <v>0</v>
      </c>
      <c r="AT22" s="64">
        <f t="shared" si="9"/>
        <v>19387.905347599826</v>
      </c>
      <c r="AU22" s="64">
        <f t="shared" si="10"/>
        <v>218.78576686809328</v>
      </c>
      <c r="AV22" s="64">
        <f t="shared" si="22"/>
        <v>3.0578668583665221</v>
      </c>
      <c r="AW22" s="64">
        <f t="shared" si="23"/>
        <v>0.32135423063605828</v>
      </c>
      <c r="AX22" s="2">
        <f t="shared" si="11"/>
        <v>218.78576686809328</v>
      </c>
      <c r="AY22" s="2">
        <f t="shared" si="11"/>
        <v>2.7243927766138487</v>
      </c>
      <c r="AZ22" s="3">
        <f t="shared" si="12"/>
        <v>3.2459412537597525</v>
      </c>
      <c r="BA22" s="3">
        <f t="shared" si="13"/>
        <v>1.2410695883349596</v>
      </c>
      <c r="BB22" s="3">
        <f t="shared" si="14"/>
        <v>1</v>
      </c>
      <c r="BC22" s="3">
        <f t="shared" si="24"/>
        <v>10478.854400163804</v>
      </c>
      <c r="BD22" s="3">
        <f t="shared" si="25"/>
        <v>1.5011939076263321</v>
      </c>
      <c r="BE22" s="28"/>
      <c r="BF22" s="28"/>
      <c r="BH22" s="24" t="s">
        <v>5</v>
      </c>
      <c r="BI22" s="26">
        <f>BI21*(BI12+BI13*BI11)</f>
        <v>71.516767792439637</v>
      </c>
      <c r="BJ22" s="26">
        <f t="shared" ref="BJ22:BK22" si="58">BJ21*(BJ12+BJ13*BJ11)</f>
        <v>103.18153419387444</v>
      </c>
      <c r="BK22" s="26">
        <f t="shared" si="58"/>
        <v>31.649658270616527</v>
      </c>
    </row>
    <row r="23" spans="1:63">
      <c r="A23" s="62">
        <f t="shared" si="26"/>
        <v>7766.4898539232181</v>
      </c>
      <c r="B23" s="62">
        <f t="shared" si="27"/>
        <v>5009.6299564218343</v>
      </c>
      <c r="C23" s="62">
        <f t="shared" si="28"/>
        <v>0.68007637249042185</v>
      </c>
      <c r="D23" s="65">
        <f t="shared" si="29"/>
        <v>126.76334992415445</v>
      </c>
      <c r="E23" s="62">
        <f t="shared" si="0"/>
        <v>1.8641669106493302</v>
      </c>
      <c r="F23" s="62">
        <f t="shared" si="30"/>
        <v>3.9702829763747634</v>
      </c>
      <c r="G23" s="62">
        <f t="shared" si="31"/>
        <v>4.75811098970253</v>
      </c>
      <c r="H23" s="62">
        <f t="shared" si="32"/>
        <v>133.54072850647762</v>
      </c>
      <c r="I23" s="62">
        <f t="shared" si="33"/>
        <v>14.689693630508648</v>
      </c>
      <c r="J23" s="62">
        <f t="shared" si="34"/>
        <v>118.85103487596898</v>
      </c>
      <c r="K23" s="62">
        <f t="shared" si="35"/>
        <v>599.01328536954748</v>
      </c>
      <c r="L23" s="62">
        <f t="shared" si="36"/>
        <v>480.17264481565269</v>
      </c>
      <c r="M23" s="62">
        <f t="shared" si="37"/>
        <v>8833.5401757357795</v>
      </c>
      <c r="N23" s="62">
        <f t="shared" si="38"/>
        <v>118.84064055389479</v>
      </c>
      <c r="O23" s="2">
        <f t="shared" si="15"/>
        <v>102.26869981227854</v>
      </c>
      <c r="P23" s="2">
        <f t="shared" si="1"/>
        <v>1.5039514678276256</v>
      </c>
      <c r="Q23" s="2">
        <f t="shared" si="2"/>
        <v>0.57430703913389614</v>
      </c>
      <c r="R23" s="2">
        <f t="shared" si="3"/>
        <v>0.46333292880319643</v>
      </c>
      <c r="S23" s="67">
        <f t="shared" si="16"/>
        <v>10949.285034632172</v>
      </c>
      <c r="T23" s="63">
        <f t="shared" si="39"/>
        <v>22429.832809868869</v>
      </c>
      <c r="U23" s="63">
        <f t="shared" si="40"/>
        <v>16049.901950983964</v>
      </c>
      <c r="V23" s="63">
        <f t="shared" si="41"/>
        <v>0.17312698222668579</v>
      </c>
      <c r="W23" s="63">
        <f t="shared" si="42"/>
        <v>116.49627798665104</v>
      </c>
      <c r="X23" s="63">
        <f t="shared" si="43"/>
        <v>1.2526481503940972</v>
      </c>
      <c r="Y23" s="63">
        <f t="shared" si="44"/>
        <v>11.46628464633476</v>
      </c>
      <c r="Z23" s="63">
        <f t="shared" si="45"/>
        <v>-96.478248867209118</v>
      </c>
      <c r="AA23" s="63">
        <f t="shared" si="46"/>
        <v>177.06233467707381</v>
      </c>
      <c r="AB23" s="63">
        <f t="shared" si="47"/>
        <v>19.477139888319801</v>
      </c>
      <c r="AC23" s="63">
        <f t="shared" si="48"/>
        <v>157.58519478875399</v>
      </c>
      <c r="AD23" s="63">
        <f t="shared" si="49"/>
        <v>691.44772507656091</v>
      </c>
      <c r="AE23" s="63">
        <f t="shared" si="50"/>
        <v>604.07551658657258</v>
      </c>
      <c r="AF23" s="63">
        <f t="shared" si="51"/>
        <v>23772.22284672792</v>
      </c>
      <c r="AG23" s="63">
        <f t="shared" si="52"/>
        <v>87.372208489988338</v>
      </c>
      <c r="AH23" s="2">
        <f t="shared" si="17"/>
        <v>116.49627798665104</v>
      </c>
      <c r="AI23" s="2">
        <f t="shared" si="18"/>
        <v>1.2526481503940972</v>
      </c>
      <c r="AJ23" s="2">
        <f t="shared" si="4"/>
        <v>0.66520563832105895</v>
      </c>
      <c r="AK23" s="2">
        <f t="shared" si="5"/>
        <v>0.53666707119680346</v>
      </c>
      <c r="AL23" s="67">
        <f t="shared" si="19"/>
        <v>29465.971589803583</v>
      </c>
      <c r="AM23" s="46">
        <v>0</v>
      </c>
      <c r="AN23" s="46">
        <f t="shared" si="6"/>
        <v>0</v>
      </c>
      <c r="AO23" s="46">
        <f t="shared" si="7"/>
        <v>0</v>
      </c>
      <c r="AP23" s="2">
        <f t="shared" si="53"/>
        <v>0</v>
      </c>
      <c r="AQ23" s="2">
        <f t="shared" si="20"/>
        <v>0</v>
      </c>
      <c r="AR23" s="2">
        <f t="shared" si="8"/>
        <v>0</v>
      </c>
      <c r="AS23" s="2">
        <f t="shared" si="21"/>
        <v>0</v>
      </c>
      <c r="AT23" s="64">
        <f t="shared" si="9"/>
        <v>21059.531907405799</v>
      </c>
      <c r="AU23" s="64">
        <f t="shared" si="10"/>
        <v>218.76497779892958</v>
      </c>
      <c r="AV23" s="64">
        <f t="shared" si="22"/>
        <v>3.1168150610434271</v>
      </c>
      <c r="AW23" s="64">
        <f t="shared" si="23"/>
        <v>0.30150985324902513</v>
      </c>
      <c r="AX23" s="2">
        <f t="shared" si="11"/>
        <v>218.76497779892958</v>
      </c>
      <c r="AY23" s="2">
        <f t="shared" si="11"/>
        <v>2.7565996182217227</v>
      </c>
      <c r="AZ23" s="3">
        <f t="shared" si="12"/>
        <v>3.2459412537597525</v>
      </c>
      <c r="BA23" s="3">
        <f t="shared" si="13"/>
        <v>1.2395126774549552</v>
      </c>
      <c r="BB23" s="3">
        <f t="shared" si="14"/>
        <v>0.99999999999999989</v>
      </c>
      <c r="BC23" s="3">
        <f t="shared" si="24"/>
        <v>10934.580392959582</v>
      </c>
      <c r="BD23" s="3">
        <f t="shared" si="25"/>
        <v>1.5359849286012537</v>
      </c>
      <c r="BE23" s="26" t="s">
        <v>9</v>
      </c>
      <c r="BF23" s="26">
        <f>1-BF12*POWER(BF11,BF13)</f>
        <v>0.94952466060066887</v>
      </c>
      <c r="BH23" s="24" t="s">
        <v>13</v>
      </c>
      <c r="BI23" s="26">
        <f>$BF$24*BI22</f>
        <v>7.4490082874380645</v>
      </c>
      <c r="BJ23" s="26">
        <f t="shared" ref="BJ23:BK23" si="59">$BF$24*BJ22</f>
        <v>10.74713143568545</v>
      </c>
      <c r="BK23" s="26">
        <f t="shared" si="59"/>
        <v>3.2965495229963158</v>
      </c>
    </row>
    <row r="24" spans="1:63">
      <c r="A24" s="62">
        <f t="shared" si="26"/>
        <v>8833.5401757357795</v>
      </c>
      <c r="B24" s="62">
        <f t="shared" si="27"/>
        <v>5691.8936606376956</v>
      </c>
      <c r="C24" s="62">
        <f t="shared" si="28"/>
        <v>0.64534423854462519</v>
      </c>
      <c r="D24" s="65">
        <f t="shared" si="29"/>
        <v>136.81618220072548</v>
      </c>
      <c r="E24" s="62">
        <f t="shared" si="0"/>
        <v>2.0120026794224337</v>
      </c>
      <c r="F24" s="62">
        <f t="shared" si="30"/>
        <v>4.5157664325190563</v>
      </c>
      <c r="G24" s="62">
        <f t="shared" si="31"/>
        <v>3.0841613733396542</v>
      </c>
      <c r="H24" s="62">
        <f t="shared" si="32"/>
        <v>144.13103356365664</v>
      </c>
      <c r="I24" s="62">
        <f t="shared" si="33"/>
        <v>15.854644117775461</v>
      </c>
      <c r="J24" s="62">
        <f t="shared" si="34"/>
        <v>128.27638944588119</v>
      </c>
      <c r="K24" s="62">
        <f t="shared" si="35"/>
        <v>644.46610860274563</v>
      </c>
      <c r="L24" s="62">
        <f t="shared" si="36"/>
        <v>516.2009377895655</v>
      </c>
      <c r="M24" s="62">
        <f t="shared" si="37"/>
        <v>9980.6533708237021</v>
      </c>
      <c r="N24" s="62">
        <f t="shared" si="38"/>
        <v>128.26517081318013</v>
      </c>
      <c r="O24" s="2">
        <f t="shared" si="15"/>
        <v>108.92101221544509</v>
      </c>
      <c r="P24" s="2">
        <f t="shared" si="1"/>
        <v>1.6017795914036042</v>
      </c>
      <c r="Q24" s="2">
        <f t="shared" si="2"/>
        <v>0.61985184639184221</v>
      </c>
      <c r="R24" s="2">
        <f t="shared" si="3"/>
        <v>0.4934715283427491</v>
      </c>
      <c r="S24" s="67">
        <f t="shared" si="16"/>
        <v>12536.744401198923</v>
      </c>
      <c r="T24" s="63">
        <f t="shared" si="39"/>
        <v>23772.22284672792</v>
      </c>
      <c r="U24" s="63">
        <f t="shared" si="40"/>
        <v>16994.774499163472</v>
      </c>
      <c r="V24" s="63">
        <f t="shared" si="41"/>
        <v>0.1562409034223031</v>
      </c>
      <c r="W24" s="63">
        <f t="shared" si="42"/>
        <v>111.42580721787252</v>
      </c>
      <c r="X24" s="63">
        <f t="shared" si="43"/>
        <v>1.1981269593319626</v>
      </c>
      <c r="Y24" s="63">
        <f t="shared" si="44"/>
        <v>12.152523656652184</v>
      </c>
      <c r="Z24" s="63">
        <f t="shared" si="45"/>
        <v>-108.59968863788049</v>
      </c>
      <c r="AA24" s="63">
        <f t="shared" si="46"/>
        <v>169.3557417476872</v>
      </c>
      <c r="AB24" s="63">
        <f t="shared" si="47"/>
        <v>18.629402345370558</v>
      </c>
      <c r="AC24" s="63">
        <f t="shared" si="48"/>
        <v>150.72633940231665</v>
      </c>
      <c r="AD24" s="63">
        <f t="shared" si="49"/>
        <v>645.03200837370275</v>
      </c>
      <c r="AE24" s="63">
        <f t="shared" si="50"/>
        <v>561.46265296029833</v>
      </c>
      <c r="AF24" s="63">
        <f t="shared" si="51"/>
        <v>25019.917631084139</v>
      </c>
      <c r="AG24" s="63">
        <f t="shared" si="52"/>
        <v>83.569355413404423</v>
      </c>
      <c r="AH24" s="2">
        <f t="shared" ref="AH24:AH54" si="60">MIN(W24,AH23+((W24-AH23)*$AW23))</f>
        <v>111.42580721787252</v>
      </c>
      <c r="AI24" s="2">
        <f t="shared" si="18"/>
        <v>1.1981269593319626</v>
      </c>
      <c r="AJ24" s="2">
        <f t="shared" si="4"/>
        <v>0.6362527326778411</v>
      </c>
      <c r="AK24" s="2">
        <f t="shared" ref="AK24:AK54" si="61">IF($BA24&gt;1, AJ24/$BA24, AJ24)</f>
        <v>0.50652847165725079</v>
      </c>
      <c r="AL24" s="67">
        <f t="shared" si="19"/>
        <v>31427.633104351095</v>
      </c>
      <c r="AM24" s="46">
        <v>0</v>
      </c>
      <c r="AN24" s="46">
        <f t="shared" si="6"/>
        <v>0</v>
      </c>
      <c r="AO24" s="46">
        <f t="shared" si="7"/>
        <v>0</v>
      </c>
      <c r="AP24" s="2">
        <f t="shared" si="53"/>
        <v>0</v>
      </c>
      <c r="AQ24" s="2">
        <f t="shared" si="20"/>
        <v>0</v>
      </c>
      <c r="AR24" s="2">
        <f t="shared" si="8"/>
        <v>0</v>
      </c>
      <c r="AS24" s="2">
        <f t="shared" si="21"/>
        <v>0</v>
      </c>
      <c r="AT24" s="64">
        <f t="shared" si="9"/>
        <v>22686.668159801167</v>
      </c>
      <c r="AU24" s="64">
        <f t="shared" si="10"/>
        <v>220.34681943331759</v>
      </c>
      <c r="AV24" s="64">
        <f t="shared" si="22"/>
        <v>3.2101296387543963</v>
      </c>
      <c r="AW24" s="64">
        <f t="shared" si="23"/>
        <v>0.27482610938047447</v>
      </c>
      <c r="AX24" s="2">
        <f t="shared" si="11"/>
        <v>220.34681943331759</v>
      </c>
      <c r="AY24" s="2">
        <f t="shared" si="11"/>
        <v>2.7999065507355665</v>
      </c>
      <c r="AZ24" s="3">
        <f t="shared" si="12"/>
        <v>3.2459412537597525</v>
      </c>
      <c r="BA24" s="3">
        <f t="shared" si="13"/>
        <v>1.2561045790696834</v>
      </c>
      <c r="BB24" s="3">
        <f t="shared" si="14"/>
        <v>0.99999999999999989</v>
      </c>
      <c r="BC24" s="3">
        <f t="shared" si="24"/>
        <v>11417.124617100182</v>
      </c>
      <c r="BD24" s="3">
        <f t="shared" si="25"/>
        <v>1.5997514548060627</v>
      </c>
      <c r="BE24" s="26" t="s">
        <v>358</v>
      </c>
      <c r="BF24" s="26">
        <f>0.138071-0.0024519*BF15</f>
        <v>0.10415750763593</v>
      </c>
      <c r="BH24" s="24" t="s">
        <v>352</v>
      </c>
      <c r="BI24" s="26">
        <f>BI22*BI15</f>
        <v>53.637575844329731</v>
      </c>
      <c r="BJ24" s="26">
        <f t="shared" ref="BJ24:BK24" si="62">BJ22*BJ15</f>
        <v>77.386150645405834</v>
      </c>
      <c r="BK24" s="26">
        <f t="shared" si="62"/>
        <v>23.737243702962395</v>
      </c>
    </row>
    <row r="25" spans="1:63">
      <c r="A25" s="62">
        <f t="shared" si="26"/>
        <v>9980.6533708237021</v>
      </c>
      <c r="B25" s="62">
        <f t="shared" si="27"/>
        <v>6424.6278058196576</v>
      </c>
      <c r="C25" s="62">
        <f t="shared" si="28"/>
        <v>0.60563985028218204</v>
      </c>
      <c r="D25" s="65">
        <f t="shared" si="29"/>
        <v>145.07235391737655</v>
      </c>
      <c r="E25" s="62">
        <f t="shared" si="0"/>
        <v>2.1334169693731844</v>
      </c>
      <c r="F25" s="62">
        <f t="shared" si="30"/>
        <v>5.1021785795885357</v>
      </c>
      <c r="G25" s="62">
        <f t="shared" si="31"/>
        <v>1.7564685952982586</v>
      </c>
      <c r="H25" s="62">
        <f t="shared" si="32"/>
        <v>152.8286199431254</v>
      </c>
      <c r="I25" s="62">
        <f t="shared" si="33"/>
        <v>16.811392524558965</v>
      </c>
      <c r="J25" s="62">
        <f t="shared" si="34"/>
        <v>136.01722741856645</v>
      </c>
      <c r="K25" s="62">
        <f t="shared" si="35"/>
        <v>681.84260568813056</v>
      </c>
      <c r="L25" s="62">
        <f t="shared" si="36"/>
        <v>545.83727389059004</v>
      </c>
      <c r="M25" s="62">
        <f t="shared" si="37"/>
        <v>11193.625090580568</v>
      </c>
      <c r="N25" s="62">
        <f t="shared" si="38"/>
        <v>136.00533179754052</v>
      </c>
      <c r="O25" s="2">
        <f t="shared" si="15"/>
        <v>116.14569399283666</v>
      </c>
      <c r="P25" s="2">
        <f t="shared" si="1"/>
        <v>1.7080249116593627</v>
      </c>
      <c r="Q25" s="2">
        <f t="shared" si="2"/>
        <v>0.65725680244584261</v>
      </c>
      <c r="R25" s="2">
        <f t="shared" si="3"/>
        <v>0.52620327298929659</v>
      </c>
      <c r="S25" s="67">
        <f t="shared" si="16"/>
        <v>13981.452819587819</v>
      </c>
      <c r="T25" s="63">
        <f t="shared" si="39"/>
        <v>25019.917631084139</v>
      </c>
      <c r="U25" s="63">
        <f t="shared" si="40"/>
        <v>17875.567325287608</v>
      </c>
      <c r="V25" s="63">
        <f t="shared" si="41"/>
        <v>0.13807739943583555</v>
      </c>
      <c r="W25" s="63">
        <f t="shared" si="42"/>
        <v>103.64055481796727</v>
      </c>
      <c r="X25" s="63">
        <f t="shared" si="43"/>
        <v>1.114414567935132</v>
      </c>
      <c r="Y25" s="63">
        <f t="shared" si="44"/>
        <v>12.790353803245207</v>
      </c>
      <c r="Z25" s="63">
        <f t="shared" si="45"/>
        <v>-116.55313989362332</v>
      </c>
      <c r="AA25" s="63">
        <f t="shared" si="46"/>
        <v>157.52296056530923</v>
      </c>
      <c r="AB25" s="63">
        <f t="shared" si="47"/>
        <v>17.327777497955196</v>
      </c>
      <c r="AC25" s="63">
        <f t="shared" si="48"/>
        <v>140.19518306735404</v>
      </c>
      <c r="AD25" s="63">
        <f t="shared" si="49"/>
        <v>584.42277544314686</v>
      </c>
      <c r="AE25" s="63">
        <f t="shared" si="50"/>
        <v>506.69235932967138</v>
      </c>
      <c r="AF25" s="63">
        <f t="shared" si="51"/>
        <v>26145.900651816744</v>
      </c>
      <c r="AG25" s="63">
        <f t="shared" si="52"/>
        <v>77.730416113475485</v>
      </c>
      <c r="AH25" s="2">
        <f t="shared" si="60"/>
        <v>103.64055481796727</v>
      </c>
      <c r="AI25" s="2">
        <f t="shared" si="18"/>
        <v>1.114414567935132</v>
      </c>
      <c r="AJ25" s="2">
        <f t="shared" si="4"/>
        <v>0.59179814681748477</v>
      </c>
      <c r="AK25" s="2">
        <f t="shared" si="61"/>
        <v>0.47379672701070347</v>
      </c>
      <c r="AL25" s="67">
        <f t="shared" si="19"/>
        <v>32657.666612098961</v>
      </c>
      <c r="AM25" s="46">
        <v>0</v>
      </c>
      <c r="AN25" s="46">
        <f t="shared" si="6"/>
        <v>0</v>
      </c>
      <c r="AO25" s="46">
        <f t="shared" si="7"/>
        <v>0</v>
      </c>
      <c r="AP25" s="2">
        <f t="shared" si="53"/>
        <v>0</v>
      </c>
      <c r="AQ25" s="2">
        <f t="shared" si="20"/>
        <v>0</v>
      </c>
      <c r="AR25" s="2">
        <f t="shared" si="8"/>
        <v>0</v>
      </c>
      <c r="AS25" s="2">
        <f t="shared" si="21"/>
        <v>0</v>
      </c>
      <c r="AT25" s="64">
        <f t="shared" si="9"/>
        <v>24300.195131107266</v>
      </c>
      <c r="AU25" s="64">
        <f t="shared" si="10"/>
        <v>219.78624881080393</v>
      </c>
      <c r="AV25" s="64">
        <f t="shared" si="22"/>
        <v>3.2478315373083166</v>
      </c>
      <c r="AW25" s="64">
        <f t="shared" si="23"/>
        <v>0.26094235296139034</v>
      </c>
      <c r="AX25" s="2">
        <f t="shared" si="11"/>
        <v>219.78624881080393</v>
      </c>
      <c r="AY25" s="2">
        <f t="shared" si="11"/>
        <v>2.8224394795944949</v>
      </c>
      <c r="AZ25" s="3">
        <f t="shared" si="12"/>
        <v>3.2459412537597525</v>
      </c>
      <c r="BA25" s="3">
        <f t="shared" si="13"/>
        <v>1.2490549492633274</v>
      </c>
      <c r="BB25" s="3">
        <f t="shared" si="14"/>
        <v>1</v>
      </c>
      <c r="BC25" s="3">
        <f t="shared" si="24"/>
        <v>11850.045471341091</v>
      </c>
      <c r="BD25" s="3">
        <f t="shared" si="25"/>
        <v>1.6506169667557882</v>
      </c>
      <c r="BE25" s="26" t="s">
        <v>331</v>
      </c>
      <c r="BF25" s="26"/>
      <c r="BH25" s="24" t="s">
        <v>55</v>
      </c>
      <c r="BI25" s="26">
        <f>BI24+BI23</f>
        <v>61.086584131767793</v>
      </c>
      <c r="BJ25" s="26">
        <f t="shared" ref="BJ25:BK25" si="63">BJ24+BJ23</f>
        <v>88.133282081091281</v>
      </c>
      <c r="BK25" s="26">
        <f t="shared" si="63"/>
        <v>27.033793225958711</v>
      </c>
    </row>
    <row r="26" spans="1:63">
      <c r="A26" s="62">
        <f t="shared" si="26"/>
        <v>11193.625090580568</v>
      </c>
      <c r="B26" s="62">
        <f t="shared" si="27"/>
        <v>7197.0561609831348</v>
      </c>
      <c r="C26" s="62">
        <f t="shared" si="28"/>
        <v>0.57163299378588228</v>
      </c>
      <c r="D26" s="65">
        <f t="shared" si="29"/>
        <v>153.5674901242881</v>
      </c>
      <c r="E26" s="62">
        <f t="shared" si="0"/>
        <v>2.2583454430042367</v>
      </c>
      <c r="F26" s="62">
        <f t="shared" si="30"/>
        <v>5.7222580569784398</v>
      </c>
      <c r="G26" s="62">
        <f t="shared" si="31"/>
        <v>-1.7671354421304102</v>
      </c>
      <c r="H26" s="62">
        <f t="shared" si="32"/>
        <v>161.77794700423172</v>
      </c>
      <c r="I26" s="62">
        <f t="shared" si="33"/>
        <v>17.795832808786525</v>
      </c>
      <c r="J26" s="62">
        <f t="shared" si="34"/>
        <v>143.98211419544521</v>
      </c>
      <c r="K26" s="62">
        <f t="shared" si="35"/>
        <v>718.14343553509559</v>
      </c>
      <c r="L26" s="62">
        <f t="shared" si="36"/>
        <v>574.17391354357551</v>
      </c>
      <c r="M26" s="62">
        <f t="shared" si="37"/>
        <v>12469.567120677402</v>
      </c>
      <c r="N26" s="62">
        <f t="shared" si="38"/>
        <v>143.96952199152008</v>
      </c>
      <c r="O26" s="2">
        <f t="shared" si="15"/>
        <v>121.1041075790869</v>
      </c>
      <c r="P26" s="2">
        <f t="shared" si="1"/>
        <v>1.7809427585159838</v>
      </c>
      <c r="Q26" s="2">
        <f t="shared" si="2"/>
        <v>0.69574439783480668</v>
      </c>
      <c r="R26" s="2">
        <f t="shared" si="3"/>
        <v>0.54866758800798676</v>
      </c>
      <c r="S26" s="67">
        <f t="shared" si="16"/>
        <v>15812.1814688097</v>
      </c>
      <c r="T26" s="63">
        <f t="shared" si="39"/>
        <v>26145.900651816744</v>
      </c>
      <c r="U26" s="63">
        <f t="shared" si="40"/>
        <v>18667.230017607857</v>
      </c>
      <c r="V26" s="63">
        <f t="shared" si="41"/>
        <v>0.12778156496263945</v>
      </c>
      <c r="W26" s="63">
        <f t="shared" si="42"/>
        <v>100.22892307940516</v>
      </c>
      <c r="X26" s="63">
        <f t="shared" si="43"/>
        <v>1.0777303556925286</v>
      </c>
      <c r="Y26" s="63">
        <f t="shared" si="44"/>
        <v>13.365964060000188</v>
      </c>
      <c r="Z26" s="63">
        <f t="shared" si="45"/>
        <v>-127.7641679922591</v>
      </c>
      <c r="AA26" s="63">
        <f t="shared" si="46"/>
        <v>152.33763197689348</v>
      </c>
      <c r="AB26" s="63">
        <f t="shared" si="47"/>
        <v>16.757383063319097</v>
      </c>
      <c r="AC26" s="63">
        <f t="shared" si="48"/>
        <v>135.58024891357439</v>
      </c>
      <c r="AD26" s="63">
        <f t="shared" si="49"/>
        <v>550.13707657561292</v>
      </c>
      <c r="AE26" s="63">
        <f t="shared" si="50"/>
        <v>474.96538426605906</v>
      </c>
      <c r="AF26" s="63">
        <f t="shared" si="51"/>
        <v>27201.379283519098</v>
      </c>
      <c r="AG26" s="63">
        <f t="shared" si="52"/>
        <v>75.171692309553862</v>
      </c>
      <c r="AH26" s="2">
        <f t="shared" si="60"/>
        <v>100.22892307940516</v>
      </c>
      <c r="AI26" s="2">
        <f t="shared" si="18"/>
        <v>1.0777303556925286</v>
      </c>
      <c r="AJ26" s="2">
        <f t="shared" si="4"/>
        <v>0.57231738135795096</v>
      </c>
      <c r="AK26" s="2">
        <f t="shared" si="61"/>
        <v>0.45133241199201318</v>
      </c>
      <c r="AL26" s="67">
        <f t="shared" si="19"/>
        <v>34493.029410756251</v>
      </c>
      <c r="AM26" s="46">
        <v>0</v>
      </c>
      <c r="AN26" s="46">
        <f t="shared" si="6"/>
        <v>0</v>
      </c>
      <c r="AO26" s="46">
        <f t="shared" si="7"/>
        <v>0</v>
      </c>
      <c r="AP26" s="2">
        <f t="shared" si="53"/>
        <v>0</v>
      </c>
      <c r="AQ26" s="2">
        <f t="shared" si="20"/>
        <v>0</v>
      </c>
      <c r="AR26" s="2">
        <f t="shared" si="8"/>
        <v>0</v>
      </c>
      <c r="AS26" s="2">
        <f t="shared" si="21"/>
        <v>0</v>
      </c>
      <c r="AT26" s="64">
        <f t="shared" si="9"/>
        <v>25864.286178590992</v>
      </c>
      <c r="AU26" s="64">
        <f t="shared" si="10"/>
        <v>221.33303065849208</v>
      </c>
      <c r="AV26" s="64">
        <f t="shared" si="22"/>
        <v>3.3360757986967653</v>
      </c>
      <c r="AW26" s="64">
        <f t="shared" si="23"/>
        <v>0.23861685056848758</v>
      </c>
      <c r="AX26" s="2">
        <f t="shared" si="11"/>
        <v>221.33303065849208</v>
      </c>
      <c r="AY26" s="2">
        <f t="shared" si="11"/>
        <v>2.8586731142085124</v>
      </c>
      <c r="AZ26" s="3">
        <f t="shared" si="12"/>
        <v>3.2459412537597525</v>
      </c>
      <c r="BA26" s="3">
        <f t="shared" si="13"/>
        <v>1.2680617791927578</v>
      </c>
      <c r="BB26" s="3">
        <f t="shared" si="14"/>
        <v>1</v>
      </c>
      <c r="BC26" s="3">
        <f t="shared" si="24"/>
        <v>12373.917393661302</v>
      </c>
      <c r="BD26" s="3">
        <f t="shared" si="25"/>
        <v>1.725495588013682</v>
      </c>
      <c r="BE26" s="28" t="s">
        <v>339</v>
      </c>
      <c r="BF26" s="28">
        <v>0</v>
      </c>
      <c r="BH26" s="24" t="s">
        <v>353</v>
      </c>
      <c r="BI26" s="26">
        <f>$BF$16*(BI25*$BF$23*$BF$17*12)/1000000000</f>
        <v>1.115414432965653</v>
      </c>
      <c r="BJ26" s="26">
        <f t="shared" ref="BJ26:BK26" si="64">$BF$16*(BJ25*$BF$23*$BF$17*12)/1000000000</f>
        <v>1.6092753630786054</v>
      </c>
      <c r="BK26" s="26">
        <f t="shared" si="64"/>
        <v>0.49362529548222134</v>
      </c>
    </row>
    <row r="27" spans="1:63">
      <c r="A27" s="62">
        <f t="shared" si="26"/>
        <v>12469.567120677402</v>
      </c>
      <c r="B27" s="62">
        <f t="shared" si="27"/>
        <v>8009.3947761510517</v>
      </c>
      <c r="C27" s="62">
        <f t="shared" si="28"/>
        <v>0.53126875345128011</v>
      </c>
      <c r="D27" s="65">
        <f t="shared" si="29"/>
        <v>158.99259312670446</v>
      </c>
      <c r="E27" s="62">
        <f t="shared" si="0"/>
        <v>2.3381263695103596</v>
      </c>
      <c r="F27" s="62">
        <f t="shared" si="30"/>
        <v>6.374528389679063</v>
      </c>
      <c r="G27" s="62">
        <f t="shared" si="31"/>
        <v>-4.0714855916456827</v>
      </c>
      <c r="H27" s="62">
        <f t="shared" si="32"/>
        <v>167.49310211490706</v>
      </c>
      <c r="I27" s="62">
        <f t="shared" si="33"/>
        <v>18.424509007917671</v>
      </c>
      <c r="J27" s="62">
        <f t="shared" si="34"/>
        <v>149.0685931069894</v>
      </c>
      <c r="K27" s="62">
        <f t="shared" si="35"/>
        <v>741.2714799433013</v>
      </c>
      <c r="L27" s="62">
        <f t="shared" si="36"/>
        <v>592.21592388701583</v>
      </c>
      <c r="M27" s="62">
        <f t="shared" si="37"/>
        <v>13785.602507092994</v>
      </c>
      <c r="N27" s="62">
        <f t="shared" si="38"/>
        <v>149.05555605628547</v>
      </c>
      <c r="O27" s="2">
        <f t="shared" si="15"/>
        <v>127.12001952542309</v>
      </c>
      <c r="P27" s="2">
        <f t="shared" si="1"/>
        <v>1.8694120518444572</v>
      </c>
      <c r="Q27" s="2">
        <f t="shared" si="2"/>
        <v>0.72032307017328889</v>
      </c>
      <c r="R27" s="2">
        <f t="shared" si="3"/>
        <v>0.57592294675053946</v>
      </c>
      <c r="S27" s="67">
        <f t="shared" si="16"/>
        <v>17242.041801121395</v>
      </c>
      <c r="T27" s="63">
        <f t="shared" si="39"/>
        <v>27201.379283519098</v>
      </c>
      <c r="U27" s="63">
        <f t="shared" si="40"/>
        <v>19413.208214377963</v>
      </c>
      <c r="V27" s="63">
        <f t="shared" si="41"/>
        <v>0.1138286703330556</v>
      </c>
      <c r="W27" s="63">
        <f t="shared" si="42"/>
        <v>92.8889050520431</v>
      </c>
      <c r="X27" s="63">
        <f t="shared" si="43"/>
        <v>0.99880543066713012</v>
      </c>
      <c r="Y27" s="63">
        <f t="shared" si="44"/>
        <v>13.905531988651809</v>
      </c>
      <c r="Z27" s="63">
        <f t="shared" si="45"/>
        <v>-133.49469882768724</v>
      </c>
      <c r="AA27" s="63">
        <f t="shared" si="46"/>
        <v>141.18156114821466</v>
      </c>
      <c r="AB27" s="63">
        <f t="shared" si="47"/>
        <v>15.530197436683869</v>
      </c>
      <c r="AC27" s="63">
        <f t="shared" si="48"/>
        <v>125.65136371153079</v>
      </c>
      <c r="AD27" s="63">
        <f t="shared" si="49"/>
        <v>494.7621197299668</v>
      </c>
      <c r="AE27" s="63">
        <f t="shared" si="50"/>
        <v>425.09544094093445</v>
      </c>
      <c r="AF27" s="63">
        <f t="shared" si="51"/>
        <v>28146.035818943397</v>
      </c>
      <c r="AG27" s="63">
        <f t="shared" si="52"/>
        <v>69.666678789032346</v>
      </c>
      <c r="AH27" s="2">
        <f t="shared" si="60"/>
        <v>92.8889050520431</v>
      </c>
      <c r="AI27" s="2">
        <f t="shared" si="18"/>
        <v>0.99880543066713012</v>
      </c>
      <c r="AJ27" s="2">
        <f t="shared" si="4"/>
        <v>0.53040512921081417</v>
      </c>
      <c r="AK27" s="2">
        <f t="shared" si="61"/>
        <v>0.42407705324946054</v>
      </c>
      <c r="AL27" s="67">
        <f t="shared" si="19"/>
        <v>35203.040699627541</v>
      </c>
      <c r="AM27" s="46">
        <v>0</v>
      </c>
      <c r="AN27" s="46">
        <f t="shared" si="6"/>
        <v>0</v>
      </c>
      <c r="AO27" s="46">
        <f t="shared" si="7"/>
        <v>0</v>
      </c>
      <c r="AP27" s="2">
        <f t="shared" si="53"/>
        <v>0</v>
      </c>
      <c r="AQ27" s="2">
        <f t="shared" si="20"/>
        <v>0</v>
      </c>
      <c r="AR27" s="2">
        <f t="shared" si="8"/>
        <v>0</v>
      </c>
      <c r="AS27" s="2">
        <f t="shared" si="21"/>
        <v>0</v>
      </c>
      <c r="AT27" s="64">
        <f t="shared" si="9"/>
        <v>27422.602990529012</v>
      </c>
      <c r="AU27" s="64">
        <f t="shared" si="10"/>
        <v>220.00892457746619</v>
      </c>
      <c r="AV27" s="64">
        <f t="shared" si="22"/>
        <v>3.3369318001774895</v>
      </c>
      <c r="AW27" s="64">
        <f t="shared" si="23"/>
        <v>0.23273604894152045</v>
      </c>
      <c r="AX27" s="2">
        <f t="shared" si="11"/>
        <v>220.00892457746619</v>
      </c>
      <c r="AY27" s="2">
        <f t="shared" si="11"/>
        <v>2.8682174825115876</v>
      </c>
      <c r="AZ27" s="3">
        <f t="shared" si="12"/>
        <v>3.2459412537597525</v>
      </c>
      <c r="BA27" s="3">
        <f t="shared" si="13"/>
        <v>1.2507281993841031</v>
      </c>
      <c r="BB27" s="3">
        <f t="shared" si="14"/>
        <v>1</v>
      </c>
      <c r="BC27" s="3">
        <f t="shared" si="24"/>
        <v>12845.49037484092</v>
      </c>
      <c r="BD27" s="3">
        <f t="shared" si="25"/>
        <v>1.7701510924104218</v>
      </c>
      <c r="BH27" s="24" t="s">
        <v>360</v>
      </c>
      <c r="BI27" s="26">
        <f>3.22-0.046*(AVERAGE($BF$15,BI17))</f>
        <v>2.3924251481000001</v>
      </c>
      <c r="BJ27" s="26">
        <f t="shared" ref="BJ27:BK27" si="65">3.22-0.046*(AVERAGE($BF$15,BJ17))</f>
        <v>2.3924251481000001</v>
      </c>
      <c r="BK27" s="26">
        <f t="shared" si="65"/>
        <v>2.3924251481000001</v>
      </c>
    </row>
    <row r="28" spans="1:63">
      <c r="A28" s="62">
        <f t="shared" si="26"/>
        <v>13785.602507092994</v>
      </c>
      <c r="B28" s="62">
        <f t="shared" si="27"/>
        <v>8843.9221725952902</v>
      </c>
      <c r="C28" s="62">
        <f t="shared" si="28"/>
        <v>0.5017357601661927</v>
      </c>
      <c r="D28" s="65">
        <f t="shared" si="29"/>
        <v>166.00151407788661</v>
      </c>
      <c r="E28" s="62">
        <f t="shared" si="0"/>
        <v>2.4411987364395089</v>
      </c>
      <c r="F28" s="62">
        <f t="shared" si="30"/>
        <v>7.0472947216086936</v>
      </c>
      <c r="G28" s="62">
        <f t="shared" si="31"/>
        <v>-10.212661938067839</v>
      </c>
      <c r="H28" s="62">
        <f t="shared" si="32"/>
        <v>174.87675370209845</v>
      </c>
      <c r="I28" s="62">
        <f t="shared" si="33"/>
        <v>19.236722486931296</v>
      </c>
      <c r="J28" s="62">
        <f t="shared" si="34"/>
        <v>155.64003121516717</v>
      </c>
      <c r="K28" s="62">
        <f t="shared" si="35"/>
        <v>767.98749413776795</v>
      </c>
      <c r="L28" s="62">
        <f t="shared" si="36"/>
        <v>612.36107468974922</v>
      </c>
      <c r="M28" s="62">
        <f t="shared" si="37"/>
        <v>15146.404895292437</v>
      </c>
      <c r="N28" s="62">
        <f t="shared" si="38"/>
        <v>155.62641944801874</v>
      </c>
      <c r="O28" s="2">
        <f t="shared" si="15"/>
        <v>130.00413639234694</v>
      </c>
      <c r="P28" s="2">
        <f t="shared" si="1"/>
        <v>1.9118255351815725</v>
      </c>
      <c r="Q28" s="2">
        <f t="shared" si="2"/>
        <v>0.75207730072498524</v>
      </c>
      <c r="R28" s="2">
        <f t="shared" si="3"/>
        <v>0.58898956749975606</v>
      </c>
      <c r="S28" s="67">
        <f t="shared" si="16"/>
        <v>19340.354970453624</v>
      </c>
      <c r="T28" s="63">
        <f t="shared" si="39"/>
        <v>28146.035818943397</v>
      </c>
      <c r="U28" s="63">
        <f t="shared" si="40"/>
        <v>20076.574336501857</v>
      </c>
      <c r="V28" s="63">
        <f t="shared" si="41"/>
        <v>0.10884923013116873</v>
      </c>
      <c r="W28" s="63">
        <f t="shared" si="42"/>
        <v>91.910229904088638</v>
      </c>
      <c r="X28" s="63">
        <f t="shared" si="43"/>
        <v>0.98828204197944769</v>
      </c>
      <c r="Y28" s="63">
        <f t="shared" si="44"/>
        <v>14.388446900234637</v>
      </c>
      <c r="Z28" s="63">
        <f t="shared" si="45"/>
        <v>-144.35428747062318</v>
      </c>
      <c r="AA28" s="63">
        <f t="shared" si="46"/>
        <v>139.69407580033854</v>
      </c>
      <c r="AB28" s="63">
        <f t="shared" si="47"/>
        <v>15.366571670338653</v>
      </c>
      <c r="AC28" s="63">
        <f t="shared" si="48"/>
        <v>124.32750412999988</v>
      </c>
      <c r="AD28" s="63">
        <f t="shared" si="49"/>
        <v>477.28323317937623</v>
      </c>
      <c r="AE28" s="63">
        <f t="shared" si="50"/>
        <v>408.35056075130973</v>
      </c>
      <c r="AF28" s="63">
        <f t="shared" si="51"/>
        <v>29053.481509501864</v>
      </c>
      <c r="AG28" s="63">
        <f t="shared" si="52"/>
        <v>68.932672428066496</v>
      </c>
      <c r="AH28" s="2">
        <f t="shared" si="60"/>
        <v>91.910229904088638</v>
      </c>
      <c r="AI28" s="2">
        <f t="shared" si="18"/>
        <v>0.98828204197944769</v>
      </c>
      <c r="AJ28" s="2">
        <f t="shared" si="4"/>
        <v>0.52481679422058725</v>
      </c>
      <c r="AK28" s="2">
        <f t="shared" si="61"/>
        <v>0.41101043250024388</v>
      </c>
      <c r="AL28" s="67">
        <f t="shared" si="19"/>
        <v>37098.218977093311</v>
      </c>
      <c r="AM28" s="46">
        <v>0</v>
      </c>
      <c r="AN28" s="46">
        <f t="shared" si="6"/>
        <v>0</v>
      </c>
      <c r="AO28" s="46">
        <f t="shared" si="7"/>
        <v>0</v>
      </c>
      <c r="AP28" s="2">
        <f t="shared" si="53"/>
        <v>0</v>
      </c>
      <c r="AQ28" s="2">
        <f t="shared" si="20"/>
        <v>0</v>
      </c>
      <c r="AR28" s="2">
        <f t="shared" si="8"/>
        <v>0</v>
      </c>
      <c r="AS28" s="2">
        <f t="shared" si="21"/>
        <v>0</v>
      </c>
      <c r="AT28" s="64">
        <f t="shared" si="9"/>
        <v>28920.496509097145</v>
      </c>
      <c r="AU28" s="64">
        <f t="shared" si="10"/>
        <v>221.91436629643556</v>
      </c>
      <c r="AV28" s="64">
        <f t="shared" si="22"/>
        <v>3.4294807784189567</v>
      </c>
      <c r="AW28" s="64">
        <f t="shared" si="23"/>
        <v>0.21308683649043592</v>
      </c>
      <c r="AX28" s="2">
        <f t="shared" si="11"/>
        <v>221.91436629643556</v>
      </c>
      <c r="AY28" s="2">
        <f t="shared" si="11"/>
        <v>2.9001075771610201</v>
      </c>
      <c r="AZ28" s="3">
        <f t="shared" si="12"/>
        <v>3.2459412537597525</v>
      </c>
      <c r="BA28" s="3">
        <f t="shared" si="13"/>
        <v>1.2768940949455725</v>
      </c>
      <c r="BB28" s="3">
        <f t="shared" si="14"/>
        <v>1</v>
      </c>
      <c r="BC28" s="3">
        <f t="shared" si="24"/>
        <v>13460.659396607327</v>
      </c>
      <c r="BD28" s="3">
        <f t="shared" si="25"/>
        <v>1.8440348174626542</v>
      </c>
      <c r="BH28" s="24" t="s">
        <v>15</v>
      </c>
      <c r="BI28" s="26">
        <f>POWER(BI27,($BF$15-BI17)/10)</f>
        <v>0.48402065027357977</v>
      </c>
      <c r="BJ28" s="26">
        <f t="shared" ref="BJ28:BK28" si="66">POWER(BJ27,($BF$15-BJ17)/10)</f>
        <v>0.48402065027357977</v>
      </c>
      <c r="BK28" s="26">
        <f t="shared" si="66"/>
        <v>0.48402065027357977</v>
      </c>
    </row>
    <row r="29" spans="1:63">
      <c r="A29" s="62">
        <f t="shared" si="26"/>
        <v>15146.404895292437</v>
      </c>
      <c r="B29" s="62">
        <f t="shared" si="27"/>
        <v>9708.236598112122</v>
      </c>
      <c r="C29" s="62">
        <f t="shared" si="28"/>
        <v>0.46134266742569635</v>
      </c>
      <c r="D29" s="65">
        <f t="shared" si="29"/>
        <v>167.7043880712921</v>
      </c>
      <c r="E29" s="62">
        <f t="shared" si="0"/>
        <v>2.466241001048413</v>
      </c>
      <c r="F29" s="62">
        <f t="shared" si="30"/>
        <v>7.7429462524414001</v>
      </c>
      <c r="G29" s="62">
        <f t="shared" si="31"/>
        <v>-12.755910213359513</v>
      </c>
      <c r="H29" s="62">
        <f t="shared" si="32"/>
        <v>176.67067153221387</v>
      </c>
      <c r="I29" s="62">
        <f t="shared" si="33"/>
        <v>19.434056316223867</v>
      </c>
      <c r="J29" s="62">
        <f t="shared" si="34"/>
        <v>157.23661521599001</v>
      </c>
      <c r="K29" s="62">
        <f t="shared" si="35"/>
        <v>773.4271658665906</v>
      </c>
      <c r="L29" s="62">
        <f t="shared" si="36"/>
        <v>616.20430204975423</v>
      </c>
      <c r="M29" s="62">
        <f t="shared" si="37"/>
        <v>16515.747788736335</v>
      </c>
      <c r="N29" s="62">
        <f t="shared" si="38"/>
        <v>157.22286381683637</v>
      </c>
      <c r="O29" s="2">
        <f t="shared" si="15"/>
        <v>135.18439717868603</v>
      </c>
      <c r="P29" s="2">
        <f t="shared" si="1"/>
        <v>1.9880058408630299</v>
      </c>
      <c r="Q29" s="2">
        <f t="shared" si="2"/>
        <v>0.75979224768525377</v>
      </c>
      <c r="R29" s="2">
        <f t="shared" si="3"/>
        <v>0.61245897120298642</v>
      </c>
      <c r="S29" s="67">
        <f t="shared" si="16"/>
        <v>20488.780023842275</v>
      </c>
      <c r="T29" s="63">
        <f t="shared" si="39"/>
        <v>29053.481509501864</v>
      </c>
      <c r="U29" s="63">
        <f t="shared" si="40"/>
        <v>20719.882101650412</v>
      </c>
      <c r="V29" s="63">
        <f t="shared" si="41"/>
        <v>9.6598912503296941E-2</v>
      </c>
      <c r="W29" s="63">
        <f t="shared" si="42"/>
        <v>84.196041547575788</v>
      </c>
      <c r="X29" s="63">
        <f t="shared" si="43"/>
        <v>0.90533378008146004</v>
      </c>
      <c r="Y29" s="63">
        <f t="shared" si="44"/>
        <v>14.852339372248743</v>
      </c>
      <c r="Z29" s="63">
        <f t="shared" si="45"/>
        <v>-147.18361873532751</v>
      </c>
      <c r="AA29" s="63">
        <f t="shared" si="46"/>
        <v>127.96930463898539</v>
      </c>
      <c r="AB29" s="63">
        <f t="shared" si="47"/>
        <v>14.076828097914257</v>
      </c>
      <c r="AC29" s="63">
        <f t="shared" si="48"/>
        <v>113.89247654107113</v>
      </c>
      <c r="AD29" s="63">
        <f t="shared" si="49"/>
        <v>422.27876397002819</v>
      </c>
      <c r="AE29" s="63">
        <f t="shared" si="50"/>
        <v>359.13173280934637</v>
      </c>
      <c r="AF29" s="63">
        <f t="shared" si="51"/>
        <v>29851.552026855967</v>
      </c>
      <c r="AG29" s="63">
        <f t="shared" si="52"/>
        <v>63.14703116068182</v>
      </c>
      <c r="AH29" s="2">
        <f t="shared" si="60"/>
        <v>84.196041547575788</v>
      </c>
      <c r="AI29" s="2">
        <f t="shared" si="18"/>
        <v>0.90533378008146004</v>
      </c>
      <c r="AJ29" s="2">
        <f t="shared" si="4"/>
        <v>0.48076799130165609</v>
      </c>
      <c r="AK29" s="2">
        <f t="shared" si="61"/>
        <v>0.38754102879701358</v>
      </c>
      <c r="AL29" s="67">
        <f t="shared" si="19"/>
        <v>37032.648516566616</v>
      </c>
      <c r="AM29" s="46">
        <v>0</v>
      </c>
      <c r="AN29" s="46">
        <f t="shared" si="6"/>
        <v>0</v>
      </c>
      <c r="AO29" s="46">
        <f t="shared" si="7"/>
        <v>0</v>
      </c>
      <c r="AP29" s="2">
        <f t="shared" si="53"/>
        <v>0</v>
      </c>
      <c r="AQ29" s="2">
        <f t="shared" si="20"/>
        <v>0</v>
      </c>
      <c r="AR29" s="2">
        <f t="shared" si="8"/>
        <v>0</v>
      </c>
      <c r="AS29" s="2">
        <f t="shared" si="21"/>
        <v>0</v>
      </c>
      <c r="AT29" s="64">
        <f t="shared" si="9"/>
        <v>30428.118699762534</v>
      </c>
      <c r="AU29" s="64">
        <f t="shared" si="10"/>
        <v>219.38043872626181</v>
      </c>
      <c r="AV29" s="64">
        <f t="shared" si="22"/>
        <v>3.3715747811298731</v>
      </c>
      <c r="AW29" s="64">
        <f t="shared" si="23"/>
        <v>0.21725694043713617</v>
      </c>
      <c r="AX29" s="2">
        <f t="shared" si="11"/>
        <v>219.38043872626181</v>
      </c>
      <c r="AY29" s="2">
        <f t="shared" si="11"/>
        <v>2.8933396209444897</v>
      </c>
      <c r="AZ29" s="3">
        <f t="shared" si="12"/>
        <v>3.2459412537597525</v>
      </c>
      <c r="BA29" s="3">
        <f t="shared" si="13"/>
        <v>1.2405602389869099</v>
      </c>
      <c r="BB29" s="3">
        <f t="shared" si="14"/>
        <v>1</v>
      </c>
      <c r="BC29" s="3">
        <f t="shared" si="24"/>
        <v>13975.70102530136</v>
      </c>
      <c r="BD29" s="3">
        <f t="shared" si="25"/>
        <v>1.8613254107781927</v>
      </c>
      <c r="BH29" s="24" t="s">
        <v>356</v>
      </c>
      <c r="BI29" s="26">
        <f>BI23*BI28*$BF$16*3600*24*12/1000000000</f>
        <v>0.11588281344172305</v>
      </c>
      <c r="BJ29" s="26">
        <f t="shared" ref="BJ29:BK29" si="67">BJ23*BJ28*$BF$16*3600*24*12/1000000000</f>
        <v>0.16719109163772278</v>
      </c>
      <c r="BK29" s="26">
        <f t="shared" si="67"/>
        <v>5.1283797605515734E-2</v>
      </c>
    </row>
    <row r="30" spans="1:63">
      <c r="A30" s="62">
        <f t="shared" si="26"/>
        <v>16515.747788736335</v>
      </c>
      <c r="B30" s="62">
        <f t="shared" si="27"/>
        <v>10572.625494975182</v>
      </c>
      <c r="C30" s="62">
        <f t="shared" si="28"/>
        <v>0.44062936417514276</v>
      </c>
      <c r="D30" s="65">
        <f t="shared" si="29"/>
        <v>174.65576272866986</v>
      </c>
      <c r="E30" s="62">
        <f t="shared" si="0"/>
        <v>2.5684670989510274</v>
      </c>
      <c r="F30" s="62">
        <f t="shared" si="30"/>
        <v>8.4429637482363304</v>
      </c>
      <c r="G30" s="62">
        <f t="shared" si="31"/>
        <v>-22.687794389901043</v>
      </c>
      <c r="H30" s="62">
        <f t="shared" si="32"/>
        <v>183.99370012386211</v>
      </c>
      <c r="I30" s="62">
        <f t="shared" si="33"/>
        <v>20.239601168808296</v>
      </c>
      <c r="J30" s="62">
        <f t="shared" si="34"/>
        <v>163.75409895505382</v>
      </c>
      <c r="K30" s="62">
        <f t="shared" si="35"/>
        <v>796.08270038536807</v>
      </c>
      <c r="L30" s="62">
        <f t="shared" si="36"/>
        <v>632.34292282724005</v>
      </c>
      <c r="M30" s="62">
        <f t="shared" si="37"/>
        <v>17920.95428390798</v>
      </c>
      <c r="N30" s="62">
        <f t="shared" si="38"/>
        <v>163.73977755812803</v>
      </c>
      <c r="O30" s="2">
        <f t="shared" si="15"/>
        <v>135.67553401938605</v>
      </c>
      <c r="P30" s="2">
        <f t="shared" si="1"/>
        <v>1.9952284414615595</v>
      </c>
      <c r="Q30" s="2">
        <f t="shared" si="2"/>
        <v>0.79128576217329527</v>
      </c>
      <c r="R30" s="2">
        <f t="shared" si="3"/>
        <v>0.61468408867551116</v>
      </c>
      <c r="S30" s="67">
        <f t="shared" si="16"/>
        <v>23069.730013624572</v>
      </c>
      <c r="T30" s="63">
        <f t="shared" si="39"/>
        <v>29851.552026855967</v>
      </c>
      <c r="U30" s="63">
        <f t="shared" si="40"/>
        <v>21278.797980615313</v>
      </c>
      <c r="V30" s="63">
        <f t="shared" si="41"/>
        <v>9.6998782069346784E-2</v>
      </c>
      <c r="W30" s="63">
        <f t="shared" si="42"/>
        <v>86.866925684543077</v>
      </c>
      <c r="X30" s="63">
        <f t="shared" si="43"/>
        <v>0.93405296434992557</v>
      </c>
      <c r="Y30" s="63">
        <f t="shared" si="44"/>
        <v>15.260318504211041</v>
      </c>
      <c r="Z30" s="63">
        <f t="shared" si="45"/>
        <v>-159.06690744789506</v>
      </c>
      <c r="AA30" s="63">
        <f t="shared" si="46"/>
        <v>132.02877322559192</v>
      </c>
      <c r="AB30" s="63">
        <f t="shared" si="47"/>
        <v>14.523376132411697</v>
      </c>
      <c r="AC30" s="63">
        <f t="shared" si="48"/>
        <v>117.50539709318022</v>
      </c>
      <c r="AD30" s="63">
        <f t="shared" si="49"/>
        <v>428.46007801800607</v>
      </c>
      <c r="AE30" s="63">
        <f t="shared" si="50"/>
        <v>363.30988375459879</v>
      </c>
      <c r="AF30" s="63">
        <f t="shared" si="51"/>
        <v>30658.90732408841</v>
      </c>
      <c r="AG30" s="63">
        <f t="shared" si="52"/>
        <v>65.150194263407286</v>
      </c>
      <c r="AH30" s="2">
        <f t="shared" si="60"/>
        <v>84.776309663435384</v>
      </c>
      <c r="AI30" s="2">
        <f t="shared" si="18"/>
        <v>0.91157322218747727</v>
      </c>
      <c r="AJ30" s="2">
        <f t="shared" si="4"/>
        <v>0.49601901234643575</v>
      </c>
      <c r="AK30" s="2">
        <f t="shared" si="61"/>
        <v>0.38531591132448884</v>
      </c>
      <c r="AL30" s="67">
        <f t="shared" si="19"/>
        <v>39467.35777985696</v>
      </c>
      <c r="AM30" s="46">
        <v>0</v>
      </c>
      <c r="AN30" s="46">
        <f t="shared" si="6"/>
        <v>0</v>
      </c>
      <c r="AO30" s="46">
        <f t="shared" si="7"/>
        <v>0</v>
      </c>
      <c r="AP30" s="2">
        <f t="shared" si="53"/>
        <v>0</v>
      </c>
      <c r="AQ30" s="2">
        <f t="shared" si="20"/>
        <v>0</v>
      </c>
      <c r="AR30" s="2">
        <f t="shared" si="8"/>
        <v>0</v>
      </c>
      <c r="AS30" s="2">
        <f t="shared" si="21"/>
        <v>0</v>
      </c>
      <c r="AT30" s="64">
        <f t="shared" si="9"/>
        <v>31851.423475590494</v>
      </c>
      <c r="AU30" s="64">
        <f t="shared" si="10"/>
        <v>220.45184368282145</v>
      </c>
      <c r="AV30" s="64">
        <f t="shared" si="22"/>
        <v>3.502520063300953</v>
      </c>
      <c r="AW30" s="64">
        <f t="shared" si="23"/>
        <v>0.20896224767955518</v>
      </c>
      <c r="AX30" s="2">
        <f t="shared" si="11"/>
        <v>220.45184368282145</v>
      </c>
      <c r="AY30" s="2">
        <f t="shared" si="11"/>
        <v>2.9068016636490368</v>
      </c>
      <c r="AZ30" s="3">
        <f t="shared" si="12"/>
        <v>3.2459412537597525</v>
      </c>
      <c r="BA30" s="3">
        <f t="shared" si="13"/>
        <v>1.287304774519731</v>
      </c>
      <c r="BB30" s="3">
        <f t="shared" si="14"/>
        <v>1</v>
      </c>
      <c r="BC30" s="3">
        <f t="shared" si="24"/>
        <v>14697.884103076776</v>
      </c>
      <c r="BD30" s="3">
        <f t="shared" si="25"/>
        <v>1.9387013271955782</v>
      </c>
      <c r="BH30" s="24" t="s">
        <v>367</v>
      </c>
      <c r="BI30" s="26">
        <f>BI18*BI33</f>
        <v>1.136015268745088E-3</v>
      </c>
      <c r="BJ30" s="26">
        <f t="shared" ref="BJ30:BK30" si="68">BJ18*BJ33</f>
        <v>1.136015268745088E-3</v>
      </c>
      <c r="BK30" s="26">
        <f t="shared" si="68"/>
        <v>1.136015268745088E-3</v>
      </c>
    </row>
    <row r="31" spans="1:63">
      <c r="A31" s="62">
        <f t="shared" si="26"/>
        <v>17920.95428390798</v>
      </c>
      <c r="B31" s="62">
        <f t="shared" si="27"/>
        <v>11464.856961590696</v>
      </c>
      <c r="C31" s="62">
        <f t="shared" si="28"/>
        <v>0.39740904028496976</v>
      </c>
      <c r="D31" s="65">
        <f t="shared" si="29"/>
        <v>170.92678183100853</v>
      </c>
      <c r="E31" s="62">
        <f t="shared" si="0"/>
        <v>2.5136291445736547</v>
      </c>
      <c r="F31" s="62">
        <f t="shared" si="30"/>
        <v>9.1613149636509732</v>
      </c>
      <c r="G31" s="62">
        <f t="shared" si="31"/>
        <v>-23.113053829637494</v>
      </c>
      <c r="H31" s="62">
        <f t="shared" si="32"/>
        <v>180.06534996619919</v>
      </c>
      <c r="I31" s="62">
        <f t="shared" si="33"/>
        <v>19.807476371116859</v>
      </c>
      <c r="J31" s="62">
        <f t="shared" si="34"/>
        <v>160.25787359508234</v>
      </c>
      <c r="K31" s="62">
        <f t="shared" si="35"/>
        <v>778.17631414577431</v>
      </c>
      <c r="L31" s="62">
        <f t="shared" si="36"/>
        <v>617.93245617920388</v>
      </c>
      <c r="M31" s="62">
        <f t="shared" si="37"/>
        <v>19294.137519861768</v>
      </c>
      <c r="N31" s="62">
        <f t="shared" si="38"/>
        <v>160.24385796657043</v>
      </c>
      <c r="O31" s="2">
        <f t="shared" si="15"/>
        <v>141.10052315420648</v>
      </c>
      <c r="P31" s="2">
        <f t="shared" si="1"/>
        <v>2.075007693444213</v>
      </c>
      <c r="Q31" s="2">
        <f t="shared" si="2"/>
        <v>0.77439144706089014</v>
      </c>
      <c r="R31" s="2">
        <f t="shared" si="3"/>
        <v>0.63926224513174568</v>
      </c>
      <c r="S31" s="67">
        <f t="shared" si="16"/>
        <v>23372.591119812387</v>
      </c>
      <c r="T31" s="63">
        <f t="shared" si="39"/>
        <v>30658.90732408841</v>
      </c>
      <c r="U31" s="63">
        <f t="shared" si="40"/>
        <v>21854.691125787311</v>
      </c>
      <c r="V31" s="63">
        <f t="shared" si="41"/>
        <v>8.3205357505681407E-2</v>
      </c>
      <c r="W31" s="63">
        <f t="shared" si="42"/>
        <v>76.529560339029899</v>
      </c>
      <c r="X31" s="63">
        <f t="shared" si="43"/>
        <v>0.82289849826913875</v>
      </c>
      <c r="Y31" s="63">
        <f t="shared" si="44"/>
        <v>15.673044079442271</v>
      </c>
      <c r="Z31" s="63">
        <f t="shared" si="45"/>
        <v>-157.36463684246343</v>
      </c>
      <c r="AA31" s="63">
        <f t="shared" si="46"/>
        <v>116.31704342512417</v>
      </c>
      <c r="AB31" s="63">
        <f t="shared" si="47"/>
        <v>12.795060735637383</v>
      </c>
      <c r="AC31" s="63">
        <f t="shared" si="48"/>
        <v>103.52198268948679</v>
      </c>
      <c r="AD31" s="63">
        <f t="shared" si="49"/>
        <v>360.24527660497057</v>
      </c>
      <c r="AE31" s="63">
        <f t="shared" si="50"/>
        <v>302.84810635069812</v>
      </c>
      <c r="AF31" s="63">
        <f t="shared" si="51"/>
        <v>31331.90311597885</v>
      </c>
      <c r="AG31" s="63">
        <f t="shared" si="52"/>
        <v>57.397170254272453</v>
      </c>
      <c r="AH31" s="2">
        <f t="shared" si="60"/>
        <v>76.529560339029899</v>
      </c>
      <c r="AI31" s="2">
        <f t="shared" si="18"/>
        <v>0.82289849826913875</v>
      </c>
      <c r="AJ31" s="2">
        <f t="shared" si="4"/>
        <v>0.43699160106718404</v>
      </c>
      <c r="AK31" s="2">
        <f t="shared" si="61"/>
        <v>0.36073775486825443</v>
      </c>
      <c r="AL31" s="67">
        <f t="shared" si="19"/>
        <v>37954.936300287962</v>
      </c>
      <c r="AM31" s="46">
        <v>0</v>
      </c>
      <c r="AN31" s="46">
        <f t="shared" si="6"/>
        <v>0</v>
      </c>
      <c r="AO31" s="46">
        <f t="shared" si="7"/>
        <v>0</v>
      </c>
      <c r="AP31" s="2">
        <f t="shared" si="53"/>
        <v>0</v>
      </c>
      <c r="AQ31" s="2">
        <f t="shared" si="20"/>
        <v>0</v>
      </c>
      <c r="AR31" s="2">
        <f t="shared" si="8"/>
        <v>0</v>
      </c>
      <c r="AS31" s="2">
        <f t="shared" si="21"/>
        <v>0</v>
      </c>
      <c r="AT31" s="64">
        <f t="shared" si="9"/>
        <v>33319.548087378003</v>
      </c>
      <c r="AU31" s="64">
        <f t="shared" si="10"/>
        <v>217.63008349323638</v>
      </c>
      <c r="AV31" s="64">
        <f t="shared" si="22"/>
        <v>3.3365276428427935</v>
      </c>
      <c r="AW31" s="64">
        <f t="shared" si="23"/>
        <v>0.21444322915165148</v>
      </c>
      <c r="AX31" s="2">
        <f t="shared" si="11"/>
        <v>217.63008349323638</v>
      </c>
      <c r="AY31" s="2">
        <f t="shared" si="11"/>
        <v>2.8979061917133517</v>
      </c>
      <c r="AZ31" s="3">
        <f t="shared" si="12"/>
        <v>3.2459412537597525</v>
      </c>
      <c r="BA31" s="3">
        <f t="shared" si="13"/>
        <v>1.2113830481280741</v>
      </c>
      <c r="BB31" s="3">
        <f t="shared" si="14"/>
        <v>1</v>
      </c>
      <c r="BC31" s="3">
        <f t="shared" si="24"/>
        <v>15212.862411436472</v>
      </c>
      <c r="BD31" s="3">
        <f t="shared" si="25"/>
        <v>1.9037187671388112</v>
      </c>
      <c r="BH31" s="24" t="s">
        <v>368</v>
      </c>
      <c r="BI31" s="26">
        <f>POWER($BF$14,($BF$19-BI17)/10)</f>
        <v>0.71917652749025207</v>
      </c>
      <c r="BJ31" s="26">
        <f t="shared" ref="BJ31:BK31" si="69">POWER($BF$14,($BF$19-BJ17)/10)</f>
        <v>0.71917652749025207</v>
      </c>
      <c r="BK31" s="26">
        <f t="shared" si="69"/>
        <v>0.71917652749025207</v>
      </c>
    </row>
    <row r="32" spans="1:63">
      <c r="A32" s="62">
        <f t="shared" si="26"/>
        <v>19294.137519861768</v>
      </c>
      <c r="B32" s="62">
        <f t="shared" si="27"/>
        <v>12326.233419343924</v>
      </c>
      <c r="C32" s="62">
        <f t="shared" si="28"/>
        <v>0.39262369504656108</v>
      </c>
      <c r="D32" s="65">
        <f t="shared" si="29"/>
        <v>181.80805357883085</v>
      </c>
      <c r="E32" s="62">
        <f t="shared" si="0"/>
        <v>2.6736478467475124</v>
      </c>
      <c r="F32" s="62">
        <f t="shared" si="30"/>
        <v>9.863295668923703</v>
      </c>
      <c r="G32" s="62">
        <f t="shared" si="31"/>
        <v>-39.92931417098788</v>
      </c>
      <c r="H32" s="62">
        <f t="shared" si="32"/>
        <v>191.52838685462606</v>
      </c>
      <c r="I32" s="62">
        <f t="shared" si="33"/>
        <v>21.068428755078443</v>
      </c>
      <c r="J32" s="62">
        <f t="shared" si="34"/>
        <v>170.45995809954763</v>
      </c>
      <c r="K32" s="62">
        <f t="shared" si="35"/>
        <v>812.37047632675035</v>
      </c>
      <c r="L32" s="62">
        <f t="shared" si="36"/>
        <v>641.92542609659642</v>
      </c>
      <c r="M32" s="62">
        <f t="shared" si="37"/>
        <v>20720.638466743094</v>
      </c>
      <c r="N32" s="62">
        <f t="shared" si="38"/>
        <v>170.44505023015392</v>
      </c>
      <c r="O32" s="2">
        <f t="shared" si="15"/>
        <v>138.26565452434974</v>
      </c>
      <c r="P32" s="2">
        <f t="shared" si="1"/>
        <v>2.033318448887496</v>
      </c>
      <c r="Q32" s="2">
        <f t="shared" si="2"/>
        <v>0.82368953647902399</v>
      </c>
      <c r="R32" s="2">
        <f t="shared" si="3"/>
        <v>0.62641874572816636</v>
      </c>
      <c r="S32" s="67">
        <f t="shared" si="16"/>
        <v>27245.948833126742</v>
      </c>
      <c r="T32" s="63">
        <f t="shared" si="39"/>
        <v>31331.90311597885</v>
      </c>
      <c r="U32" s="63">
        <f t="shared" si="40"/>
        <v>22322.180772684012</v>
      </c>
      <c r="V32" s="63">
        <f t="shared" si="41"/>
        <v>9.152336474271415E-2</v>
      </c>
      <c r="W32" s="63">
        <f t="shared" si="42"/>
        <v>86.028035909013425</v>
      </c>
      <c r="X32" s="63">
        <f t="shared" si="43"/>
        <v>0.92503264418294007</v>
      </c>
      <c r="Y32" s="63">
        <f t="shared" si="44"/>
        <v>16.0170841523672</v>
      </c>
      <c r="Z32" s="63">
        <f t="shared" si="45"/>
        <v>-173.52045573318998</v>
      </c>
      <c r="AA32" s="63">
        <f t="shared" si="46"/>
        <v>130.7537472354137</v>
      </c>
      <c r="AB32" s="63">
        <f t="shared" si="47"/>
        <v>14.383121235077169</v>
      </c>
      <c r="AC32" s="63">
        <f t="shared" si="48"/>
        <v>116.37062600033653</v>
      </c>
      <c r="AD32" s="63">
        <f t="shared" si="49"/>
        <v>408.33267426849267</v>
      </c>
      <c r="AE32" s="63">
        <f t="shared" si="50"/>
        <v>343.81164733673256</v>
      </c>
      <c r="AF32" s="63">
        <f t="shared" si="51"/>
        <v>32095.928998949366</v>
      </c>
      <c r="AG32" s="63">
        <f t="shared" si="52"/>
        <v>64.521026931760105</v>
      </c>
      <c r="AH32" s="2">
        <f t="shared" si="60"/>
        <v>78.566444112275235</v>
      </c>
      <c r="AI32" s="2">
        <f t="shared" si="18"/>
        <v>0.84480047432554017</v>
      </c>
      <c r="AJ32" s="2">
        <f t="shared" si="4"/>
        <v>0.49122886610093808</v>
      </c>
      <c r="AK32" s="2">
        <f t="shared" si="61"/>
        <v>0.37358125427183358</v>
      </c>
      <c r="AL32" s="67">
        <f t="shared" si="19"/>
        <v>42203.527688618378</v>
      </c>
      <c r="AM32" s="46">
        <v>0</v>
      </c>
      <c r="AN32" s="46">
        <f t="shared" si="6"/>
        <v>0</v>
      </c>
      <c r="AO32" s="46">
        <f t="shared" si="7"/>
        <v>0</v>
      </c>
      <c r="AP32" s="2">
        <f t="shared" si="53"/>
        <v>0</v>
      </c>
      <c r="AQ32" s="2">
        <f t="shared" si="20"/>
        <v>0</v>
      </c>
      <c r="AR32" s="2">
        <f t="shared" si="8"/>
        <v>0</v>
      </c>
      <c r="AS32" s="2">
        <f t="shared" si="21"/>
        <v>0</v>
      </c>
      <c r="AT32" s="64">
        <f t="shared" si="9"/>
        <v>34648.414192027936</v>
      </c>
      <c r="AU32" s="64">
        <f t="shared" si="10"/>
        <v>216.83209863662498</v>
      </c>
      <c r="AV32" s="64">
        <f t="shared" si="22"/>
        <v>3.5986804909304526</v>
      </c>
      <c r="AW32" s="64">
        <f t="shared" si="23"/>
        <v>0.22663523569360344</v>
      </c>
      <c r="AX32" s="2">
        <f t="shared" si="11"/>
        <v>216.83209863662498</v>
      </c>
      <c r="AY32" s="2">
        <f t="shared" si="11"/>
        <v>2.8781189232130364</v>
      </c>
      <c r="AZ32" s="3">
        <f t="shared" si="12"/>
        <v>3.2459412537597525</v>
      </c>
      <c r="BA32" s="3">
        <f t="shared" si="13"/>
        <v>1.3149184025799621</v>
      </c>
      <c r="BB32" s="3">
        <f t="shared" si="14"/>
        <v>1</v>
      </c>
      <c r="BC32" s="3">
        <f t="shared" si="24"/>
        <v>16060.531969239928</v>
      </c>
      <c r="BD32" s="3">
        <f t="shared" si="25"/>
        <v>2.0203979861346428</v>
      </c>
      <c r="BH32" s="24" t="s">
        <v>369</v>
      </c>
      <c r="BI32" s="26">
        <f>POWER($BF$14,($BF$21-BI17)/10)</f>
        <v>0.34284271521670917</v>
      </c>
      <c r="BJ32" s="26">
        <f t="shared" ref="BJ32:BK32" si="70">POWER($BF$14,($BF$21-BJ17)/10)</f>
        <v>0.34284271521670917</v>
      </c>
      <c r="BK32" s="26">
        <f t="shared" si="70"/>
        <v>0.34284271521670917</v>
      </c>
    </row>
    <row r="33" spans="1:63">
      <c r="A33" s="62">
        <f t="shared" si="26"/>
        <v>20720.638466743094</v>
      </c>
      <c r="B33" s="62">
        <f t="shared" si="27"/>
        <v>13235.81028762698</v>
      </c>
      <c r="C33" s="62">
        <f t="shared" si="28"/>
        <v>0.33627098088620916</v>
      </c>
      <c r="D33" s="65">
        <f t="shared" si="29"/>
        <v>167.22598612320522</v>
      </c>
      <c r="E33" s="62">
        <f t="shared" si="0"/>
        <v>2.4592056782824296</v>
      </c>
      <c r="F33" s="62">
        <f t="shared" si="30"/>
        <v>10.592532754365134</v>
      </c>
      <c r="G33" s="62">
        <f t="shared" si="31"/>
        <v>-31.917036577670032</v>
      </c>
      <c r="H33" s="62">
        <f t="shared" si="32"/>
        <v>176.16669191425123</v>
      </c>
      <c r="I33" s="62">
        <f t="shared" si="33"/>
        <v>19.378617752523557</v>
      </c>
      <c r="J33" s="62">
        <f t="shared" si="34"/>
        <v>156.78807416172768</v>
      </c>
      <c r="K33" s="62">
        <f t="shared" si="35"/>
        <v>752.02333423096832</v>
      </c>
      <c r="L33" s="62">
        <f t="shared" si="36"/>
        <v>595.24897224046344</v>
      </c>
      <c r="M33" s="62">
        <f t="shared" si="37"/>
        <v>22043.413960610789</v>
      </c>
      <c r="N33" s="62">
        <f t="shared" si="38"/>
        <v>156.77436199050487</v>
      </c>
      <c r="O33" s="2">
        <f t="shared" si="15"/>
        <v>146.3476600829099</v>
      </c>
      <c r="P33" s="2">
        <f t="shared" si="1"/>
        <v>2.1521714718074985</v>
      </c>
      <c r="Q33" s="2">
        <f t="shared" si="2"/>
        <v>0.75762482621456806</v>
      </c>
      <c r="R33" s="2">
        <f t="shared" si="3"/>
        <v>0.66303463419575204</v>
      </c>
      <c r="S33" s="67">
        <f t="shared" si="16"/>
        <v>25188.182954184704</v>
      </c>
      <c r="T33" s="63">
        <f t="shared" si="39"/>
        <v>32095.928998949366</v>
      </c>
      <c r="U33" s="63">
        <f t="shared" si="40"/>
        <v>22874.137625163065</v>
      </c>
      <c r="V33" s="63">
        <f t="shared" si="41"/>
        <v>7.0030652187647549E-2</v>
      </c>
      <c r="W33" s="63">
        <f t="shared" si="42"/>
        <v>67.430965210945615</v>
      </c>
      <c r="X33" s="63">
        <f t="shared" si="43"/>
        <v>0.72506414205317871</v>
      </c>
      <c r="Y33" s="63">
        <f t="shared" si="44"/>
        <v>16.407659433314127</v>
      </c>
      <c r="Z33" s="63">
        <f t="shared" si="45"/>
        <v>-162.71482061293494</v>
      </c>
      <c r="AA33" s="63">
        <f t="shared" si="46"/>
        <v>102.4881166688148</v>
      </c>
      <c r="AB33" s="63">
        <f t="shared" si="47"/>
        <v>11.273856683803306</v>
      </c>
      <c r="AC33" s="63">
        <f t="shared" si="48"/>
        <v>91.214259985011495</v>
      </c>
      <c r="AD33" s="63">
        <f t="shared" si="49"/>
        <v>293.35647931212253</v>
      </c>
      <c r="AE33" s="63">
        <f t="shared" si="50"/>
        <v>242.7832554039133</v>
      </c>
      <c r="AF33" s="63">
        <f t="shared" si="51"/>
        <v>32635.447344291395</v>
      </c>
      <c r="AG33" s="63">
        <f t="shared" si="52"/>
        <v>50.573223908209229</v>
      </c>
      <c r="AH33" s="2">
        <f t="shared" si="60"/>
        <v>67.430965210945615</v>
      </c>
      <c r="AI33" s="2">
        <f t="shared" si="18"/>
        <v>0.72506414205317871</v>
      </c>
      <c r="AJ33" s="2">
        <f t="shared" si="4"/>
        <v>0.38503769417330275</v>
      </c>
      <c r="AK33" s="2">
        <f t="shared" si="61"/>
        <v>0.33696536580424785</v>
      </c>
      <c r="AL33" s="67">
        <f t="shared" si="19"/>
        <v>37291.302516413649</v>
      </c>
      <c r="AM33" s="46">
        <v>0</v>
      </c>
      <c r="AN33" s="46">
        <f t="shared" si="6"/>
        <v>0</v>
      </c>
      <c r="AO33" s="46">
        <f t="shared" si="7"/>
        <v>0</v>
      </c>
      <c r="AP33" s="2">
        <f t="shared" si="53"/>
        <v>0</v>
      </c>
      <c r="AQ33" s="2">
        <f t="shared" si="20"/>
        <v>0</v>
      </c>
      <c r="AR33" s="2">
        <f t="shared" si="8"/>
        <v>0</v>
      </c>
      <c r="AS33" s="2">
        <f t="shared" si="21"/>
        <v>0</v>
      </c>
      <c r="AT33" s="64">
        <f t="shared" si="9"/>
        <v>36109.947912790041</v>
      </c>
      <c r="AU33" s="64">
        <f t="shared" si="10"/>
        <v>213.7786252938555</v>
      </c>
      <c r="AV33" s="64">
        <f t="shared" si="22"/>
        <v>3.1842698203356083</v>
      </c>
      <c r="AW33" s="64">
        <f t="shared" si="23"/>
        <v>0.22717949036939966</v>
      </c>
      <c r="AX33" s="2">
        <f t="shared" si="11"/>
        <v>213.7786252938555</v>
      </c>
      <c r="AY33" s="2">
        <f t="shared" si="11"/>
        <v>2.8772356138606772</v>
      </c>
      <c r="AZ33" s="3">
        <f t="shared" si="12"/>
        <v>3.2459412537597525</v>
      </c>
      <c r="BA33" s="3">
        <f t="shared" si="13"/>
        <v>1.1426625203878709</v>
      </c>
      <c r="BB33" s="3">
        <f t="shared" si="14"/>
        <v>0.99999999999999989</v>
      </c>
      <c r="BC33" s="3">
        <f t="shared" si="24"/>
        <v>16483.592784660908</v>
      </c>
      <c r="BD33" s="3">
        <f t="shared" si="25"/>
        <v>1.8748600411705996</v>
      </c>
      <c r="BH33" s="24" t="s">
        <v>371</v>
      </c>
      <c r="BI33" s="26">
        <f>(BI31*$BF$17+BI32*$BF$18)/($BF$17+$BF$18)</f>
        <v>0.56800763437254398</v>
      </c>
      <c r="BJ33" s="26">
        <f t="shared" ref="BJ33:BK33" si="71">(BJ31*$BF$17+BJ32*$BF$18)/($BF$17+$BF$18)</f>
        <v>0.56800763437254398</v>
      </c>
      <c r="BK33" s="26">
        <f t="shared" si="71"/>
        <v>0.56800763437254398</v>
      </c>
    </row>
    <row r="34" spans="1:63">
      <c r="A34" s="62">
        <f t="shared" si="26"/>
        <v>22043.413960610789</v>
      </c>
      <c r="B34" s="62">
        <f t="shared" si="27"/>
        <v>14054.576781308002</v>
      </c>
      <c r="C34" s="62">
        <f t="shared" si="28"/>
        <v>0.36512069158943078</v>
      </c>
      <c r="D34" s="65">
        <f t="shared" si="29"/>
        <v>193.16415720696781</v>
      </c>
      <c r="E34" s="62">
        <f t="shared" ref="E34:E54" si="72">D34/$BI$6</f>
        <v>2.840649370690703</v>
      </c>
      <c r="F34" s="62">
        <f t="shared" si="30"/>
        <v>11.268744675535121</v>
      </c>
      <c r="G34" s="62">
        <f t="shared" si="31"/>
        <v>-65.374444859052119</v>
      </c>
      <c r="H34" s="62">
        <f t="shared" si="32"/>
        <v>203.49164242024358</v>
      </c>
      <c r="I34" s="62">
        <f t="shared" si="33"/>
        <v>22.384405993242712</v>
      </c>
      <c r="J34" s="62">
        <f t="shared" si="34"/>
        <v>181.10723642700086</v>
      </c>
      <c r="K34" s="62">
        <f t="shared" si="35"/>
        <v>840.16173727595219</v>
      </c>
      <c r="L34" s="62">
        <f t="shared" si="36"/>
        <v>659.07033989441982</v>
      </c>
      <c r="M34" s="62">
        <f t="shared" si="37"/>
        <v>23508.01471593172</v>
      </c>
      <c r="N34" s="62">
        <f t="shared" si="38"/>
        <v>181.09139738153237</v>
      </c>
      <c r="O34" s="2">
        <f t="shared" si="15"/>
        <v>137.12707878911084</v>
      </c>
      <c r="P34" s="2">
        <f t="shared" ref="P34:P54" si="73">R34*$BI$56</f>
        <v>2.0165746880751594</v>
      </c>
      <c r="Q34" s="2">
        <f t="shared" ref="Q34:Q54" si="74">E34*(1/$BI$56)</f>
        <v>0.87513887301576931</v>
      </c>
      <c r="R34" s="2">
        <f t="shared" si="3"/>
        <v>0.62126037732179351</v>
      </c>
      <c r="S34" s="67">
        <f t="shared" si="16"/>
        <v>33114.5816735107</v>
      </c>
      <c r="T34" s="63">
        <f t="shared" si="39"/>
        <v>32635.447344291395</v>
      </c>
      <c r="U34" s="63">
        <f t="shared" si="40"/>
        <v>23238.598579657835</v>
      </c>
      <c r="V34" s="63">
        <f t="shared" si="41"/>
        <v>9.5430975873974672E-2</v>
      </c>
      <c r="W34" s="63">
        <f t="shared" si="42"/>
        <v>93.432977644483287</v>
      </c>
      <c r="X34" s="63">
        <f t="shared" si="43"/>
        <v>1.0046556735965946</v>
      </c>
      <c r="Y34" s="63">
        <f t="shared" si="44"/>
        <v>16.683464918448614</v>
      </c>
      <c r="Z34" s="63">
        <f t="shared" si="45"/>
        <v>-191.67319505319162</v>
      </c>
      <c r="AA34" s="63">
        <f t="shared" si="46"/>
        <v>142.00849540840025</v>
      </c>
      <c r="AB34" s="63">
        <f t="shared" si="47"/>
        <v>15.621161527344109</v>
      </c>
      <c r="AC34" s="63">
        <f t="shared" si="48"/>
        <v>126.38733388105614</v>
      </c>
      <c r="AD34" s="63">
        <f t="shared" si="49"/>
        <v>440.26347435208902</v>
      </c>
      <c r="AE34" s="63">
        <f t="shared" si="50"/>
        <v>370.18874111872651</v>
      </c>
      <c r="AF34" s="63">
        <f t="shared" si="51"/>
        <v>33458.088991221899</v>
      </c>
      <c r="AG34" s="63">
        <f t="shared" si="52"/>
        <v>70.074733233362508</v>
      </c>
      <c r="AH34" s="2">
        <f t="shared" si="60"/>
        <v>73.338089144175498</v>
      </c>
      <c r="AI34" s="2">
        <f t="shared" si="18"/>
        <v>0.78858160370081176</v>
      </c>
      <c r="AJ34" s="2">
        <f t="shared" ref="AJ34:AJ54" si="75">X34*(1/$BJ$56)</f>
        <v>0.53351183924826828</v>
      </c>
      <c r="AK34" s="2">
        <f t="shared" si="61"/>
        <v>0.37873962267820638</v>
      </c>
      <c r="AL34" s="67">
        <f t="shared" si="19"/>
        <v>47130.760888478289</v>
      </c>
      <c r="AM34" s="46">
        <v>0</v>
      </c>
      <c r="AN34" s="46">
        <f t="shared" si="6"/>
        <v>0</v>
      </c>
      <c r="AO34" s="46">
        <f t="shared" si="7"/>
        <v>0</v>
      </c>
      <c r="AP34" s="2">
        <f t="shared" si="53"/>
        <v>0</v>
      </c>
      <c r="AQ34" s="2">
        <f t="shared" si="20"/>
        <v>0</v>
      </c>
      <c r="AR34" s="2">
        <f t="shared" ref="AR34:AR54" si="76">AQ34*(1/$BK$56)</f>
        <v>0</v>
      </c>
      <c r="AS34" s="2">
        <f t="shared" si="21"/>
        <v>0</v>
      </c>
      <c r="AT34" s="64">
        <f t="shared" si="9"/>
        <v>37293.175360965834</v>
      </c>
      <c r="AU34" s="64">
        <f t="shared" si="10"/>
        <v>210.46516793328635</v>
      </c>
      <c r="AV34" s="64">
        <f t="shared" si="22"/>
        <v>3.8453050442872976</v>
      </c>
      <c r="AW34" s="64">
        <f t="shared" si="23"/>
        <v>0.2715914599336775</v>
      </c>
      <c r="AX34" s="2">
        <f t="shared" ref="AX34:AY54" si="77">O34+AH34+AP34</f>
        <v>210.46516793328635</v>
      </c>
      <c r="AY34" s="2">
        <f t="shared" si="77"/>
        <v>2.8051562917759711</v>
      </c>
      <c r="AZ34" s="3">
        <f t="shared" ref="AZ34:AZ54" si="78">MAX(IF(B34&gt;0,$BI$56,0),IF(U34&gt;0,$BJ$56,0),IF(AM34&gt;0,$BK$56,0))</f>
        <v>3.2459412537597525</v>
      </c>
      <c r="BA34" s="3">
        <f t="shared" si="13"/>
        <v>1.4086507122640377</v>
      </c>
      <c r="BB34" s="3">
        <f t="shared" si="14"/>
        <v>0.99999999999999989</v>
      </c>
      <c r="BC34" s="3">
        <f t="shared" si="24"/>
        <v>17532.929731883436</v>
      </c>
      <c r="BD34" s="3">
        <f t="shared" si="25"/>
        <v>2.1452858106137151</v>
      </c>
      <c r="BI34" s="26"/>
      <c r="BJ34" s="26"/>
      <c r="BK34" s="26"/>
    </row>
    <row r="35" spans="1:63">
      <c r="A35" s="62">
        <f t="shared" si="26"/>
        <v>23508.01471593172</v>
      </c>
      <c r="B35" s="62">
        <f t="shared" si="27"/>
        <v>15003.213428243951</v>
      </c>
      <c r="C35" s="62">
        <f t="shared" si="28"/>
        <v>0.26591375105304471</v>
      </c>
      <c r="D35" s="65">
        <f t="shared" si="29"/>
        <v>150.0265049501659</v>
      </c>
      <c r="E35" s="62">
        <f t="shared" si="72"/>
        <v>2.2062721316200866</v>
      </c>
      <c r="F35" s="62">
        <f t="shared" si="30"/>
        <v>12.017458644832196</v>
      </c>
      <c r="G35" s="62">
        <f t="shared" si="31"/>
        <v>-30.630033584028638</v>
      </c>
      <c r="H35" s="62">
        <f t="shared" si="32"/>
        <v>158.04764372599047</v>
      </c>
      <c r="I35" s="62">
        <f t="shared" si="33"/>
        <v>17.385493484453814</v>
      </c>
      <c r="J35" s="62">
        <f t="shared" si="34"/>
        <v>140.66215024153666</v>
      </c>
      <c r="K35" s="62">
        <f t="shared" si="35"/>
        <v>672.68071762365469</v>
      </c>
      <c r="L35" s="62">
        <f t="shared" si="36"/>
        <v>532.03086923287412</v>
      </c>
      <c r="M35" s="62">
        <f t="shared" si="37"/>
        <v>24690.305536449217</v>
      </c>
      <c r="N35" s="62">
        <f t="shared" si="38"/>
        <v>140.64984839078056</v>
      </c>
      <c r="O35" s="2">
        <f t="shared" si="15"/>
        <v>150.0265049501659</v>
      </c>
      <c r="P35" s="2">
        <f t="shared" si="73"/>
        <v>2.2062721316200866</v>
      </c>
      <c r="Q35" s="2">
        <f t="shared" si="74"/>
        <v>0.67970180577500472</v>
      </c>
      <c r="R35" s="2">
        <f t="shared" si="3"/>
        <v>0.67970180577500472</v>
      </c>
      <c r="S35" s="67">
        <f t="shared" si="16"/>
        <v>24690.305536449217</v>
      </c>
      <c r="T35" s="63">
        <f t="shared" si="39"/>
        <v>33458.088991221899</v>
      </c>
      <c r="U35" s="63">
        <f t="shared" si="40"/>
        <v>23848.67616141203</v>
      </c>
      <c r="V35" s="63">
        <f t="shared" si="41"/>
        <v>5.1342421639898626E-2</v>
      </c>
      <c r="W35" s="63">
        <f t="shared" si="42"/>
        <v>51.534579367576953</v>
      </c>
      <c r="X35" s="63">
        <f t="shared" si="43"/>
        <v>0.55413526201695651</v>
      </c>
      <c r="Y35" s="63">
        <f t="shared" si="44"/>
        <v>17.104004980677008</v>
      </c>
      <c r="Z35" s="63">
        <f t="shared" si="45"/>
        <v>-158.36388725017122</v>
      </c>
      <c r="AA35" s="63">
        <f t="shared" si="46"/>
        <v>78.327248708063621</v>
      </c>
      <c r="AB35" s="63">
        <f t="shared" si="47"/>
        <v>8.6161225815560556</v>
      </c>
      <c r="AC35" s="63">
        <f t="shared" si="48"/>
        <v>69.711126126507565</v>
      </c>
      <c r="AD35" s="63">
        <f t="shared" si="49"/>
        <v>190.19174338236661</v>
      </c>
      <c r="AE35" s="63">
        <f t="shared" si="50"/>
        <v>151.5408088566839</v>
      </c>
      <c r="AF35" s="63">
        <f t="shared" si="51"/>
        <v>33794.84634423675</v>
      </c>
      <c r="AG35" s="63">
        <f t="shared" si="52"/>
        <v>38.650934525682715</v>
      </c>
      <c r="AH35" s="2">
        <f t="shared" si="60"/>
        <v>51.534579367576953</v>
      </c>
      <c r="AI35" s="2">
        <f t="shared" si="18"/>
        <v>0.55413526201695651</v>
      </c>
      <c r="AJ35" s="2">
        <f t="shared" si="75"/>
        <v>0.29426770843051719</v>
      </c>
      <c r="AK35" s="2">
        <f t="shared" si="61"/>
        <v>0.29426770843051719</v>
      </c>
      <c r="AL35" s="67">
        <f t="shared" si="19"/>
        <v>33794.84634423675</v>
      </c>
      <c r="AM35" s="46">
        <v>0</v>
      </c>
      <c r="AN35" s="46">
        <f t="shared" si="6"/>
        <v>0</v>
      </c>
      <c r="AO35" s="46">
        <f t="shared" si="7"/>
        <v>0</v>
      </c>
      <c r="AP35" s="2">
        <f t="shared" si="53"/>
        <v>0</v>
      </c>
      <c r="AQ35" s="2">
        <f t="shared" si="20"/>
        <v>0</v>
      </c>
      <c r="AR35" s="2">
        <f t="shared" si="76"/>
        <v>0</v>
      </c>
      <c r="AS35" s="2">
        <f t="shared" si="21"/>
        <v>0</v>
      </c>
      <c r="AT35" s="64">
        <f t="shared" si="9"/>
        <v>38851.889589655984</v>
      </c>
      <c r="AU35" s="64">
        <f t="shared" si="10"/>
        <v>201.56108431774285</v>
      </c>
      <c r="AV35" s="64">
        <f t="shared" si="22"/>
        <v>2.7604073936370432</v>
      </c>
      <c r="AW35" s="64">
        <f t="shared" si="23"/>
        <v>0.29916367682891276</v>
      </c>
      <c r="AX35" s="2">
        <f t="shared" si="77"/>
        <v>201.56108431774285</v>
      </c>
      <c r="AY35" s="2">
        <f t="shared" si="77"/>
        <v>2.7604073936370432</v>
      </c>
      <c r="AZ35" s="3">
        <f t="shared" si="78"/>
        <v>3.2459412537597525</v>
      </c>
      <c r="BA35" s="3">
        <f t="shared" si="13"/>
        <v>0.97396951420552191</v>
      </c>
      <c r="BB35" s="3">
        <f>SUM(AS35,AK35,R35)</f>
        <v>0.97396951420552191</v>
      </c>
      <c r="BC35" s="3">
        <f t="shared" si="24"/>
        <v>17215.606542725433</v>
      </c>
      <c r="BD35" s="3">
        <f t="shared" si="25"/>
        <v>1.6626712656075158</v>
      </c>
      <c r="BI35" s="26"/>
      <c r="BJ35" s="26"/>
      <c r="BK35" s="26"/>
    </row>
    <row r="36" spans="1:63">
      <c r="A36" s="62">
        <f t="shared" si="26"/>
        <v>24690.305536449217</v>
      </c>
      <c r="B36" s="62">
        <f t="shared" si="27"/>
        <v>15704.918992913173</v>
      </c>
      <c r="C36" s="62">
        <f t="shared" si="28"/>
        <v>0.37246499398490995</v>
      </c>
      <c r="D36" s="65">
        <f t="shared" si="29"/>
        <v>220.71058807485952</v>
      </c>
      <c r="E36" s="62">
        <f t="shared" si="72"/>
        <v>3.245743942277346</v>
      </c>
      <c r="F36" s="62">
        <f t="shared" si="30"/>
        <v>12.621853835724462</v>
      </c>
      <c r="G36" s="62">
        <f t="shared" si="31"/>
        <v>-110.13216227159975</v>
      </c>
      <c r="H36" s="62">
        <f t="shared" si="32"/>
        <v>232.51083801623057</v>
      </c>
      <c r="I36" s="62">
        <f t="shared" si="33"/>
        <v>25.57656390249193</v>
      </c>
      <c r="J36" s="62">
        <f t="shared" si="34"/>
        <v>206.93427411373864</v>
      </c>
      <c r="K36" s="62">
        <f t="shared" si="35"/>
        <v>924.53920829709341</v>
      </c>
      <c r="L36" s="62">
        <f t="shared" si="36"/>
        <v>717.62303197691256</v>
      </c>
      <c r="M36" s="62">
        <f t="shared" si="37"/>
        <v>26285.0233852868</v>
      </c>
      <c r="N36" s="62">
        <f t="shared" si="38"/>
        <v>206.91617632018085</v>
      </c>
      <c r="O36" s="2">
        <f t="shared" si="15"/>
        <v>130.71060533438924</v>
      </c>
      <c r="P36" s="2">
        <f t="shared" si="73"/>
        <v>1.9222147843292536</v>
      </c>
      <c r="Q36" s="2">
        <f t="shared" si="74"/>
        <v>0.99993921286092957</v>
      </c>
      <c r="R36" s="2">
        <f t="shared" si="3"/>
        <v>0.59219025670990344</v>
      </c>
      <c r="S36" s="67">
        <f t="shared" si="16"/>
        <v>44383.414445115202</v>
      </c>
      <c r="T36" s="63">
        <f t="shared" si="39"/>
        <v>33794.84634423675</v>
      </c>
      <c r="U36" s="63">
        <f t="shared" si="40"/>
        <v>24045.875483775668</v>
      </c>
      <c r="V36" s="63">
        <f t="shared" si="41"/>
        <v>0.11894723117910271</v>
      </c>
      <c r="W36" s="63">
        <f t="shared" si="42"/>
        <v>120.59410202310548</v>
      </c>
      <c r="X36" s="63">
        <f t="shared" si="43"/>
        <v>1.2967107744419943</v>
      </c>
      <c r="Y36" s="63">
        <f t="shared" si="44"/>
        <v>17.276157653376181</v>
      </c>
      <c r="Z36" s="63">
        <f t="shared" si="45"/>
        <v>-222.93030322522893</v>
      </c>
      <c r="AA36" s="63">
        <f t="shared" si="46"/>
        <v>183.29060482896307</v>
      </c>
      <c r="AB36" s="63">
        <f t="shared" si="47"/>
        <v>20.162259562313917</v>
      </c>
      <c r="AC36" s="63">
        <f t="shared" si="48"/>
        <v>163.12834526664915</v>
      </c>
      <c r="AD36" s="63">
        <f t="shared" si="49"/>
        <v>592.71142310801679</v>
      </c>
      <c r="AE36" s="63">
        <f t="shared" si="50"/>
        <v>502.26584659068766</v>
      </c>
      <c r="AF36" s="63">
        <f t="shared" si="51"/>
        <v>34910.992669993837</v>
      </c>
      <c r="AG36" s="63">
        <f t="shared" si="52"/>
        <v>90.44557651732913</v>
      </c>
      <c r="AH36" s="2">
        <f t="shared" si="60"/>
        <v>72.194680085254475</v>
      </c>
      <c r="AI36" s="2">
        <f t="shared" si="18"/>
        <v>0.77628688263714485</v>
      </c>
      <c r="AJ36" s="2">
        <f t="shared" si="75"/>
        <v>0.68860463184263232</v>
      </c>
      <c r="AK36" s="2">
        <f t="shared" si="61"/>
        <v>0.40780974329009662</v>
      </c>
      <c r="AL36" s="67">
        <f t="shared" si="19"/>
        <v>58948.741785409264</v>
      </c>
      <c r="AM36" s="46">
        <v>0</v>
      </c>
      <c r="AN36" s="46">
        <f t="shared" si="6"/>
        <v>0</v>
      </c>
      <c r="AO36" s="46">
        <f t="shared" si="7"/>
        <v>0</v>
      </c>
      <c r="AP36" s="2">
        <f t="shared" si="53"/>
        <v>0</v>
      </c>
      <c r="AQ36" s="2">
        <f t="shared" si="20"/>
        <v>0</v>
      </c>
      <c r="AR36" s="2">
        <f t="shared" si="76"/>
        <v>0</v>
      </c>
      <c r="AS36" s="2">
        <f t="shared" si="21"/>
        <v>0</v>
      </c>
      <c r="AT36" s="64">
        <f t="shared" si="9"/>
        <v>39750.794476688839</v>
      </c>
      <c r="AU36" s="64">
        <f t="shared" si="10"/>
        <v>202.90528541964372</v>
      </c>
      <c r="AV36" s="64">
        <f t="shared" si="22"/>
        <v>4.5424547167193401</v>
      </c>
      <c r="AW36" s="64">
        <f t="shared" si="23"/>
        <v>0.33730714390425798</v>
      </c>
      <c r="AX36" s="2">
        <f t="shared" si="77"/>
        <v>202.90528541964372</v>
      </c>
      <c r="AY36" s="2">
        <f t="shared" si="77"/>
        <v>2.6985016669663984</v>
      </c>
      <c r="AZ36" s="3">
        <f t="shared" si="78"/>
        <v>3.2459412537597525</v>
      </c>
      <c r="BA36" s="3">
        <f t="shared" si="13"/>
        <v>1.6885438447035619</v>
      </c>
      <c r="BB36" s="3">
        <f t="shared" si="14"/>
        <v>1</v>
      </c>
      <c r="BC36" s="3">
        <f t="shared" si="24"/>
        <v>19106.442318245674</v>
      </c>
      <c r="BD36" s="3">
        <f t="shared" si="25"/>
        <v>2.4509092264385277</v>
      </c>
      <c r="BI36" s="26"/>
      <c r="BJ36" s="26"/>
      <c r="BK36" s="26"/>
    </row>
    <row r="37" spans="1:63">
      <c r="A37" s="62">
        <f t="shared" si="26"/>
        <v>26285.0233852868</v>
      </c>
      <c r="B37" s="62">
        <f t="shared" si="27"/>
        <v>16780.275320805544</v>
      </c>
      <c r="C37" s="62">
        <f t="shared" si="28"/>
        <v>0.16942641473097717</v>
      </c>
      <c r="D37" s="65">
        <f t="shared" si="29"/>
        <v>106.88105455893684</v>
      </c>
      <c r="E37" s="62">
        <f t="shared" si="72"/>
        <v>1.5717802141020123</v>
      </c>
      <c r="F37" s="62">
        <f t="shared" si="30"/>
        <v>13.437084557253378</v>
      </c>
      <c r="G37" s="62">
        <f t="shared" si="31"/>
        <v>-2.4253129183812661</v>
      </c>
      <c r="H37" s="62">
        <f t="shared" si="32"/>
        <v>112.59542997152464</v>
      </c>
      <c r="I37" s="62">
        <f t="shared" si="33"/>
        <v>12.385677305907901</v>
      </c>
      <c r="J37" s="62">
        <f t="shared" si="34"/>
        <v>100.20975266561673</v>
      </c>
      <c r="K37" s="62">
        <f t="shared" si="35"/>
        <v>498.6234504097024</v>
      </c>
      <c r="L37" s="62">
        <f t="shared" si="36"/>
        <v>398.42246176069909</v>
      </c>
      <c r="M37" s="62">
        <f t="shared" si="37"/>
        <v>27170.40663364391</v>
      </c>
      <c r="N37" s="62">
        <f t="shared" si="38"/>
        <v>100.20098864900331</v>
      </c>
      <c r="O37" s="2">
        <f t="shared" si="15"/>
        <v>106.88105455893682</v>
      </c>
      <c r="P37" s="2">
        <f t="shared" si="73"/>
        <v>1.5717802141020121</v>
      </c>
      <c r="Q37" s="2">
        <f t="shared" si="74"/>
        <v>0.48422940873665826</v>
      </c>
      <c r="R37" s="2">
        <f t="shared" si="3"/>
        <v>0.48422940873665826</v>
      </c>
      <c r="S37" s="67">
        <f t="shared" si="16"/>
        <v>27170.40663364391</v>
      </c>
      <c r="T37" s="63">
        <f t="shared" si="39"/>
        <v>34910.992669993837</v>
      </c>
      <c r="U37" s="63">
        <f t="shared" si="40"/>
        <v>24907.398897718725</v>
      </c>
      <c r="V37" s="63">
        <f t="shared" si="41"/>
        <v>2.4385398876982014E-2</v>
      </c>
      <c r="W37" s="63">
        <f t="shared" si="42"/>
        <v>25.539554443475851</v>
      </c>
      <c r="X37" s="63">
        <f t="shared" si="43"/>
        <v>0.27461886498361132</v>
      </c>
      <c r="Y37" s="63">
        <f t="shared" si="44"/>
        <v>17.846739324072381</v>
      </c>
      <c r="Z37" s="63">
        <f t="shared" si="45"/>
        <v>-135.20809487110358</v>
      </c>
      <c r="AA37" s="63">
        <f t="shared" si="46"/>
        <v>38.817490262583682</v>
      </c>
      <c r="AB37" s="63">
        <f t="shared" si="47"/>
        <v>4.2699859873457813</v>
      </c>
      <c r="AC37" s="63">
        <f t="shared" si="48"/>
        <v>34.547504275237898</v>
      </c>
      <c r="AD37" s="63">
        <f t="shared" si="49"/>
        <v>37.529426505085894</v>
      </c>
      <c r="AE37" s="63">
        <f t="shared" si="50"/>
        <v>18.374760672479006</v>
      </c>
      <c r="AF37" s="63">
        <f t="shared" si="51"/>
        <v>34951.825471488235</v>
      </c>
      <c r="AG37" s="63">
        <f t="shared" si="52"/>
        <v>19.154665832606888</v>
      </c>
      <c r="AH37" s="2">
        <f t="shared" si="60"/>
        <v>25.539554443475851</v>
      </c>
      <c r="AI37" s="2">
        <f t="shared" si="18"/>
        <v>0.27461886498361132</v>
      </c>
      <c r="AJ37" s="2">
        <f t="shared" si="75"/>
        <v>0.14583346274766409</v>
      </c>
      <c r="AK37" s="2">
        <f t="shared" si="61"/>
        <v>0.14583346274766409</v>
      </c>
      <c r="AL37" s="67">
        <f t="shared" si="19"/>
        <v>34951.825471488235</v>
      </c>
      <c r="AM37" s="46">
        <v>0</v>
      </c>
      <c r="AN37" s="46">
        <f t="shared" si="6"/>
        <v>0</v>
      </c>
      <c r="AO37" s="46">
        <f t="shared" si="7"/>
        <v>0</v>
      </c>
      <c r="AP37" s="2">
        <f t="shared" si="53"/>
        <v>0</v>
      </c>
      <c r="AQ37" s="2">
        <f t="shared" si="20"/>
        <v>0</v>
      </c>
      <c r="AR37" s="2">
        <f t="shared" si="76"/>
        <v>0</v>
      </c>
      <c r="AS37" s="2">
        <f t="shared" si="21"/>
        <v>0</v>
      </c>
      <c r="AT37" s="64">
        <f t="shared" si="9"/>
        <v>41687.674218524269</v>
      </c>
      <c r="AU37" s="64">
        <f t="shared" si="10"/>
        <v>132.42060900241268</v>
      </c>
      <c r="AV37" s="64">
        <f t="shared" si="22"/>
        <v>1.8463990790856237</v>
      </c>
      <c r="AW37" s="64">
        <f t="shared" si="23"/>
        <v>0.86233364393335754</v>
      </c>
      <c r="AX37" s="2">
        <f t="shared" si="77"/>
        <v>132.42060900241268</v>
      </c>
      <c r="AY37" s="2">
        <f t="shared" si="77"/>
        <v>1.8463990790856233</v>
      </c>
      <c r="AZ37" s="3">
        <f t="shared" si="78"/>
        <v>3.2459412537597525</v>
      </c>
      <c r="BA37" s="3">
        <f t="shared" si="13"/>
        <v>0.63006287148432238</v>
      </c>
      <c r="BB37" s="3">
        <f t="shared" si="14"/>
        <v>0.63006287148432238</v>
      </c>
      <c r="BC37" s="3">
        <f t="shared" si="24"/>
        <v>11757.835026323681</v>
      </c>
      <c r="BD37" s="3">
        <f t="shared" si="25"/>
        <v>0.80115082375498881</v>
      </c>
      <c r="BI37" s="26"/>
      <c r="BJ37" s="26"/>
      <c r="BK37" s="26"/>
    </row>
    <row r="38" spans="1:63">
      <c r="A38" s="62">
        <f t="shared" si="26"/>
        <v>27170.40663364391</v>
      </c>
      <c r="B38" s="62">
        <f t="shared" si="27"/>
        <v>17224.2372337546</v>
      </c>
      <c r="C38" s="62">
        <f t="shared" si="28"/>
        <v>0.3372886235920034</v>
      </c>
      <c r="D38" s="65">
        <f t="shared" si="29"/>
        <v>219.94245734152304</v>
      </c>
      <c r="E38" s="62">
        <f t="shared" si="72"/>
        <v>3.2344479020812211</v>
      </c>
      <c r="F38" s="62">
        <f t="shared" si="30"/>
        <v>13.889698557224539</v>
      </c>
      <c r="G38" s="62">
        <f t="shared" si="31"/>
        <v>-165.44949984137654</v>
      </c>
      <c r="H38" s="62">
        <f t="shared" si="32"/>
        <v>231.70163931818936</v>
      </c>
      <c r="I38" s="62">
        <f t="shared" si="33"/>
        <v>25.487550752021843</v>
      </c>
      <c r="J38" s="62">
        <f t="shared" si="34"/>
        <v>206.21408856616753</v>
      </c>
      <c r="K38" s="62">
        <f t="shared" si="35"/>
        <v>865.62094298946113</v>
      </c>
      <c r="L38" s="62">
        <f t="shared" si="36"/>
        <v>659.42488923178325</v>
      </c>
      <c r="M38" s="62">
        <f t="shared" si="37"/>
        <v>28635.795276381206</v>
      </c>
      <c r="N38" s="62">
        <f t="shared" si="38"/>
        <v>206.19605375767787</v>
      </c>
      <c r="O38" s="2">
        <f t="shared" si="15"/>
        <v>132.60932150623663</v>
      </c>
      <c r="P38" s="2">
        <f t="shared" si="73"/>
        <v>1.9501370809740681</v>
      </c>
      <c r="Q38" s="2">
        <f t="shared" si="74"/>
        <v>0.99645916214126828</v>
      </c>
      <c r="R38" s="2">
        <f t="shared" si="3"/>
        <v>0.60079247543843783</v>
      </c>
      <c r="S38" s="67">
        <f t="shared" si="16"/>
        <v>47494.603769010711</v>
      </c>
      <c r="T38" s="63">
        <f t="shared" si="39"/>
        <v>34951.825471488235</v>
      </c>
      <c r="U38" s="63">
        <f t="shared" si="40"/>
        <v>24841.335639200122</v>
      </c>
      <c r="V38" s="63">
        <f t="shared" si="41"/>
        <v>0.11058564341389883</v>
      </c>
      <c r="W38" s="63">
        <f t="shared" si="42"/>
        <v>115.95510324764471</v>
      </c>
      <c r="X38" s="63">
        <f t="shared" si="43"/>
        <v>1.2468290671789755</v>
      </c>
      <c r="Y38" s="63">
        <f t="shared" si="44"/>
        <v>17.867613332755855</v>
      </c>
      <c r="Z38" s="63">
        <f t="shared" si="45"/>
        <v>-247.43649062190349</v>
      </c>
      <c r="AA38" s="63">
        <f t="shared" si="46"/>
        <v>176.23980485541122</v>
      </c>
      <c r="AB38" s="63">
        <f t="shared" si="47"/>
        <v>19.386660292938572</v>
      </c>
      <c r="AC38" s="63">
        <f t="shared" si="48"/>
        <v>156.85314456247266</v>
      </c>
      <c r="AD38" s="63">
        <f t="shared" si="49"/>
        <v>536.82923219045983</v>
      </c>
      <c r="AE38" s="63">
        <f t="shared" si="50"/>
        <v>449.86290475472629</v>
      </c>
      <c r="AF38" s="63">
        <f t="shared" si="51"/>
        <v>35951.52081538763</v>
      </c>
      <c r="AG38" s="63">
        <f t="shared" si="52"/>
        <v>86.966327435733547</v>
      </c>
      <c r="AH38" s="2">
        <f t="shared" si="60"/>
        <v>103.50792411200912</v>
      </c>
      <c r="AI38" s="2">
        <f t="shared" si="18"/>
        <v>1.112988431311926</v>
      </c>
      <c r="AJ38" s="2">
        <f t="shared" si="75"/>
        <v>0.66211547532250226</v>
      </c>
      <c r="AK38" s="2">
        <f t="shared" si="61"/>
        <v>0.39920752456156222</v>
      </c>
      <c r="AL38" s="67">
        <f t="shared" si="19"/>
        <v>59628.280602652732</v>
      </c>
      <c r="AM38" s="46">
        <v>0</v>
      </c>
      <c r="AN38" s="46">
        <f t="shared" si="6"/>
        <v>0</v>
      </c>
      <c r="AO38" s="46">
        <f t="shared" si="7"/>
        <v>0</v>
      </c>
      <c r="AP38" s="2">
        <f t="shared" si="53"/>
        <v>0</v>
      </c>
      <c r="AQ38" s="2">
        <f t="shared" si="20"/>
        <v>0</v>
      </c>
      <c r="AR38" s="2">
        <f t="shared" si="76"/>
        <v>0</v>
      </c>
      <c r="AS38" s="2">
        <f t="shared" si="21"/>
        <v>0</v>
      </c>
      <c r="AT38" s="64">
        <f t="shared" si="9"/>
        <v>42065.572872954726</v>
      </c>
      <c r="AU38" s="64">
        <f t="shared" si="10"/>
        <v>236.11724561824576</v>
      </c>
      <c r="AV38" s="64">
        <f t="shared" si="22"/>
        <v>4.4812769692601968</v>
      </c>
      <c r="AW38" s="64">
        <f t="shared" si="23"/>
        <v>0.1126426679854442</v>
      </c>
      <c r="AX38" s="2">
        <f t="shared" si="77"/>
        <v>236.11724561824576</v>
      </c>
      <c r="AY38" s="2">
        <f t="shared" si="77"/>
        <v>3.0631255122859944</v>
      </c>
      <c r="AZ38" s="3">
        <f t="shared" si="78"/>
        <v>3.2459412537597525</v>
      </c>
      <c r="BA38" s="3">
        <f t="shared" si="13"/>
        <v>1.6585746374637704</v>
      </c>
      <c r="BB38" s="3">
        <f t="shared" si="14"/>
        <v>1</v>
      </c>
      <c r="BC38" s="3">
        <f t="shared" si="24"/>
        <v>20265.040232534331</v>
      </c>
      <c r="BD38" s="3">
        <f t="shared" si="25"/>
        <v>2.4409755072279595</v>
      </c>
      <c r="BI38" s="26"/>
      <c r="BJ38" s="26"/>
      <c r="BK38" s="26"/>
    </row>
    <row r="39" spans="1:63">
      <c r="A39" s="62">
        <f t="shared" si="26"/>
        <v>28635.795276381206</v>
      </c>
      <c r="B39" s="62">
        <f t="shared" si="27"/>
        <v>18260.493481461683</v>
      </c>
      <c r="C39" s="62">
        <f t="shared" si="28"/>
        <v>0.14960090697987657</v>
      </c>
      <c r="D39" s="65">
        <f t="shared" si="29"/>
        <v>102.81458269048065</v>
      </c>
      <c r="E39" s="62">
        <f t="shared" si="72"/>
        <v>1.5119791572129506</v>
      </c>
      <c r="F39" s="62">
        <f t="shared" si="30"/>
        <v>14.638815299982383</v>
      </c>
      <c r="G39" s="62">
        <f t="shared" si="31"/>
        <v>-15.736292052827018</v>
      </c>
      <c r="H39" s="62">
        <f t="shared" si="32"/>
        <v>108.31154495200086</v>
      </c>
      <c r="I39" s="62">
        <f t="shared" si="33"/>
        <v>11.914443105009576</v>
      </c>
      <c r="J39" s="62">
        <f t="shared" si="34"/>
        <v>96.397101846991276</v>
      </c>
      <c r="K39" s="62">
        <f t="shared" si="35"/>
        <v>466.24921718212937</v>
      </c>
      <c r="L39" s="62">
        <f t="shared" si="36"/>
        <v>369.86054590980376</v>
      </c>
      <c r="M39" s="62">
        <f t="shared" si="37"/>
        <v>29457.707600625214</v>
      </c>
      <c r="N39" s="62">
        <f t="shared" si="38"/>
        <v>96.38867127232561</v>
      </c>
      <c r="O39" s="2">
        <f t="shared" si="15"/>
        <v>102.81458269048065</v>
      </c>
      <c r="P39" s="2">
        <f t="shared" si="73"/>
        <v>1.5119791572129506</v>
      </c>
      <c r="Q39" s="2">
        <f t="shared" si="74"/>
        <v>0.46580607565267396</v>
      </c>
      <c r="R39" s="2">
        <f t="shared" si="3"/>
        <v>0.46580607565267396</v>
      </c>
      <c r="S39" s="67">
        <f t="shared" si="16"/>
        <v>29457.707600625214</v>
      </c>
      <c r="T39" s="63">
        <f t="shared" si="39"/>
        <v>35951.52081538763</v>
      </c>
      <c r="U39" s="63">
        <f t="shared" si="40"/>
        <v>25641.534882172862</v>
      </c>
      <c r="V39" s="63">
        <f t="shared" si="41"/>
        <v>2.3363467887150047E-2</v>
      </c>
      <c r="W39" s="63">
        <f t="shared" si="42"/>
        <v>25.198566061935463</v>
      </c>
      <c r="X39" s="63">
        <f t="shared" si="43"/>
        <v>0.27095232324661789</v>
      </c>
      <c r="Y39" s="63">
        <f t="shared" si="44"/>
        <v>18.378664461399243</v>
      </c>
      <c r="Z39" s="63">
        <f t="shared" si="45"/>
        <v>-144.91700082892834</v>
      </c>
      <c r="AA39" s="63">
        <f t="shared" si="46"/>
        <v>38.299223070045429</v>
      </c>
      <c r="AB39" s="63">
        <f t="shared" si="47"/>
        <v>4.2129757676002635</v>
      </c>
      <c r="AC39" s="63">
        <f t="shared" si="48"/>
        <v>34.086247302445166</v>
      </c>
      <c r="AD39" s="63">
        <f t="shared" si="49"/>
        <v>25.5142356832975</v>
      </c>
      <c r="AE39" s="63">
        <f t="shared" si="50"/>
        <v>6.6153111368459037</v>
      </c>
      <c r="AF39" s="63">
        <f t="shared" si="51"/>
        <v>35966.221506802845</v>
      </c>
      <c r="AG39" s="63">
        <f t="shared" si="52"/>
        <v>18.898924546451596</v>
      </c>
      <c r="AH39" s="2">
        <f t="shared" si="60"/>
        <v>25.198566061935463</v>
      </c>
      <c r="AI39" s="2">
        <f t="shared" si="18"/>
        <v>0.27095232324661789</v>
      </c>
      <c r="AJ39" s="2">
        <f t="shared" si="75"/>
        <v>0.14388638428367548</v>
      </c>
      <c r="AK39" s="2">
        <f t="shared" si="61"/>
        <v>0.14388638428367548</v>
      </c>
      <c r="AL39" s="67">
        <f t="shared" si="19"/>
        <v>35966.221506802845</v>
      </c>
      <c r="AM39" s="46">
        <v>0</v>
      </c>
      <c r="AN39" s="46">
        <f t="shared" si="6"/>
        <v>0</v>
      </c>
      <c r="AO39" s="46">
        <f t="shared" si="7"/>
        <v>0</v>
      </c>
      <c r="AP39" s="2">
        <f t="shared" si="53"/>
        <v>0</v>
      </c>
      <c r="AQ39" s="2">
        <f t="shared" si="20"/>
        <v>0</v>
      </c>
      <c r="AR39" s="2">
        <f t="shared" si="76"/>
        <v>0</v>
      </c>
      <c r="AS39" s="2">
        <f t="shared" si="21"/>
        <v>0</v>
      </c>
      <c r="AT39" s="64">
        <f t="shared" si="9"/>
        <v>43902.028363634541</v>
      </c>
      <c r="AU39" s="64">
        <f t="shared" si="10"/>
        <v>128.0131487524161</v>
      </c>
      <c r="AV39" s="64">
        <f t="shared" si="22"/>
        <v>1.7829314804595686</v>
      </c>
      <c r="AW39" s="64">
        <f t="shared" si="23"/>
        <v>0.90143946481199511</v>
      </c>
      <c r="AX39" s="2">
        <f t="shared" si="77"/>
        <v>128.0131487524161</v>
      </c>
      <c r="AY39" s="2">
        <f t="shared" si="77"/>
        <v>1.7829314804595686</v>
      </c>
      <c r="AZ39" s="3">
        <f t="shared" si="78"/>
        <v>3.2459412537597525</v>
      </c>
      <c r="BA39" s="3">
        <f t="shared" si="13"/>
        <v>0.60969245993634946</v>
      </c>
      <c r="BB39" s="3">
        <f t="shared" si="14"/>
        <v>0.60969245993634946</v>
      </c>
      <c r="BC39" s="3">
        <f t="shared" si="24"/>
        <v>12195.316549760493</v>
      </c>
      <c r="BD39" s="3">
        <f t="shared" si="25"/>
        <v>0.74327542779521949</v>
      </c>
      <c r="BI39" s="26"/>
      <c r="BJ39" s="26"/>
      <c r="BK39" s="26"/>
    </row>
    <row r="40" spans="1:63">
      <c r="A40" s="62">
        <f t="shared" si="26"/>
        <v>29457.707600625214</v>
      </c>
      <c r="B40" s="62">
        <f t="shared" si="27"/>
        <v>18661.170371084365</v>
      </c>
      <c r="C40" s="62">
        <f t="shared" si="28"/>
        <v>0.30779900074503519</v>
      </c>
      <c r="D40" s="65">
        <f t="shared" si="29"/>
        <v>217.60927112908485</v>
      </c>
      <c r="E40" s="62">
        <f t="shared" si="72"/>
        <v>3.2001363401336005</v>
      </c>
      <c r="F40" s="62">
        <f t="shared" si="30"/>
        <v>15.058982527442312</v>
      </c>
      <c r="G40" s="62">
        <f t="shared" si="31"/>
        <v>-182.24329106507031</v>
      </c>
      <c r="H40" s="62">
        <f t="shared" si="32"/>
        <v>229.24370974519616</v>
      </c>
      <c r="I40" s="62">
        <f t="shared" si="33"/>
        <v>25.21717456944107</v>
      </c>
      <c r="J40" s="62">
        <f t="shared" si="34"/>
        <v>204.0265351757551</v>
      </c>
      <c r="K40" s="62">
        <f t="shared" si="35"/>
        <v>837.88938481370519</v>
      </c>
      <c r="L40" s="62">
        <f t="shared" si="36"/>
        <v>633.88069313018809</v>
      </c>
      <c r="M40" s="62">
        <f t="shared" si="37"/>
        <v>30866.331363136742</v>
      </c>
      <c r="N40" s="62">
        <f t="shared" si="38"/>
        <v>204.0086916835171</v>
      </c>
      <c r="O40" s="2">
        <f t="shared" si="15"/>
        <v>133.91004305824737</v>
      </c>
      <c r="P40" s="2">
        <f t="shared" si="73"/>
        <v>1.9692653390918728</v>
      </c>
      <c r="Q40" s="2">
        <f t="shared" si="74"/>
        <v>0.98588855741825376</v>
      </c>
      <c r="R40" s="2">
        <f t="shared" si="3"/>
        <v>0.60668545273605479</v>
      </c>
      <c r="S40" s="67">
        <f t="shared" si="16"/>
        <v>50159.044960051026</v>
      </c>
      <c r="T40" s="63">
        <f t="shared" si="39"/>
        <v>35966.221506802845</v>
      </c>
      <c r="U40" s="63">
        <f t="shared" si="40"/>
        <v>25561.215835891955</v>
      </c>
      <c r="V40" s="63">
        <f t="shared" si="41"/>
        <v>0.10373953889024251</v>
      </c>
      <c r="W40" s="63">
        <f t="shared" si="42"/>
        <v>111.93357704220151</v>
      </c>
      <c r="X40" s="63">
        <f t="shared" si="43"/>
        <v>1.2035868499161453</v>
      </c>
      <c r="Y40" s="63">
        <f t="shared" si="44"/>
        <v>18.386179555858202</v>
      </c>
      <c r="Z40" s="63">
        <f t="shared" si="45"/>
        <v>-252.10533979283747</v>
      </c>
      <c r="AA40" s="63">
        <f t="shared" si="46"/>
        <v>170.12749954225433</v>
      </c>
      <c r="AB40" s="63">
        <f t="shared" si="47"/>
        <v>18.714296936600814</v>
      </c>
      <c r="AC40" s="63">
        <f t="shared" si="48"/>
        <v>151.41320260565351</v>
      </c>
      <c r="AD40" s="63">
        <f t="shared" si="49"/>
        <v>504.96067323543008</v>
      </c>
      <c r="AE40" s="63">
        <f t="shared" si="50"/>
        <v>421.01049045377897</v>
      </c>
      <c r="AF40" s="63">
        <f t="shared" si="51"/>
        <v>36901.800374477913</v>
      </c>
      <c r="AG40" s="63">
        <f t="shared" si="52"/>
        <v>83.950182781651108</v>
      </c>
      <c r="AH40" s="2">
        <f t="shared" si="60"/>
        <v>103.384927940449</v>
      </c>
      <c r="AI40" s="2">
        <f t="shared" si="18"/>
        <v>1.1116658918327851</v>
      </c>
      <c r="AJ40" s="2">
        <f t="shared" si="75"/>
        <v>0.63915215020388128</v>
      </c>
      <c r="AK40" s="2">
        <f t="shared" si="61"/>
        <v>0.39331454726394527</v>
      </c>
      <c r="AL40" s="67">
        <f t="shared" si="19"/>
        <v>59966.927793072347</v>
      </c>
      <c r="AM40" s="46">
        <v>0</v>
      </c>
      <c r="AN40" s="46">
        <f t="shared" si="6"/>
        <v>0</v>
      </c>
      <c r="AO40" s="46">
        <f t="shared" si="7"/>
        <v>0</v>
      </c>
      <c r="AP40" s="2">
        <f t="shared" si="53"/>
        <v>0</v>
      </c>
      <c r="AQ40" s="2">
        <f t="shared" si="20"/>
        <v>0</v>
      </c>
      <c r="AR40" s="2">
        <f t="shared" si="76"/>
        <v>0</v>
      </c>
      <c r="AS40" s="2">
        <f t="shared" si="21"/>
        <v>0</v>
      </c>
      <c r="AT40" s="64">
        <f t="shared" si="9"/>
        <v>44222.38620697632</v>
      </c>
      <c r="AU40" s="64">
        <f t="shared" si="10"/>
        <v>237.29497099869639</v>
      </c>
      <c r="AV40" s="64">
        <f t="shared" si="22"/>
        <v>4.403723190049746</v>
      </c>
      <c r="AW40" s="64">
        <f t="shared" si="23"/>
        <v>0.10167160150786136</v>
      </c>
      <c r="AX40" s="2">
        <f t="shared" si="77"/>
        <v>237.29497099869639</v>
      </c>
      <c r="AY40" s="2">
        <f t="shared" si="77"/>
        <v>3.0809312309246577</v>
      </c>
      <c r="AZ40" s="3">
        <f t="shared" si="78"/>
        <v>3.2459412537597525</v>
      </c>
      <c r="BA40" s="3">
        <f t="shared" si="13"/>
        <v>1.6250407076221349</v>
      </c>
      <c r="BB40" s="3">
        <f t="shared" si="14"/>
        <v>1</v>
      </c>
      <c r="BC40" s="3">
        <f t="shared" si="24"/>
        <v>21375.058629175801</v>
      </c>
      <c r="BD40" s="3">
        <f t="shared" si="25"/>
        <v>2.4148643812986617</v>
      </c>
      <c r="BI40" s="26"/>
      <c r="BJ40" s="26"/>
      <c r="BK40" s="26"/>
    </row>
    <row r="41" spans="1:63">
      <c r="A41" s="62">
        <f t="shared" si="26"/>
        <v>30866.331363136742</v>
      </c>
      <c r="B41" s="62">
        <f t="shared" si="27"/>
        <v>19663.398029905231</v>
      </c>
      <c r="C41" s="62">
        <f t="shared" si="28"/>
        <v>0.13447704032676402</v>
      </c>
      <c r="D41" s="65">
        <f t="shared" si="29"/>
        <v>99.619509299035215</v>
      </c>
      <c r="E41" s="62">
        <f t="shared" si="72"/>
        <v>1.4649927838093415</v>
      </c>
      <c r="F41" s="62">
        <f t="shared" si="30"/>
        <v>15.779080673400928</v>
      </c>
      <c r="G41" s="62">
        <f t="shared" si="31"/>
        <v>-30.169055581859894</v>
      </c>
      <c r="H41" s="62">
        <f t="shared" si="32"/>
        <v>104.94564756462056</v>
      </c>
      <c r="I41" s="62">
        <f t="shared" si="33"/>
        <v>11.544189011256092</v>
      </c>
      <c r="J41" s="62">
        <f t="shared" si="34"/>
        <v>93.401458553364463</v>
      </c>
      <c r="K41" s="62">
        <f t="shared" si="35"/>
        <v>436.83823718496245</v>
      </c>
      <c r="L41" s="62">
        <f t="shared" si="36"/>
        <v>343.44494721711692</v>
      </c>
      <c r="M41" s="62">
        <f t="shared" si="37"/>
        <v>31629.542356952556</v>
      </c>
      <c r="N41" s="62">
        <f t="shared" si="38"/>
        <v>93.393289967845533</v>
      </c>
      <c r="O41" s="2">
        <f t="shared" si="15"/>
        <v>99.619509299035229</v>
      </c>
      <c r="P41" s="2">
        <f t="shared" si="73"/>
        <v>1.4649927838093415</v>
      </c>
      <c r="Q41" s="2">
        <f t="shared" si="74"/>
        <v>0.45133065243015408</v>
      </c>
      <c r="R41" s="2">
        <f t="shared" si="3"/>
        <v>0.45133065243015408</v>
      </c>
      <c r="S41" s="67">
        <f t="shared" si="16"/>
        <v>31629.542356952556</v>
      </c>
      <c r="T41" s="63">
        <f t="shared" si="39"/>
        <v>36901.800374477913</v>
      </c>
      <c r="U41" s="63">
        <f t="shared" si="40"/>
        <v>26312.211842921515</v>
      </c>
      <c r="V41" s="63">
        <f t="shared" si="41"/>
        <v>2.2870293194910924E-2</v>
      </c>
      <c r="W41" s="63">
        <f t="shared" si="42"/>
        <v>25.318649819531508</v>
      </c>
      <c r="X41" s="63">
        <f t="shared" si="43"/>
        <v>0.27224354644657534</v>
      </c>
      <c r="Y41" s="63">
        <f t="shared" si="44"/>
        <v>18.864453901315553</v>
      </c>
      <c r="Z41" s="63">
        <f t="shared" si="45"/>
        <v>-153.81665645292469</v>
      </c>
      <c r="AA41" s="63">
        <f t="shared" si="46"/>
        <v>38.481738003949047</v>
      </c>
      <c r="AB41" s="63">
        <f t="shared" si="47"/>
        <v>4.2330527021207054</v>
      </c>
      <c r="AC41" s="63">
        <f t="shared" si="48"/>
        <v>34.248685301828345</v>
      </c>
      <c r="AD41" s="63">
        <f t="shared" si="49"/>
        <v>17.426770056217038</v>
      </c>
      <c r="AE41" s="63">
        <f t="shared" si="50"/>
        <v>-1.5622173084315953</v>
      </c>
      <c r="AF41" s="63">
        <f t="shared" si="51"/>
        <v>36898.328780459175</v>
      </c>
      <c r="AG41" s="63">
        <f t="shared" si="52"/>
        <v>18.988987364648633</v>
      </c>
      <c r="AH41" s="2">
        <f t="shared" si="60"/>
        <v>25.318649819531508</v>
      </c>
      <c r="AI41" s="2">
        <f t="shared" si="18"/>
        <v>0.27224354644657534</v>
      </c>
      <c r="AJ41" s="2">
        <f t="shared" si="75"/>
        <v>0.14457207479674766</v>
      </c>
      <c r="AK41" s="2">
        <f t="shared" si="61"/>
        <v>0.14457207479674766</v>
      </c>
      <c r="AL41" s="67">
        <f t="shared" si="19"/>
        <v>36898.328780459175</v>
      </c>
      <c r="AM41" s="46">
        <v>0</v>
      </c>
      <c r="AN41" s="46">
        <f t="shared" si="6"/>
        <v>0</v>
      </c>
      <c r="AO41" s="46">
        <f t="shared" si="7"/>
        <v>0</v>
      </c>
      <c r="AP41" s="2">
        <f t="shared" si="53"/>
        <v>0</v>
      </c>
      <c r="AQ41" s="2">
        <f t="shared" si="20"/>
        <v>0</v>
      </c>
      <c r="AR41" s="2">
        <f t="shared" si="76"/>
        <v>0</v>
      </c>
      <c r="AS41" s="2">
        <f t="shared" si="21"/>
        <v>0</v>
      </c>
      <c r="AT41" s="64">
        <f t="shared" si="9"/>
        <v>45975.609872826746</v>
      </c>
      <c r="AU41" s="64">
        <f t="shared" si="10"/>
        <v>124.93815911856674</v>
      </c>
      <c r="AV41" s="64">
        <f t="shared" si="22"/>
        <v>1.7372363302559168</v>
      </c>
      <c r="AW41" s="64">
        <f t="shared" si="23"/>
        <v>0.92959471879308508</v>
      </c>
      <c r="AX41" s="2">
        <f t="shared" si="77"/>
        <v>124.93815911856674</v>
      </c>
      <c r="AY41" s="2">
        <f t="shared" si="77"/>
        <v>1.7372363302559168</v>
      </c>
      <c r="AZ41" s="3">
        <f t="shared" si="78"/>
        <v>3.2459412537597525</v>
      </c>
      <c r="BA41" s="3">
        <f t="shared" si="13"/>
        <v>0.59590272722690174</v>
      </c>
      <c r="BB41" s="3">
        <f t="shared" si="14"/>
        <v>0.59590272722690174</v>
      </c>
      <c r="BC41" s="3">
        <f t="shared" si="24"/>
        <v>12678.705320453653</v>
      </c>
      <c r="BD41" s="3">
        <f t="shared" si="25"/>
        <v>0.70055496328194389</v>
      </c>
      <c r="BI41" s="26"/>
      <c r="BJ41" s="26"/>
      <c r="BK41" s="26"/>
    </row>
    <row r="42" spans="1:63">
      <c r="A42" s="62">
        <f t="shared" si="26"/>
        <v>31629.542356952556</v>
      </c>
      <c r="B42" s="62">
        <f t="shared" si="27"/>
        <v>20026.231194179145</v>
      </c>
      <c r="C42" s="62">
        <f t="shared" si="28"/>
        <v>0.2821880195338331</v>
      </c>
      <c r="D42" s="65">
        <f t="shared" si="29"/>
        <v>214.21146999527829</v>
      </c>
      <c r="E42" s="62">
        <f t="shared" si="72"/>
        <v>3.1501686764011514</v>
      </c>
      <c r="F42" s="62">
        <f t="shared" si="30"/>
        <v>16.169239377412921</v>
      </c>
      <c r="G42" s="62">
        <f t="shared" si="31"/>
        <v>-197.03274405898475</v>
      </c>
      <c r="H42" s="62">
        <f t="shared" si="32"/>
        <v>225.66424581496594</v>
      </c>
      <c r="I42" s="62">
        <f t="shared" si="33"/>
        <v>24.823427814540089</v>
      </c>
      <c r="J42" s="62">
        <f t="shared" si="34"/>
        <v>200.84081800042586</v>
      </c>
      <c r="K42" s="62">
        <f t="shared" si="35"/>
        <v>807.17134594314462</v>
      </c>
      <c r="L42" s="62">
        <f t="shared" si="36"/>
        <v>606.34809282257118</v>
      </c>
      <c r="M42" s="62">
        <f t="shared" si="37"/>
        <v>32976.982563224934</v>
      </c>
      <c r="N42" s="62">
        <f t="shared" si="38"/>
        <v>200.82325312057344</v>
      </c>
      <c r="O42" s="2">
        <f t="shared" si="15"/>
        <v>134.8247212522563</v>
      </c>
      <c r="P42" s="2">
        <f t="shared" si="73"/>
        <v>1.9827164890037692</v>
      </c>
      <c r="Q42" s="2">
        <f t="shared" si="74"/>
        <v>0.97049466707147936</v>
      </c>
      <c r="R42" s="2">
        <f t="shared" si="3"/>
        <v>0.61082944329543909</v>
      </c>
      <c r="S42" s="67">
        <f t="shared" si="16"/>
        <v>52394.307551804828</v>
      </c>
      <c r="T42" s="63">
        <f t="shared" si="39"/>
        <v>36898.328780459175</v>
      </c>
      <c r="U42" s="63">
        <f t="shared" si="40"/>
        <v>26223.132083945544</v>
      </c>
      <c r="V42" s="63">
        <f t="shared" si="41"/>
        <v>9.782308242543386E-2</v>
      </c>
      <c r="W42" s="63">
        <f t="shared" si="42"/>
        <v>108.28524772954847</v>
      </c>
      <c r="X42" s="63">
        <f t="shared" si="43"/>
        <v>1.1643575024682631</v>
      </c>
      <c r="Y42" s="63">
        <f t="shared" si="44"/>
        <v>18.862679198600077</v>
      </c>
      <c r="Z42" s="63">
        <f t="shared" si="45"/>
        <v>-256.0915244968491</v>
      </c>
      <c r="AA42" s="63">
        <f t="shared" si="46"/>
        <v>164.58241503884065</v>
      </c>
      <c r="AB42" s="63">
        <f t="shared" si="47"/>
        <v>18.104328776164451</v>
      </c>
      <c r="AC42" s="63">
        <f t="shared" si="48"/>
        <v>146.47808626267619</v>
      </c>
      <c r="AD42" s="63">
        <f t="shared" si="49"/>
        <v>476.29890681653188</v>
      </c>
      <c r="AE42" s="63">
        <f t="shared" si="50"/>
        <v>395.08497101937053</v>
      </c>
      <c r="AF42" s="63">
        <f t="shared" si="51"/>
        <v>37776.295382724442</v>
      </c>
      <c r="AG42" s="63">
        <f t="shared" si="52"/>
        <v>81.213935797161355</v>
      </c>
      <c r="AH42" s="2">
        <f t="shared" si="60"/>
        <v>102.44396107291269</v>
      </c>
      <c r="AI42" s="2">
        <f t="shared" si="18"/>
        <v>1.1015479685259428</v>
      </c>
      <c r="AJ42" s="2">
        <f t="shared" si="75"/>
        <v>0.61831981743607478</v>
      </c>
      <c r="AK42" s="2">
        <f t="shared" si="61"/>
        <v>0.38917055670456085</v>
      </c>
      <c r="AL42" s="67">
        <f t="shared" si="19"/>
        <v>60019.525275108434</v>
      </c>
      <c r="AM42" s="46">
        <v>0</v>
      </c>
      <c r="AN42" s="46">
        <f t="shared" si="6"/>
        <v>0</v>
      </c>
      <c r="AO42" s="46">
        <f t="shared" si="7"/>
        <v>0</v>
      </c>
      <c r="AP42" s="2">
        <f t="shared" si="53"/>
        <v>0</v>
      </c>
      <c r="AQ42" s="2">
        <f t="shared" si="20"/>
        <v>0</v>
      </c>
      <c r="AR42" s="2">
        <f t="shared" si="76"/>
        <v>0</v>
      </c>
      <c r="AS42" s="2">
        <f t="shared" si="21"/>
        <v>0</v>
      </c>
      <c r="AT42" s="64">
        <f t="shared" si="9"/>
        <v>46249.363278124685</v>
      </c>
      <c r="AU42" s="64">
        <f t="shared" si="10"/>
        <v>237.26868232516898</v>
      </c>
      <c r="AV42" s="64">
        <f t="shared" si="22"/>
        <v>4.3145261788694143</v>
      </c>
      <c r="AW42" s="64">
        <f t="shared" si="23"/>
        <v>9.9617820281110325E-2</v>
      </c>
      <c r="AX42" s="2">
        <f t="shared" si="77"/>
        <v>237.26868232516898</v>
      </c>
      <c r="AY42" s="2">
        <f t="shared" si="77"/>
        <v>3.084264457529712</v>
      </c>
      <c r="AZ42" s="3">
        <f t="shared" si="78"/>
        <v>3.2459412537597525</v>
      </c>
      <c r="BA42" s="3">
        <f t="shared" si="13"/>
        <v>1.5888144845075542</v>
      </c>
      <c r="BB42" s="3">
        <f t="shared" si="14"/>
        <v>1</v>
      </c>
      <c r="BC42" s="3">
        <f t="shared" si="24"/>
        <v>22437.882563292522</v>
      </c>
      <c r="BD42" s="3">
        <f t="shared" si="25"/>
        <v>2.3773494363315515</v>
      </c>
      <c r="BI42" s="26"/>
      <c r="BJ42" s="26"/>
      <c r="BK42" s="26"/>
    </row>
    <row r="43" spans="1:63">
      <c r="A43" s="62">
        <f t="shared" si="26"/>
        <v>32976.982563224934</v>
      </c>
      <c r="B43" s="62">
        <f t="shared" si="27"/>
        <v>20989.710484826988</v>
      </c>
      <c r="C43" s="62">
        <f t="shared" si="28"/>
        <v>0.12297523294297537</v>
      </c>
      <c r="D43" s="65">
        <f t="shared" si="29"/>
        <v>97.328450699256564</v>
      </c>
      <c r="E43" s="62">
        <f t="shared" si="72"/>
        <v>1.4313007455773024</v>
      </c>
      <c r="F43" s="62">
        <f t="shared" si="30"/>
        <v>16.858060069033826</v>
      </c>
      <c r="G43" s="62">
        <f t="shared" si="31"/>
        <v>-45.271270522497922</v>
      </c>
      <c r="H43" s="62">
        <f t="shared" si="32"/>
        <v>102.53209794914788</v>
      </c>
      <c r="I43" s="62">
        <f t="shared" si="33"/>
        <v>11.278694694953888</v>
      </c>
      <c r="J43" s="62">
        <f t="shared" si="34"/>
        <v>91.253403254193998</v>
      </c>
      <c r="K43" s="62">
        <f t="shared" si="35"/>
        <v>410.99574574847207</v>
      </c>
      <c r="L43" s="62">
        <f t="shared" si="36"/>
        <v>319.75032321791906</v>
      </c>
      <c r="M43" s="62">
        <f t="shared" si="37"/>
        <v>33687.538837042535</v>
      </c>
      <c r="N43" s="62">
        <f t="shared" si="38"/>
        <v>91.245422530553014</v>
      </c>
      <c r="O43" s="2">
        <f t="shared" si="15"/>
        <v>97.328450699256564</v>
      </c>
      <c r="P43" s="2">
        <f t="shared" si="73"/>
        <v>1.4313007455773024</v>
      </c>
      <c r="Q43" s="2">
        <f t="shared" si="74"/>
        <v>0.44095090874470882</v>
      </c>
      <c r="R43" s="2">
        <f t="shared" si="3"/>
        <v>0.44095090874470882</v>
      </c>
      <c r="S43" s="67">
        <f t="shared" si="16"/>
        <v>33687.538837042535</v>
      </c>
      <c r="T43" s="63">
        <f t="shared" si="39"/>
        <v>37776.295382724442</v>
      </c>
      <c r="U43" s="63">
        <f t="shared" si="40"/>
        <v>26929.454969463903</v>
      </c>
      <c r="V43" s="63">
        <f t="shared" si="41"/>
        <v>2.2794634667118424E-2</v>
      </c>
      <c r="W43" s="63">
        <f t="shared" si="42"/>
        <v>25.832905569790686</v>
      </c>
      <c r="X43" s="63">
        <f t="shared" si="43"/>
        <v>0.2777731781697923</v>
      </c>
      <c r="Y43" s="63">
        <f t="shared" si="44"/>
        <v>19.31150175812979</v>
      </c>
      <c r="Z43" s="63">
        <f t="shared" si="45"/>
        <v>-162.14889280680191</v>
      </c>
      <c r="AA43" s="63">
        <f t="shared" si="46"/>
        <v>39.263353737392769</v>
      </c>
      <c r="AB43" s="63">
        <f t="shared" si="47"/>
        <v>4.3190316823875134</v>
      </c>
      <c r="AC43" s="63">
        <f t="shared" si="48"/>
        <v>34.944322055005259</v>
      </c>
      <c r="AD43" s="63">
        <f t="shared" si="49"/>
        <v>12.572717468224397</v>
      </c>
      <c r="AE43" s="63">
        <f t="shared" si="50"/>
        <v>-6.8019617091186184</v>
      </c>
      <c r="AF43" s="63">
        <f t="shared" si="51"/>
        <v>37761.179912259737</v>
      </c>
      <c r="AG43" s="63">
        <f t="shared" si="52"/>
        <v>19.374679177343015</v>
      </c>
      <c r="AH43" s="2">
        <f t="shared" si="60"/>
        <v>25.832905569790686</v>
      </c>
      <c r="AI43" s="2">
        <f t="shared" si="18"/>
        <v>0.2777731781697923</v>
      </c>
      <c r="AJ43" s="2">
        <f t="shared" si="75"/>
        <v>0.14750852762188107</v>
      </c>
      <c r="AK43" s="2">
        <f t="shared" si="61"/>
        <v>0.14750852762188107</v>
      </c>
      <c r="AL43" s="67">
        <f t="shared" si="19"/>
        <v>37761.179912259737</v>
      </c>
      <c r="AM43" s="46">
        <v>0</v>
      </c>
      <c r="AN43" s="46">
        <f t="shared" si="6"/>
        <v>0</v>
      </c>
      <c r="AO43" s="46">
        <f t="shared" si="7"/>
        <v>0</v>
      </c>
      <c r="AP43" s="2">
        <f t="shared" si="53"/>
        <v>0</v>
      </c>
      <c r="AQ43" s="2">
        <f t="shared" si="20"/>
        <v>0</v>
      </c>
      <c r="AR43" s="2">
        <f t="shared" si="76"/>
        <v>0</v>
      </c>
      <c r="AS43" s="2">
        <f t="shared" si="21"/>
        <v>0</v>
      </c>
      <c r="AT43" s="64">
        <f t="shared" si="9"/>
        <v>47919.165454290895</v>
      </c>
      <c r="AU43" s="64">
        <f t="shared" si="10"/>
        <v>123.16135626904725</v>
      </c>
      <c r="AV43" s="64">
        <f t="shared" si="22"/>
        <v>1.7090739237470947</v>
      </c>
      <c r="AW43" s="64">
        <f t="shared" si="23"/>
        <v>0.94694710092643508</v>
      </c>
      <c r="AX43" s="2">
        <f t="shared" si="77"/>
        <v>123.16135626904725</v>
      </c>
      <c r="AY43" s="2">
        <f t="shared" si="77"/>
        <v>1.7090739237470947</v>
      </c>
      <c r="AZ43" s="3">
        <f t="shared" si="78"/>
        <v>3.2459412537597525</v>
      </c>
      <c r="BA43" s="3">
        <f t="shared" si="13"/>
        <v>0.58845943636658993</v>
      </c>
      <c r="BB43" s="3">
        <f t="shared" si="14"/>
        <v>0.58845943636658993</v>
      </c>
      <c r="BC43" s="3">
        <f t="shared" si="24"/>
        <v>13227.756164778173</v>
      </c>
      <c r="BD43" s="3">
        <f t="shared" si="25"/>
        <v>0.67210727697396733</v>
      </c>
      <c r="BI43" s="26"/>
      <c r="BJ43" s="26"/>
      <c r="BK43" s="26"/>
    </row>
    <row r="44" spans="1:63">
      <c r="A44" s="62">
        <f t="shared" si="26"/>
        <v>33687.538837042535</v>
      </c>
      <c r="B44" s="62">
        <f t="shared" si="27"/>
        <v>21320.477918036053</v>
      </c>
      <c r="C44" s="62">
        <f t="shared" si="28"/>
        <v>0.2598887683660881</v>
      </c>
      <c r="D44" s="65">
        <f t="shared" si="29"/>
        <v>210.12031146344984</v>
      </c>
      <c r="E44" s="62">
        <f t="shared" si="72"/>
        <v>3.0900045803448504</v>
      </c>
      <c r="F44" s="62">
        <f t="shared" si="30"/>
        <v>17.221301318395561</v>
      </c>
      <c r="G44" s="62">
        <f t="shared" si="31"/>
        <v>-209.96433344874615</v>
      </c>
      <c r="H44" s="62">
        <f t="shared" si="32"/>
        <v>221.35435426427128</v>
      </c>
      <c r="I44" s="62">
        <f t="shared" si="33"/>
        <v>24.349332853635698</v>
      </c>
      <c r="J44" s="62">
        <f t="shared" si="34"/>
        <v>197.00502141063558</v>
      </c>
      <c r="K44" s="62">
        <f t="shared" si="35"/>
        <v>775.06077360443169</v>
      </c>
      <c r="L44" s="62">
        <f t="shared" si="36"/>
        <v>578.07298160744745</v>
      </c>
      <c r="M44" s="62">
        <f t="shared" si="37"/>
        <v>34972.145462836866</v>
      </c>
      <c r="N44" s="62">
        <f t="shared" si="38"/>
        <v>196.98779199698424</v>
      </c>
      <c r="O44" s="2">
        <f t="shared" si="15"/>
        <v>135.45146734960849</v>
      </c>
      <c r="P44" s="2">
        <f t="shared" si="73"/>
        <v>1.9919333433765953</v>
      </c>
      <c r="Q44" s="2">
        <f t="shared" si="74"/>
        <v>0.95195948995248092</v>
      </c>
      <c r="R44" s="2">
        <f t="shared" si="3"/>
        <v>0.61366894458405619</v>
      </c>
      <c r="S44" s="67">
        <f t="shared" si="16"/>
        <v>54250.856347165267</v>
      </c>
      <c r="T44" s="63">
        <f t="shared" si="39"/>
        <v>37761.179912259737</v>
      </c>
      <c r="U44" s="63">
        <f t="shared" si="40"/>
        <v>26836.270643274202</v>
      </c>
      <c r="V44" s="63">
        <f t="shared" si="41"/>
        <v>9.2647405074609002E-2</v>
      </c>
      <c r="W44" s="63">
        <f t="shared" si="42"/>
        <v>104.95425994278948</v>
      </c>
      <c r="X44" s="63">
        <f t="shared" si="43"/>
        <v>1.12854042949236</v>
      </c>
      <c r="Y44" s="63">
        <f t="shared" si="44"/>
        <v>19.303774625770814</v>
      </c>
      <c r="Z44" s="63">
        <f t="shared" si="45"/>
        <v>-259.50003330616204</v>
      </c>
      <c r="AA44" s="63">
        <f t="shared" si="46"/>
        <v>159.51965694478423</v>
      </c>
      <c r="AB44" s="63">
        <f t="shared" si="47"/>
        <v>17.547417291864292</v>
      </c>
      <c r="AC44" s="63">
        <f t="shared" si="48"/>
        <v>141.97223965291994</v>
      </c>
      <c r="AD44" s="63">
        <f t="shared" si="49"/>
        <v>450.36116495843766</v>
      </c>
      <c r="AE44" s="63">
        <f t="shared" si="50"/>
        <v>371.64547000134553</v>
      </c>
      <c r="AF44" s="63">
        <f t="shared" si="51"/>
        <v>38587.058734484948</v>
      </c>
      <c r="AG44" s="63">
        <f t="shared" si="52"/>
        <v>78.715694957092126</v>
      </c>
      <c r="AH44" s="2">
        <f t="shared" si="60"/>
        <v>100.75664271467501</v>
      </c>
      <c r="AI44" s="2">
        <f t="shared" si="18"/>
        <v>1.0834047603728496</v>
      </c>
      <c r="AJ44" s="2">
        <f t="shared" si="75"/>
        <v>0.59929953717283269</v>
      </c>
      <c r="AK44" s="2">
        <f t="shared" si="61"/>
        <v>0.38633105541594387</v>
      </c>
      <c r="AL44" s="67">
        <f t="shared" si="19"/>
        <v>59858.523192084453</v>
      </c>
      <c r="AM44" s="46">
        <v>0</v>
      </c>
      <c r="AN44" s="46">
        <f t="shared" si="6"/>
        <v>0</v>
      </c>
      <c r="AO44" s="46">
        <f t="shared" si="7"/>
        <v>0</v>
      </c>
      <c r="AP44" s="2">
        <f t="shared" si="53"/>
        <v>0</v>
      </c>
      <c r="AQ44" s="2">
        <f t="shared" si="20"/>
        <v>0</v>
      </c>
      <c r="AR44" s="2">
        <f t="shared" si="76"/>
        <v>0</v>
      </c>
      <c r="AS44" s="2">
        <f t="shared" si="21"/>
        <v>0</v>
      </c>
      <c r="AT44" s="64">
        <f t="shared" si="9"/>
        <v>48156.748561310254</v>
      </c>
      <c r="AU44" s="64">
        <f t="shared" si="10"/>
        <v>236.20811006428352</v>
      </c>
      <c r="AV44" s="64">
        <f t="shared" si="22"/>
        <v>4.2185450098372108</v>
      </c>
      <c r="AW44" s="64">
        <f t="shared" si="23"/>
        <v>0.10511782972824846</v>
      </c>
      <c r="AX44" s="2">
        <f t="shared" si="77"/>
        <v>236.20811006428352</v>
      </c>
      <c r="AY44" s="2">
        <f t="shared" si="77"/>
        <v>3.0753381037494449</v>
      </c>
      <c r="AZ44" s="3">
        <f t="shared" si="78"/>
        <v>3.2459412537597525</v>
      </c>
      <c r="BA44" s="3">
        <f t="shared" si="13"/>
        <v>1.5512590271253135</v>
      </c>
      <c r="BB44" s="3">
        <f t="shared" si="14"/>
        <v>1</v>
      </c>
      <c r="BC44" s="3">
        <f t="shared" si="24"/>
        <v>23451.399943032891</v>
      </c>
      <c r="BD44" s="3">
        <f t="shared" si="25"/>
        <v>2.3322300647854699</v>
      </c>
      <c r="BI44" s="26"/>
      <c r="BJ44" s="26"/>
      <c r="BK44" s="26"/>
    </row>
    <row r="45" spans="1:63">
      <c r="A45" s="62">
        <f t="shared" si="26"/>
        <v>34972.145462836866</v>
      </c>
      <c r="B45" s="62">
        <f t="shared" si="27"/>
        <v>22242.571953050676</v>
      </c>
      <c r="C45" s="62">
        <f t="shared" si="28"/>
        <v>0.11417370595067652</v>
      </c>
      <c r="D45" s="65">
        <f t="shared" si="29"/>
        <v>95.829586860917345</v>
      </c>
      <c r="E45" s="62">
        <f t="shared" si="72"/>
        <v>1.409258630307608</v>
      </c>
      <c r="F45" s="62">
        <f t="shared" si="30"/>
        <v>17.878001051950619</v>
      </c>
      <c r="G45" s="62">
        <f t="shared" si="31"/>
        <v>-60.671534713835996</v>
      </c>
      <c r="H45" s="62">
        <f t="shared" si="32"/>
        <v>100.9530976385408</v>
      </c>
      <c r="I45" s="62">
        <f t="shared" si="33"/>
        <v>11.10500213640108</v>
      </c>
      <c r="J45" s="62">
        <f t="shared" si="34"/>
        <v>89.848095502139714</v>
      </c>
      <c r="K45" s="62">
        <f t="shared" si="35"/>
        <v>388.56894279686253</v>
      </c>
      <c r="L45" s="62">
        <f t="shared" si="36"/>
        <v>298.72870511475253</v>
      </c>
      <c r="M45" s="62">
        <f t="shared" si="37"/>
        <v>35635.987029758537</v>
      </c>
      <c r="N45" s="62">
        <f t="shared" si="38"/>
        <v>89.840237682110001</v>
      </c>
      <c r="O45" s="2">
        <f t="shared" si="15"/>
        <v>95.829586860917345</v>
      </c>
      <c r="P45" s="2">
        <f t="shared" si="73"/>
        <v>1.409258630307608</v>
      </c>
      <c r="Q45" s="2">
        <f t="shared" si="74"/>
        <v>0.434160238936941</v>
      </c>
      <c r="R45" s="2">
        <f t="shared" si="3"/>
        <v>0.434160238936941</v>
      </c>
      <c r="S45" s="67">
        <f t="shared" si="16"/>
        <v>35635.987029758537</v>
      </c>
      <c r="T45" s="63">
        <f t="shared" si="39"/>
        <v>38587.058734484948</v>
      </c>
      <c r="U45" s="63">
        <f t="shared" si="40"/>
        <v>27501.7659614271</v>
      </c>
      <c r="V45" s="63">
        <f t="shared" si="41"/>
        <v>2.3027020204021489E-2</v>
      </c>
      <c r="W45" s="63">
        <f t="shared" si="42"/>
        <v>26.656349432782459</v>
      </c>
      <c r="X45" s="63">
        <f t="shared" si="43"/>
        <v>0.28662741325572538</v>
      </c>
      <c r="Y45" s="63">
        <f t="shared" si="44"/>
        <v>19.725969554252288</v>
      </c>
      <c r="Z45" s="63">
        <f t="shared" si="45"/>
        <v>-169.99129693868744</v>
      </c>
      <c r="AA45" s="63">
        <f t="shared" si="46"/>
        <v>40.514903532602013</v>
      </c>
      <c r="AB45" s="63">
        <f t="shared" si="47"/>
        <v>4.4567041607434916</v>
      </c>
      <c r="AC45" s="63">
        <f t="shared" si="48"/>
        <v>36.058199371858521</v>
      </c>
      <c r="AD45" s="63">
        <f t="shared" si="49"/>
        <v>10.29969992060515</v>
      </c>
      <c r="AE45" s="63">
        <f t="shared" si="50"/>
        <v>-9.6925621539817008</v>
      </c>
      <c r="AF45" s="63">
        <f t="shared" si="51"/>
        <v>38565.519707476102</v>
      </c>
      <c r="AG45" s="63">
        <f t="shared" si="52"/>
        <v>19.992262074586851</v>
      </c>
      <c r="AH45" s="2">
        <f t="shared" si="60"/>
        <v>26.656349432782459</v>
      </c>
      <c r="AI45" s="2">
        <f t="shared" si="18"/>
        <v>0.28662741325572538</v>
      </c>
      <c r="AJ45" s="2">
        <f t="shared" si="75"/>
        <v>0.15221047613019112</v>
      </c>
      <c r="AK45" s="2">
        <f t="shared" si="61"/>
        <v>0.15221047613019112</v>
      </c>
      <c r="AL45" s="67">
        <f t="shared" si="19"/>
        <v>38565.519707476102</v>
      </c>
      <c r="AM45" s="46">
        <v>0</v>
      </c>
      <c r="AN45" s="46">
        <f t="shared" si="6"/>
        <v>0</v>
      </c>
      <c r="AO45" s="46">
        <f t="shared" si="7"/>
        <v>0</v>
      </c>
      <c r="AP45" s="2">
        <f t="shared" si="53"/>
        <v>0</v>
      </c>
      <c r="AQ45" s="2">
        <f t="shared" si="20"/>
        <v>0</v>
      </c>
      <c r="AR45" s="2">
        <f t="shared" si="76"/>
        <v>0</v>
      </c>
      <c r="AS45" s="2">
        <f t="shared" si="21"/>
        <v>0</v>
      </c>
      <c r="AT45" s="64">
        <f t="shared" si="9"/>
        <v>49744.337914477772</v>
      </c>
      <c r="AU45" s="64">
        <f t="shared" si="10"/>
        <v>122.48593629369981</v>
      </c>
      <c r="AV45" s="64">
        <f t="shared" si="22"/>
        <v>1.6958860435633334</v>
      </c>
      <c r="AW45" s="64">
        <f t="shared" si="23"/>
        <v>0.9550728673237695</v>
      </c>
      <c r="AX45" s="2">
        <f t="shared" si="77"/>
        <v>122.48593629369981</v>
      </c>
      <c r="AY45" s="2">
        <f t="shared" si="77"/>
        <v>1.6958860435633334</v>
      </c>
      <c r="AZ45" s="3">
        <f t="shared" si="78"/>
        <v>3.2459412537597525</v>
      </c>
      <c r="BA45" s="3">
        <f t="shared" si="13"/>
        <v>0.58637071506713212</v>
      </c>
      <c r="BB45" s="3">
        <f t="shared" si="14"/>
        <v>0.58637071506713212</v>
      </c>
      <c r="BC45" s="3">
        <f t="shared" si="24"/>
        <v>13842.897245118485</v>
      </c>
      <c r="BD45" s="3">
        <f t="shared" si="25"/>
        <v>0.65547175870191621</v>
      </c>
      <c r="BI45" s="26"/>
      <c r="BJ45" s="26"/>
      <c r="BK45" s="26"/>
    </row>
    <row r="46" spans="1:63">
      <c r="A46" s="62">
        <f t="shared" si="26"/>
        <v>35635.987029758537</v>
      </c>
      <c r="B46" s="62">
        <f t="shared" si="27"/>
        <v>22546.501415608796</v>
      </c>
      <c r="C46" s="62">
        <f t="shared" si="28"/>
        <v>0.24040278748559124</v>
      </c>
      <c r="D46" s="65">
        <f t="shared" si="29"/>
        <v>205.60777480210388</v>
      </c>
      <c r="E46" s="62">
        <f t="shared" si="72"/>
        <v>3.0236437470897628</v>
      </c>
      <c r="F46" s="62">
        <f t="shared" si="30"/>
        <v>18.217361422173425</v>
      </c>
      <c r="G46" s="62">
        <f t="shared" si="31"/>
        <v>-221.29159804491786</v>
      </c>
      <c r="H46" s="62">
        <f t="shared" si="32"/>
        <v>216.60055568188227</v>
      </c>
      <c r="I46" s="62">
        <f t="shared" si="33"/>
        <v>23.826407409560009</v>
      </c>
      <c r="J46" s="62">
        <f t="shared" si="34"/>
        <v>192.77414827232226</v>
      </c>
      <c r="K46" s="62">
        <f t="shared" si="35"/>
        <v>742.57914331669349</v>
      </c>
      <c r="L46" s="62">
        <f t="shared" si="36"/>
        <v>549.82185443972105</v>
      </c>
      <c r="M46" s="62">
        <f t="shared" si="37"/>
        <v>36857.813372957913</v>
      </c>
      <c r="N46" s="62">
        <f t="shared" si="38"/>
        <v>192.75728887697244</v>
      </c>
      <c r="O46" s="2">
        <f t="shared" si="15"/>
        <v>135.86378699865992</v>
      </c>
      <c r="P46" s="2">
        <f t="shared" si="73"/>
        <v>1.9979968676273518</v>
      </c>
      <c r="Q46" s="2">
        <f t="shared" si="74"/>
        <v>0.93151524032897881</v>
      </c>
      <c r="R46" s="2">
        <f t="shared" si="3"/>
        <v>0.61553697723675227</v>
      </c>
      <c r="S46" s="67">
        <f t="shared" si="16"/>
        <v>55778.314141647243</v>
      </c>
      <c r="T46" s="63">
        <f t="shared" si="39"/>
        <v>38565.519707476102</v>
      </c>
      <c r="U46" s="63">
        <f t="shared" si="40"/>
        <v>27408.175341740814</v>
      </c>
      <c r="V46" s="63">
        <f t="shared" si="41"/>
        <v>8.8069611136032219E-2</v>
      </c>
      <c r="W46" s="63">
        <f t="shared" si="42"/>
        <v>101.89350971689223</v>
      </c>
      <c r="X46" s="63">
        <f t="shared" si="43"/>
        <v>1.0956291367407767</v>
      </c>
      <c r="Y46" s="63">
        <f t="shared" si="44"/>
        <v>19.714958655652104</v>
      </c>
      <c r="Z46" s="63">
        <f t="shared" si="45"/>
        <v>-262.43932116583989</v>
      </c>
      <c r="AA46" s="63">
        <f t="shared" si="46"/>
        <v>154.86763208848066</v>
      </c>
      <c r="AB46" s="63">
        <f t="shared" si="47"/>
        <v>17.035687120366124</v>
      </c>
      <c r="AC46" s="63">
        <f t="shared" si="48"/>
        <v>137.83194496811453</v>
      </c>
      <c r="AD46" s="63">
        <f t="shared" si="49"/>
        <v>426.72040367473272</v>
      </c>
      <c r="AE46" s="63">
        <f t="shared" si="50"/>
        <v>350.30027138706356</v>
      </c>
      <c r="AF46" s="63">
        <f t="shared" si="51"/>
        <v>39343.964755002911</v>
      </c>
      <c r="AG46" s="63">
        <f t="shared" si="52"/>
        <v>76.420132287669162</v>
      </c>
      <c r="AH46" s="2">
        <f t="shared" si="60"/>
        <v>98.513319834625207</v>
      </c>
      <c r="AI46" s="2">
        <f t="shared" si="18"/>
        <v>1.0592830089744647</v>
      </c>
      <c r="AJ46" s="2">
        <f t="shared" si="75"/>
        <v>0.58182234096582075</v>
      </c>
      <c r="AK46" s="2">
        <f t="shared" si="61"/>
        <v>0.38446302276324773</v>
      </c>
      <c r="AL46" s="67">
        <f t="shared" si="19"/>
        <v>59540.700460883949</v>
      </c>
      <c r="AM46" s="46">
        <v>0</v>
      </c>
      <c r="AN46" s="46">
        <f t="shared" si="6"/>
        <v>0</v>
      </c>
      <c r="AO46" s="46">
        <f t="shared" si="7"/>
        <v>0</v>
      </c>
      <c r="AP46" s="2">
        <f t="shared" si="53"/>
        <v>0</v>
      </c>
      <c r="AQ46" s="2">
        <f t="shared" si="20"/>
        <v>0</v>
      </c>
      <c r="AR46" s="2">
        <f t="shared" si="76"/>
        <v>0</v>
      </c>
      <c r="AS46" s="2">
        <f t="shared" si="21"/>
        <v>0</v>
      </c>
      <c r="AT46" s="64">
        <f t="shared" si="9"/>
        <v>49954.676757349611</v>
      </c>
      <c r="AU46" s="64">
        <f t="shared" si="10"/>
        <v>234.37710683328513</v>
      </c>
      <c r="AV46" s="64">
        <f t="shared" si="22"/>
        <v>4.1192728838305399</v>
      </c>
      <c r="AW46" s="64">
        <f t="shared" si="23"/>
        <v>0.11624448035799229</v>
      </c>
      <c r="AX46" s="2">
        <f t="shared" si="77"/>
        <v>234.37710683328513</v>
      </c>
      <c r="AY46" s="2">
        <f t="shared" si="77"/>
        <v>3.0572798766018163</v>
      </c>
      <c r="AZ46" s="3">
        <f t="shared" si="78"/>
        <v>3.2459412537597525</v>
      </c>
      <c r="BA46" s="3">
        <f t="shared" si="13"/>
        <v>1.5133375812947996</v>
      </c>
      <c r="BB46" s="3">
        <f t="shared" si="14"/>
        <v>1</v>
      </c>
      <c r="BC46" s="3">
        <f t="shared" si="24"/>
        <v>24415.635268938779</v>
      </c>
      <c r="BD46" s="3">
        <f t="shared" si="25"/>
        <v>2.2823934220632864</v>
      </c>
      <c r="BI46" s="26"/>
      <c r="BJ46" s="26"/>
      <c r="BK46" s="26"/>
    </row>
    <row r="47" spans="1:63">
      <c r="A47" s="62">
        <f t="shared" si="26"/>
        <v>36857.813372957913</v>
      </c>
      <c r="B47" s="62">
        <f t="shared" si="27"/>
        <v>23426.030199765592</v>
      </c>
      <c r="C47" s="62">
        <f t="shared" si="28"/>
        <v>0.10740671606531503</v>
      </c>
      <c r="D47" s="65">
        <f t="shared" si="29"/>
        <v>95.010640697703892</v>
      </c>
      <c r="E47" s="62">
        <f t="shared" si="72"/>
        <v>1.3972153043779985</v>
      </c>
      <c r="F47" s="62">
        <f t="shared" si="30"/>
        <v>18.84196744390669</v>
      </c>
      <c r="G47" s="62">
        <f t="shared" si="31"/>
        <v>-76.101108763874578</v>
      </c>
      <c r="H47" s="62">
        <f t="shared" si="32"/>
        <v>100.09036667325356</v>
      </c>
      <c r="I47" s="62">
        <f t="shared" si="33"/>
        <v>11.0101003509506</v>
      </c>
      <c r="J47" s="62">
        <f t="shared" si="34"/>
        <v>89.080266322302961</v>
      </c>
      <c r="K47" s="62">
        <f t="shared" si="35"/>
        <v>369.30022284764027</v>
      </c>
      <c r="L47" s="62">
        <f t="shared" si="36"/>
        <v>280.22774719354288</v>
      </c>
      <c r="M47" s="62">
        <f t="shared" si="37"/>
        <v>37480.541700054673</v>
      </c>
      <c r="N47" s="62">
        <f t="shared" si="38"/>
        <v>89.072475654097389</v>
      </c>
      <c r="O47" s="2">
        <f t="shared" si="15"/>
        <v>95.010640697703892</v>
      </c>
      <c r="P47" s="2">
        <f t="shared" si="73"/>
        <v>1.3972153043779985</v>
      </c>
      <c r="Q47" s="2">
        <f t="shared" si="74"/>
        <v>0.43044996663436624</v>
      </c>
      <c r="R47" s="2">
        <f t="shared" si="3"/>
        <v>0.43044996663436624</v>
      </c>
      <c r="S47" s="67">
        <f t="shared" si="16"/>
        <v>37480.541700054673</v>
      </c>
      <c r="T47" s="63">
        <f t="shared" si="39"/>
        <v>39343.964755002911</v>
      </c>
      <c r="U47" s="63">
        <f t="shared" si="40"/>
        <v>28036.108485768957</v>
      </c>
      <c r="V47" s="63">
        <f t="shared" si="41"/>
        <v>2.349273325046998E-2</v>
      </c>
      <c r="W47" s="63">
        <f t="shared" si="42"/>
        <v>27.728918070155277</v>
      </c>
      <c r="X47" s="63">
        <f t="shared" si="43"/>
        <v>0.29816040935650834</v>
      </c>
      <c r="Y47" s="63">
        <f t="shared" si="44"/>
        <v>20.112905112593356</v>
      </c>
      <c r="Z47" s="63">
        <f t="shared" si="45"/>
        <v>-177.412742195021</v>
      </c>
      <c r="AA47" s="63">
        <f t="shared" si="46"/>
        <v>42.145097306315542</v>
      </c>
      <c r="AB47" s="63">
        <f t="shared" si="47"/>
        <v>4.6360280820822384</v>
      </c>
      <c r="AC47" s="63">
        <f t="shared" si="48"/>
        <v>37.509069224233301</v>
      </c>
      <c r="AD47" s="63">
        <f t="shared" si="49"/>
        <v>10.132603926145521</v>
      </c>
      <c r="AE47" s="63">
        <f t="shared" si="50"/>
        <v>-10.664084626470938</v>
      </c>
      <c r="AF47" s="63">
        <f t="shared" si="51"/>
        <v>39320.266789166308</v>
      </c>
      <c r="AG47" s="63">
        <f t="shared" si="52"/>
        <v>20.796688552616459</v>
      </c>
      <c r="AH47" s="2">
        <f t="shared" si="60"/>
        <v>27.728918070155277</v>
      </c>
      <c r="AI47" s="2">
        <f t="shared" si="18"/>
        <v>0.29816040935650834</v>
      </c>
      <c r="AJ47" s="2">
        <f t="shared" si="75"/>
        <v>0.15833495252890048</v>
      </c>
      <c r="AK47" s="2">
        <f t="shared" si="61"/>
        <v>0.15833495252890048</v>
      </c>
      <c r="AL47" s="67">
        <f t="shared" si="19"/>
        <v>39320.266789166308</v>
      </c>
      <c r="AM47" s="46">
        <v>0</v>
      </c>
      <c r="AN47" s="46">
        <f t="shared" si="6"/>
        <v>0</v>
      </c>
      <c r="AO47" s="46">
        <f t="shared" si="7"/>
        <v>0</v>
      </c>
      <c r="AP47" s="2">
        <f t="shared" si="53"/>
        <v>0</v>
      </c>
      <c r="AQ47" s="2">
        <f t="shared" si="20"/>
        <v>0</v>
      </c>
      <c r="AR47" s="2">
        <f t="shared" si="76"/>
        <v>0</v>
      </c>
      <c r="AS47" s="2">
        <f t="shared" si="21"/>
        <v>0</v>
      </c>
      <c r="AT47" s="64">
        <f t="shared" si="9"/>
        <v>51462.138685534548</v>
      </c>
      <c r="AU47" s="64">
        <f t="shared" si="10"/>
        <v>122.73955876785917</v>
      </c>
      <c r="AV47" s="64">
        <f t="shared" si="22"/>
        <v>1.6953757137345069</v>
      </c>
      <c r="AW47" s="64">
        <f t="shared" si="23"/>
        <v>0.95538730913828807</v>
      </c>
      <c r="AX47" s="2">
        <f t="shared" si="77"/>
        <v>122.73955876785917</v>
      </c>
      <c r="AY47" s="2">
        <f t="shared" si="77"/>
        <v>1.6953757137345069</v>
      </c>
      <c r="AZ47" s="3">
        <f t="shared" si="78"/>
        <v>3.2459412537597525</v>
      </c>
      <c r="BA47" s="3">
        <f t="shared" si="13"/>
        <v>0.5887849191632667</v>
      </c>
      <c r="BB47" s="3">
        <f t="shared" si="14"/>
        <v>0.5887849191632667</v>
      </c>
      <c r="BC47" s="3">
        <f t="shared" si="24"/>
        <v>14522.829824054086</v>
      </c>
      <c r="BD47" s="3">
        <f t="shared" si="25"/>
        <v>0.64864049541199564</v>
      </c>
      <c r="BI47" s="26"/>
      <c r="BJ47" s="26"/>
      <c r="BK47" s="26"/>
    </row>
    <row r="48" spans="1:63">
      <c r="A48" s="62">
        <f t="shared" si="26"/>
        <v>37480.541700054673</v>
      </c>
      <c r="B48" s="62">
        <f t="shared" si="27"/>
        <v>23707.751911732146</v>
      </c>
      <c r="C48" s="62">
        <f t="shared" si="28"/>
        <v>0.2233038970954922</v>
      </c>
      <c r="D48" s="65">
        <f t="shared" si="29"/>
        <v>200.86922464493551</v>
      </c>
      <c r="E48" s="62">
        <f t="shared" si="72"/>
        <v>2.9539591859549339</v>
      </c>
      <c r="F48" s="62">
        <f t="shared" si="30"/>
        <v>19.16031044344459</v>
      </c>
      <c r="G48" s="62">
        <f t="shared" si="31"/>
        <v>-231.24240075745871</v>
      </c>
      <c r="H48" s="62">
        <f t="shared" si="32"/>
        <v>211.60865983476745</v>
      </c>
      <c r="I48" s="62">
        <f t="shared" si="33"/>
        <v>23.27729088571262</v>
      </c>
      <c r="J48" s="62">
        <f t="shared" si="34"/>
        <v>188.33136894905482</v>
      </c>
      <c r="K48" s="62">
        <f t="shared" si="35"/>
        <v>710.4144439878155</v>
      </c>
      <c r="L48" s="62">
        <f t="shared" si="36"/>
        <v>522.0995458831884</v>
      </c>
      <c r="M48" s="62">
        <f t="shared" si="37"/>
        <v>38640.762913128427</v>
      </c>
      <c r="N48" s="62">
        <f t="shared" si="38"/>
        <v>188.3148981046271</v>
      </c>
      <c r="O48" s="2">
        <f t="shared" si="15"/>
        <v>136.11705109990129</v>
      </c>
      <c r="P48" s="2">
        <f t="shared" si="73"/>
        <v>2.0017213397044307</v>
      </c>
      <c r="Q48" s="2">
        <f t="shared" si="74"/>
        <v>0.91004702643135704</v>
      </c>
      <c r="R48" s="2">
        <f t="shared" si="3"/>
        <v>0.61668440160026006</v>
      </c>
      <c r="S48" s="67">
        <f t="shared" si="16"/>
        <v>57022.54069809564</v>
      </c>
      <c r="T48" s="63">
        <f t="shared" si="39"/>
        <v>39320.266789166308</v>
      </c>
      <c r="U48" s="63">
        <f t="shared" si="40"/>
        <v>27945.118338378234</v>
      </c>
      <c r="V48" s="63">
        <f t="shared" si="41"/>
        <v>8.3979982868805023E-2</v>
      </c>
      <c r="W48" s="63">
        <f t="shared" si="42"/>
        <v>99.06345994053089</v>
      </c>
      <c r="X48" s="63">
        <f t="shared" si="43"/>
        <v>1.0651984939842032</v>
      </c>
      <c r="Y48" s="63">
        <f t="shared" si="44"/>
        <v>20.100790549630496</v>
      </c>
      <c r="Z48" s="63">
        <f t="shared" si="45"/>
        <v>-264.99135501618838</v>
      </c>
      <c r="AA48" s="63">
        <f t="shared" si="46"/>
        <v>150.5662481360055</v>
      </c>
      <c r="AB48" s="63">
        <f t="shared" si="47"/>
        <v>16.562528008867179</v>
      </c>
      <c r="AC48" s="63">
        <f t="shared" si="48"/>
        <v>134.00372012713831</v>
      </c>
      <c r="AD48" s="63">
        <f t="shared" si="49"/>
        <v>405.02724561950316</v>
      </c>
      <c r="AE48" s="63">
        <f t="shared" si="50"/>
        <v>330.72965066410501</v>
      </c>
      <c r="AF48" s="63">
        <f t="shared" si="51"/>
        <v>40055.221568419875</v>
      </c>
      <c r="AG48" s="63">
        <f t="shared" si="52"/>
        <v>74.297594955398154</v>
      </c>
      <c r="AH48" s="2">
        <f t="shared" si="60"/>
        <v>95.88103407630598</v>
      </c>
      <c r="AI48" s="2">
        <f t="shared" si="18"/>
        <v>1.0309788610355481</v>
      </c>
      <c r="AJ48" s="2">
        <f t="shared" si="75"/>
        <v>0.56566246787373342</v>
      </c>
      <c r="AK48" s="2">
        <f t="shared" si="61"/>
        <v>0.38331559839974</v>
      </c>
      <c r="AL48" s="67">
        <f t="shared" si="19"/>
        <v>59109.870765011241</v>
      </c>
      <c r="AM48" s="46">
        <v>0</v>
      </c>
      <c r="AN48" s="46">
        <f t="shared" si="6"/>
        <v>0</v>
      </c>
      <c r="AO48" s="46">
        <f t="shared" si="7"/>
        <v>0</v>
      </c>
      <c r="AP48" s="2">
        <f t="shared" si="53"/>
        <v>0</v>
      </c>
      <c r="AQ48" s="2">
        <f t="shared" si="20"/>
        <v>0</v>
      </c>
      <c r="AR48" s="2">
        <f t="shared" si="76"/>
        <v>0</v>
      </c>
      <c r="AS48" s="2">
        <f t="shared" si="21"/>
        <v>0</v>
      </c>
      <c r="AT48" s="64">
        <f t="shared" si="9"/>
        <v>51652.870250110383</v>
      </c>
      <c r="AU48" s="64">
        <f t="shared" si="10"/>
        <v>231.99808517620727</v>
      </c>
      <c r="AV48" s="64">
        <f t="shared" si="22"/>
        <v>4.0191576799391369</v>
      </c>
      <c r="AW48" s="64">
        <f t="shared" si="23"/>
        <v>0.13138934832710125</v>
      </c>
      <c r="AX48" s="2">
        <f t="shared" si="77"/>
        <v>231.99808517620727</v>
      </c>
      <c r="AY48" s="2">
        <f t="shared" si="77"/>
        <v>3.0327002007399786</v>
      </c>
      <c r="AZ48" s="3">
        <f t="shared" si="78"/>
        <v>3.2459412537597525</v>
      </c>
      <c r="BA48" s="3">
        <f t="shared" si="13"/>
        <v>1.4757094943050904</v>
      </c>
      <c r="BB48" s="3">
        <f t="shared" si="14"/>
        <v>1</v>
      </c>
      <c r="BC48" s="3">
        <f t="shared" si="24"/>
        <v>25332.000559200962</v>
      </c>
      <c r="BD48" s="3">
        <f t="shared" si="25"/>
        <v>2.2299677510782665</v>
      </c>
      <c r="BI48" s="26"/>
      <c r="BJ48" s="26"/>
      <c r="BK48" s="26"/>
    </row>
    <row r="49" spans="1:64">
      <c r="A49" s="62">
        <f t="shared" si="26"/>
        <v>38640.762913128427</v>
      </c>
      <c r="B49" s="62">
        <f t="shared" si="27"/>
        <v>24544.549859915845</v>
      </c>
      <c r="C49" s="62">
        <f t="shared" si="28"/>
        <v>0.10219202598120314</v>
      </c>
      <c r="D49" s="65">
        <f t="shared" si="29"/>
        <v>94.770668341246335</v>
      </c>
      <c r="E49" s="62">
        <f t="shared" si="72"/>
        <v>1.3936862991359755</v>
      </c>
      <c r="F49" s="62">
        <f t="shared" si="30"/>
        <v>19.753423499372769</v>
      </c>
      <c r="G49" s="62">
        <f t="shared" si="31"/>
        <v>-91.372984641406958</v>
      </c>
      <c r="H49" s="62">
        <f t="shared" si="32"/>
        <v>99.837564240042923</v>
      </c>
      <c r="I49" s="62">
        <f t="shared" si="33"/>
        <v>10.982291679136058</v>
      </c>
      <c r="J49" s="62">
        <f t="shared" si="34"/>
        <v>88.855272560906869</v>
      </c>
      <c r="K49" s="62">
        <f t="shared" si="35"/>
        <v>352.9033781631274</v>
      </c>
      <c r="L49" s="62">
        <f t="shared" si="36"/>
        <v>264.05587659320895</v>
      </c>
      <c r="M49" s="62">
        <f t="shared" si="37"/>
        <v>39227.553750002226</v>
      </c>
      <c r="N49" s="62">
        <f t="shared" si="38"/>
        <v>88.84750156991845</v>
      </c>
      <c r="O49" s="2">
        <f t="shared" si="15"/>
        <v>94.770668341246335</v>
      </c>
      <c r="P49" s="2">
        <f t="shared" si="73"/>
        <v>1.3936862991359755</v>
      </c>
      <c r="Q49" s="2">
        <f t="shared" si="74"/>
        <v>0.42936276111641819</v>
      </c>
      <c r="R49" s="2">
        <f t="shared" si="3"/>
        <v>0.42936276111641819</v>
      </c>
      <c r="S49" s="67">
        <f t="shared" si="16"/>
        <v>39227.553750002226</v>
      </c>
      <c r="T49" s="63">
        <f t="shared" si="39"/>
        <v>40055.221568419875</v>
      </c>
      <c r="U49" s="63">
        <f t="shared" si="40"/>
        <v>28538.270773518641</v>
      </c>
      <c r="V49" s="63">
        <f t="shared" si="41"/>
        <v>2.413911178786636E-2</v>
      </c>
      <c r="W49" s="63">
        <f t="shared" si="42"/>
        <v>29.006924133835287</v>
      </c>
      <c r="X49" s="63">
        <f t="shared" si="43"/>
        <v>0.31190241004123964</v>
      </c>
      <c r="Y49" s="63">
        <f t="shared" si="44"/>
        <v>20.476504482611649</v>
      </c>
      <c r="Z49" s="63">
        <f t="shared" si="45"/>
        <v>-184.47357469616753</v>
      </c>
      <c r="AA49" s="63">
        <f t="shared" si="46"/>
        <v>44.087534792537795</v>
      </c>
      <c r="AB49" s="63">
        <f t="shared" si="47"/>
        <v>4.8496993109885276</v>
      </c>
      <c r="AC49" s="63">
        <f t="shared" si="48"/>
        <v>39.237835481549268</v>
      </c>
      <c r="AD49" s="63">
        <f t="shared" si="49"/>
        <v>11.715602711578811</v>
      </c>
      <c r="AE49" s="63">
        <f t="shared" si="50"/>
        <v>-10.039590388797659</v>
      </c>
      <c r="AF49" s="63">
        <f t="shared" si="51"/>
        <v>40032.911367555876</v>
      </c>
      <c r="AG49" s="63">
        <f t="shared" si="52"/>
        <v>21.75519310037647</v>
      </c>
      <c r="AH49" s="2">
        <f t="shared" si="60"/>
        <v>29.006924133835287</v>
      </c>
      <c r="AI49" s="2">
        <f t="shared" si="18"/>
        <v>0.31190241004123964</v>
      </c>
      <c r="AJ49" s="2">
        <f t="shared" si="75"/>
        <v>0.16563249760124915</v>
      </c>
      <c r="AK49" s="2">
        <f t="shared" si="61"/>
        <v>0.16563249760124915</v>
      </c>
      <c r="AL49" s="67">
        <f t="shared" si="19"/>
        <v>40032.911367555876</v>
      </c>
      <c r="AM49" s="46">
        <v>0</v>
      </c>
      <c r="AN49" s="46">
        <f t="shared" si="6"/>
        <v>0</v>
      </c>
      <c r="AO49" s="46">
        <f t="shared" si="7"/>
        <v>0</v>
      </c>
      <c r="AP49" s="2">
        <f t="shared" si="53"/>
        <v>0</v>
      </c>
      <c r="AQ49" s="2">
        <f t="shared" si="20"/>
        <v>0</v>
      </c>
      <c r="AR49" s="2">
        <f t="shared" si="76"/>
        <v>0</v>
      </c>
      <c r="AS49" s="2">
        <f t="shared" si="21"/>
        <v>0</v>
      </c>
      <c r="AT49" s="64">
        <f t="shared" si="9"/>
        <v>53082.820633434487</v>
      </c>
      <c r="AU49" s="64">
        <f t="shared" si="10"/>
        <v>123.77759247508162</v>
      </c>
      <c r="AV49" s="64">
        <f t="shared" si="22"/>
        <v>1.7055887091772153</v>
      </c>
      <c r="AW49" s="64">
        <f t="shared" si="23"/>
        <v>0.94909453016030831</v>
      </c>
      <c r="AX49" s="2">
        <f t="shared" si="77"/>
        <v>123.77759247508162</v>
      </c>
      <c r="AY49" s="2">
        <f t="shared" si="77"/>
        <v>1.7055887091772153</v>
      </c>
      <c r="AZ49" s="3">
        <f t="shared" si="78"/>
        <v>3.2459412537597525</v>
      </c>
      <c r="BA49" s="3">
        <f t="shared" si="13"/>
        <v>0.59499525871766734</v>
      </c>
      <c r="BB49" s="3">
        <f t="shared" si="14"/>
        <v>0.59499525871766734</v>
      </c>
      <c r="BC49" s="3">
        <f t="shared" si="24"/>
        <v>15265.380763651687</v>
      </c>
      <c r="BD49" s="3">
        <f t="shared" si="25"/>
        <v>0.65005817271012423</v>
      </c>
      <c r="BI49" s="26"/>
      <c r="BJ49" s="26"/>
      <c r="BK49" s="26"/>
    </row>
    <row r="50" spans="1:64">
      <c r="A50" s="62">
        <f t="shared" si="26"/>
        <v>39227.553750002226</v>
      </c>
      <c r="B50" s="62">
        <f t="shared" si="27"/>
        <v>24808.129530842649</v>
      </c>
      <c r="C50" s="62">
        <f t="shared" si="28"/>
        <v>0.20823205960529581</v>
      </c>
      <c r="D50" s="65">
        <f t="shared" si="29"/>
        <v>196.0424234553698</v>
      </c>
      <c r="E50" s="62">
        <f t="shared" si="72"/>
        <v>2.8829768155201441</v>
      </c>
      <c r="F50" s="62">
        <f t="shared" si="30"/>
        <v>20.053395006984523</v>
      </c>
      <c r="G50" s="62">
        <f t="shared" si="31"/>
        <v>-240.01232906881222</v>
      </c>
      <c r="H50" s="62">
        <f t="shared" si="32"/>
        <v>206.52379463046194</v>
      </c>
      <c r="I50" s="62">
        <f t="shared" si="33"/>
        <v>22.717947583941889</v>
      </c>
      <c r="J50" s="62">
        <f t="shared" si="34"/>
        <v>183.80584704652006</v>
      </c>
      <c r="K50" s="62">
        <f t="shared" si="35"/>
        <v>679.01690616378801</v>
      </c>
      <c r="L50" s="62">
        <f t="shared" si="36"/>
        <v>495.22713417437876</v>
      </c>
      <c r="M50" s="62">
        <f t="shared" si="37"/>
        <v>40328.058492611955</v>
      </c>
      <c r="N50" s="62">
        <f t="shared" si="38"/>
        <v>183.78977198940925</v>
      </c>
      <c r="O50" s="2">
        <f t="shared" si="15"/>
        <v>136.25328213278127</v>
      </c>
      <c r="P50" s="2">
        <f t="shared" si="73"/>
        <v>2.0037247372467832</v>
      </c>
      <c r="Q50" s="2">
        <f t="shared" si="74"/>
        <v>0.88817898727551237</v>
      </c>
      <c r="R50" s="2">
        <f t="shared" si="3"/>
        <v>0.61730160240142429</v>
      </c>
      <c r="S50" s="67">
        <f t="shared" si="16"/>
        <v>58024.366065817077</v>
      </c>
      <c r="T50" s="63">
        <f t="shared" si="39"/>
        <v>40032.911367555876</v>
      </c>
      <c r="U50" s="63">
        <f t="shared" si="40"/>
        <v>28452.373995098507</v>
      </c>
      <c r="V50" s="63">
        <f t="shared" si="41"/>
        <v>8.0292953331639827E-2</v>
      </c>
      <c r="W50" s="63">
        <f t="shared" si="42"/>
        <v>96.430820524945119</v>
      </c>
      <c r="X50" s="63">
        <f t="shared" si="43"/>
        <v>1.0368905432789797</v>
      </c>
      <c r="Y50" s="63">
        <f t="shared" si="44"/>
        <v>20.465099354638028</v>
      </c>
      <c r="Z50" s="63">
        <f t="shared" si="45"/>
        <v>-267.2198683915052</v>
      </c>
      <c r="AA50" s="63">
        <f t="shared" si="46"/>
        <v>146.56490758382134</v>
      </c>
      <c r="AB50" s="63">
        <f t="shared" si="47"/>
        <v>16.122374151086898</v>
      </c>
      <c r="AC50" s="63">
        <f t="shared" si="48"/>
        <v>130.44253343273445</v>
      </c>
      <c r="AD50" s="63">
        <f t="shared" si="49"/>
        <v>384.99279877216702</v>
      </c>
      <c r="AE50" s="63">
        <f t="shared" si="50"/>
        <v>312.66968337845816</v>
      </c>
      <c r="AF50" s="63">
        <f t="shared" si="51"/>
        <v>40727.732886174672</v>
      </c>
      <c r="AG50" s="63">
        <f t="shared" si="52"/>
        <v>72.323115393708861</v>
      </c>
      <c r="AH50" s="2">
        <f t="shared" si="60"/>
        <v>92.998575400732989</v>
      </c>
      <c r="AI50" s="2">
        <f t="shared" si="18"/>
        <v>0.99998468172831168</v>
      </c>
      <c r="AJ50" s="2">
        <f t="shared" si="75"/>
        <v>0.55062982809176042</v>
      </c>
      <c r="AK50" s="2">
        <f t="shared" si="61"/>
        <v>0.38269839759857582</v>
      </c>
      <c r="AL50" s="67">
        <f t="shared" si="19"/>
        <v>58599.421106551694</v>
      </c>
      <c r="AM50" s="46">
        <v>0</v>
      </c>
      <c r="AN50" s="46">
        <f t="shared" si="6"/>
        <v>0</v>
      </c>
      <c r="AO50" s="46">
        <f t="shared" si="7"/>
        <v>0</v>
      </c>
      <c r="AP50" s="2">
        <f t="shared" si="53"/>
        <v>0</v>
      </c>
      <c r="AQ50" s="2">
        <f t="shared" si="20"/>
        <v>0</v>
      </c>
      <c r="AR50" s="2">
        <f t="shared" si="76"/>
        <v>0</v>
      </c>
      <c r="AS50" s="2">
        <f t="shared" si="21"/>
        <v>0</v>
      </c>
      <c r="AT50" s="64">
        <f t="shared" si="9"/>
        <v>53260.503525941152</v>
      </c>
      <c r="AU50" s="64">
        <f t="shared" si="10"/>
        <v>229.25185753351425</v>
      </c>
      <c r="AV50" s="64">
        <f t="shared" si="22"/>
        <v>3.9198673587991237</v>
      </c>
      <c r="AW50" s="64">
        <f t="shared" si="23"/>
        <v>0.14925213726778463</v>
      </c>
      <c r="AX50" s="2">
        <f t="shared" si="77"/>
        <v>229.25185753351425</v>
      </c>
      <c r="AY50" s="2">
        <f t="shared" si="77"/>
        <v>3.0037094189750948</v>
      </c>
      <c r="AZ50" s="3">
        <f t="shared" si="78"/>
        <v>3.2459412537597525</v>
      </c>
      <c r="BA50" s="3">
        <f t="shared" si="13"/>
        <v>1.4388088153672727</v>
      </c>
      <c r="BB50" s="3">
        <f t="shared" si="14"/>
        <v>1</v>
      </c>
      <c r="BC50" s="3">
        <f t="shared" si="24"/>
        <v>26202.776047770851</v>
      </c>
      <c r="BD50" s="3">
        <f t="shared" si="25"/>
        <v>2.1764825573047224</v>
      </c>
      <c r="BI50" s="26"/>
      <c r="BJ50" s="26"/>
      <c r="BK50" s="26"/>
    </row>
    <row r="51" spans="1:64">
      <c r="A51" s="62">
        <f t="shared" si="26"/>
        <v>40328.058492611955</v>
      </c>
      <c r="B51" s="62">
        <f t="shared" si="27"/>
        <v>25602.7192738009</v>
      </c>
      <c r="C51" s="62">
        <f t="shared" si="28"/>
        <v>9.8177850639432462E-2</v>
      </c>
      <c r="D51" s="65">
        <f t="shared" si="29"/>
        <v>95.023730478382859</v>
      </c>
      <c r="E51" s="62">
        <f t="shared" si="72"/>
        <v>1.3974078011526891</v>
      </c>
      <c r="F51" s="62">
        <f t="shared" si="30"/>
        <v>20.61598059290349</v>
      </c>
      <c r="G51" s="62">
        <f t="shared" si="31"/>
        <v>-106.36267384070493</v>
      </c>
      <c r="H51" s="62">
        <f t="shared" si="32"/>
        <v>100.10415629658637</v>
      </c>
      <c r="I51" s="62">
        <f t="shared" si="33"/>
        <v>11.011617231563013</v>
      </c>
      <c r="J51" s="62">
        <f t="shared" si="34"/>
        <v>89.09253906502336</v>
      </c>
      <c r="K51" s="62">
        <f t="shared" si="35"/>
        <v>339.10002148441185</v>
      </c>
      <c r="L51" s="62">
        <f t="shared" si="36"/>
        <v>250.0152741609279</v>
      </c>
      <c r="M51" s="62">
        <f t="shared" si="37"/>
        <v>40883.647990747348</v>
      </c>
      <c r="N51" s="62">
        <f t="shared" si="38"/>
        <v>89.084747323483953</v>
      </c>
      <c r="O51" s="2">
        <f t="shared" si="15"/>
        <v>95.023730478382859</v>
      </c>
      <c r="P51" s="2">
        <f t="shared" si="73"/>
        <v>1.3974078011526891</v>
      </c>
      <c r="Q51" s="2">
        <f t="shared" si="74"/>
        <v>0.43050927047249571</v>
      </c>
      <c r="R51" s="2">
        <f t="shared" si="3"/>
        <v>0.43050927047249571</v>
      </c>
      <c r="S51" s="67">
        <f t="shared" si="16"/>
        <v>40883.647990747348</v>
      </c>
      <c r="T51" s="63">
        <f t="shared" si="39"/>
        <v>40727.732886174672</v>
      </c>
      <c r="U51" s="63">
        <f t="shared" si="40"/>
        <v>29013.12116970896</v>
      </c>
      <c r="V51" s="63">
        <f t="shared" si="41"/>
        <v>2.492800198379631E-2</v>
      </c>
      <c r="W51" s="63">
        <f t="shared" si="42"/>
        <v>30.457830185462655</v>
      </c>
      <c r="X51" s="63">
        <f t="shared" si="43"/>
        <v>0.32750355038131884</v>
      </c>
      <c r="Y51" s="63">
        <f t="shared" si="44"/>
        <v>20.820296889029645</v>
      </c>
      <c r="Z51" s="63">
        <f t="shared" si="45"/>
        <v>-191.22647085810507</v>
      </c>
      <c r="AA51" s="63">
        <f t="shared" si="46"/>
        <v>46.292762438760747</v>
      </c>
      <c r="AB51" s="63">
        <f t="shared" si="47"/>
        <v>5.0922778776238857</v>
      </c>
      <c r="AC51" s="63">
        <f t="shared" si="48"/>
        <v>41.200484561136861</v>
      </c>
      <c r="AD51" s="63">
        <f t="shared" si="49"/>
        <v>14.775951947579244</v>
      </c>
      <c r="AE51" s="63">
        <f t="shared" si="50"/>
        <v>-8.0674206915177464</v>
      </c>
      <c r="AF51" s="63">
        <f t="shared" si="51"/>
        <v>40709.805284637965</v>
      </c>
      <c r="AG51" s="63">
        <f t="shared" si="52"/>
        <v>22.843372639096991</v>
      </c>
      <c r="AH51" s="2">
        <f t="shared" si="60"/>
        <v>30.457830185462655</v>
      </c>
      <c r="AI51" s="2">
        <f t="shared" si="18"/>
        <v>0.32750355038131884</v>
      </c>
      <c r="AJ51" s="2">
        <f t="shared" si="75"/>
        <v>0.17391731925303844</v>
      </c>
      <c r="AK51" s="2">
        <f t="shared" si="61"/>
        <v>0.17391731925303844</v>
      </c>
      <c r="AL51" s="67">
        <f t="shared" si="19"/>
        <v>40709.805284637965</v>
      </c>
      <c r="AM51" s="46">
        <v>0</v>
      </c>
      <c r="AN51" s="46">
        <f t="shared" si="6"/>
        <v>0</v>
      </c>
      <c r="AO51" s="46">
        <f t="shared" si="7"/>
        <v>0</v>
      </c>
      <c r="AP51" s="2">
        <f t="shared" si="53"/>
        <v>0</v>
      </c>
      <c r="AQ51" s="2">
        <f t="shared" si="20"/>
        <v>0</v>
      </c>
      <c r="AR51" s="2">
        <f t="shared" si="76"/>
        <v>0</v>
      </c>
      <c r="AS51" s="2">
        <f t="shared" si="21"/>
        <v>0</v>
      </c>
      <c r="AT51" s="64">
        <f t="shared" si="9"/>
        <v>54615.840443509864</v>
      </c>
      <c r="AU51" s="64">
        <f t="shared" si="10"/>
        <v>125.48156066384551</v>
      </c>
      <c r="AV51" s="64">
        <f t="shared" si="22"/>
        <v>1.724911351534008</v>
      </c>
      <c r="AW51" s="64">
        <f t="shared" si="23"/>
        <v>0.93718880491995693</v>
      </c>
      <c r="AX51" s="2">
        <f t="shared" si="77"/>
        <v>125.48156066384551</v>
      </c>
      <c r="AY51" s="2">
        <f t="shared" si="77"/>
        <v>1.724911351534008</v>
      </c>
      <c r="AZ51" s="3">
        <f t="shared" si="78"/>
        <v>3.2459412537597525</v>
      </c>
      <c r="BA51" s="3">
        <f t="shared" si="13"/>
        <v>0.60442658972553409</v>
      </c>
      <c r="BB51" s="3">
        <f t="shared" si="14"/>
        <v>0.60442658972553409</v>
      </c>
      <c r="BC51" s="3">
        <f t="shared" si="24"/>
        <v>16068.092253675492</v>
      </c>
      <c r="BD51" s="3">
        <f t="shared" si="25"/>
        <v>0.65855555255498999</v>
      </c>
      <c r="BI51" s="26"/>
      <c r="BJ51" s="26"/>
      <c r="BK51" s="26"/>
    </row>
    <row r="52" spans="1:64">
      <c r="A52" s="62">
        <f t="shared" si="26"/>
        <v>40883.647990747348</v>
      </c>
      <c r="B52" s="62">
        <f t="shared" si="27"/>
        <v>25851.721964649212</v>
      </c>
      <c r="C52" s="62">
        <f t="shared" si="28"/>
        <v>0.19488494510974932</v>
      </c>
      <c r="D52" s="65">
        <f t="shared" si="29"/>
        <v>191.22257986951465</v>
      </c>
      <c r="E52" s="62">
        <f t="shared" si="72"/>
        <v>2.8120967627869802</v>
      </c>
      <c r="F52" s="62">
        <f t="shared" si="30"/>
        <v>20.900001761769794</v>
      </c>
      <c r="G52" s="62">
        <f t="shared" si="31"/>
        <v>-247.76543475903514</v>
      </c>
      <c r="H52" s="62">
        <f t="shared" si="32"/>
        <v>201.44625901683639</v>
      </c>
      <c r="I52" s="62">
        <f t="shared" si="33"/>
        <v>22.159410548863953</v>
      </c>
      <c r="J52" s="62">
        <f t="shared" si="34"/>
        <v>179.28684846797245</v>
      </c>
      <c r="K52" s="62">
        <f t="shared" si="35"/>
        <v>648.66880758082721</v>
      </c>
      <c r="L52" s="62">
        <f t="shared" si="36"/>
        <v>469.39763895315718</v>
      </c>
      <c r="M52" s="62">
        <f t="shared" si="37"/>
        <v>41926.7538550877</v>
      </c>
      <c r="N52" s="62">
        <f t="shared" si="38"/>
        <v>179.27116862767002</v>
      </c>
      <c r="O52" s="2">
        <f t="shared" si="15"/>
        <v>136.30459856050697</v>
      </c>
      <c r="P52" s="2">
        <f t="shared" si="73"/>
        <v>2.0044793905956908</v>
      </c>
      <c r="Q52" s="2">
        <f t="shared" si="74"/>
        <v>0.8663424698551605</v>
      </c>
      <c r="R52" s="2">
        <f t="shared" si="3"/>
        <v>0.6175340937775492</v>
      </c>
      <c r="S52" s="67">
        <f t="shared" si="16"/>
        <v>58819.30706956311</v>
      </c>
      <c r="T52" s="63">
        <f t="shared" si="39"/>
        <v>40709.805284637965</v>
      </c>
      <c r="U52" s="63">
        <f t="shared" si="40"/>
        <v>28934.419582278417</v>
      </c>
      <c r="V52" s="63">
        <f t="shared" si="41"/>
        <v>7.6940896258182886E-2</v>
      </c>
      <c r="W52" s="63">
        <f t="shared" si="42"/>
        <v>93.967467152884637</v>
      </c>
      <c r="X52" s="63">
        <f t="shared" si="43"/>
        <v>1.0104028726116627</v>
      </c>
      <c r="Y52" s="63">
        <f t="shared" si="44"/>
        <v>20.811132175944689</v>
      </c>
      <c r="Z52" s="63">
        <f t="shared" si="45"/>
        <v>-269.17557369103736</v>
      </c>
      <c r="AA52" s="63">
        <f t="shared" si="46"/>
        <v>142.82086436862394</v>
      </c>
      <c r="AB52" s="63">
        <f t="shared" si="47"/>
        <v>15.71052341172264</v>
      </c>
      <c r="AC52" s="63">
        <f t="shared" si="48"/>
        <v>127.1103409569013</v>
      </c>
      <c r="AD52" s="63">
        <f t="shared" si="49"/>
        <v>366.3761310934691</v>
      </c>
      <c r="AE52" s="63">
        <f t="shared" si="50"/>
        <v>295.90053072880562</v>
      </c>
      <c r="AF52" s="63">
        <f t="shared" si="51"/>
        <v>41367.362019590866</v>
      </c>
      <c r="AG52" s="63">
        <f t="shared" si="52"/>
        <v>70.475600364663478</v>
      </c>
      <c r="AH52" s="2">
        <f t="shared" si="60"/>
        <v>89.978350955861174</v>
      </c>
      <c r="AI52" s="2">
        <f t="shared" si="18"/>
        <v>0.9675091500630234</v>
      </c>
      <c r="AJ52" s="2">
        <f t="shared" si="75"/>
        <v>0.53656382889769527</v>
      </c>
      <c r="AK52" s="2">
        <f t="shared" si="61"/>
        <v>0.3824659062224508</v>
      </c>
      <c r="AL52" s="67">
        <f t="shared" si="19"/>
        <v>58034.532740073686</v>
      </c>
      <c r="AM52" s="46">
        <v>0</v>
      </c>
      <c r="AN52" s="46">
        <f t="shared" si="6"/>
        <v>0</v>
      </c>
      <c r="AO52" s="46">
        <f t="shared" si="7"/>
        <v>0</v>
      </c>
      <c r="AP52" s="2">
        <f t="shared" si="53"/>
        <v>0</v>
      </c>
      <c r="AQ52" s="2">
        <f t="shared" si="20"/>
        <v>0</v>
      </c>
      <c r="AR52" s="2">
        <f t="shared" si="76"/>
        <v>0</v>
      </c>
      <c r="AS52" s="2">
        <f t="shared" si="21"/>
        <v>0</v>
      </c>
      <c r="AT52" s="64">
        <f t="shared" si="9"/>
        <v>54786.141546927625</v>
      </c>
      <c r="AU52" s="64">
        <f t="shared" si="10"/>
        <v>226.28294951636815</v>
      </c>
      <c r="AV52" s="64">
        <f t="shared" si="22"/>
        <v>3.8224996353986427</v>
      </c>
      <c r="AW52" s="64">
        <f t="shared" si="23"/>
        <v>0.16879708638209057</v>
      </c>
      <c r="AX52" s="2">
        <f t="shared" si="77"/>
        <v>226.28294951636815</v>
      </c>
      <c r="AY52" s="2">
        <f t="shared" si="77"/>
        <v>2.9719885406587143</v>
      </c>
      <c r="AZ52" s="3">
        <f t="shared" si="78"/>
        <v>3.2459412537597525</v>
      </c>
      <c r="BA52" s="3">
        <f t="shared" si="13"/>
        <v>1.4029062987528558</v>
      </c>
      <c r="BB52" s="3">
        <f t="shared" si="14"/>
        <v>1</v>
      </c>
      <c r="BC52" s="3">
        <f t="shared" si="24"/>
        <v>27030.748702585555</v>
      </c>
      <c r="BD52" s="3">
        <f t="shared" si="25"/>
        <v>2.1230102763456244</v>
      </c>
      <c r="BI52" s="26"/>
      <c r="BJ52" s="26"/>
      <c r="BK52" s="26"/>
    </row>
    <row r="53" spans="1:64">
      <c r="A53" s="62">
        <f t="shared" si="26"/>
        <v>41926.7538550877</v>
      </c>
      <c r="B53" s="62">
        <f t="shared" si="27"/>
        <v>26605.077508574766</v>
      </c>
      <c r="C53" s="62">
        <f t="shared" si="28"/>
        <v>9.5105138073045437E-2</v>
      </c>
      <c r="D53" s="65">
        <f t="shared" si="29"/>
        <v>95.698793144224936</v>
      </c>
      <c r="E53" s="62">
        <f t="shared" si="72"/>
        <v>1.4073351932974256</v>
      </c>
      <c r="F53" s="62">
        <f t="shared" si="30"/>
        <v>21.433244646733474</v>
      </c>
      <c r="G53" s="62">
        <f t="shared" si="31"/>
        <v>-120.99222404803291</v>
      </c>
      <c r="H53" s="62">
        <f t="shared" si="32"/>
        <v>100.81531106046737</v>
      </c>
      <c r="I53" s="62">
        <f t="shared" si="33"/>
        <v>11.089845392530263</v>
      </c>
      <c r="J53" s="62">
        <f t="shared" si="34"/>
        <v>89.725465667937101</v>
      </c>
      <c r="K53" s="62">
        <f t="shared" si="35"/>
        <v>327.63510429165262</v>
      </c>
      <c r="L53" s="62">
        <f t="shared" si="36"/>
        <v>237.91748571894175</v>
      </c>
      <c r="M53" s="62">
        <f t="shared" si="37"/>
        <v>42455.459378907573</v>
      </c>
      <c r="N53" s="62">
        <f t="shared" si="38"/>
        <v>89.717618572710876</v>
      </c>
      <c r="O53" s="2">
        <f t="shared" si="15"/>
        <v>95.698793144224936</v>
      </c>
      <c r="P53" s="2">
        <f t="shared" si="73"/>
        <v>1.4073351932974256</v>
      </c>
      <c r="Q53" s="2">
        <f t="shared" si="74"/>
        <v>0.43356767214049807</v>
      </c>
      <c r="R53" s="2">
        <f t="shared" si="3"/>
        <v>0.43356767214049807</v>
      </c>
      <c r="S53" s="67">
        <f t="shared" si="16"/>
        <v>42455.459378907573</v>
      </c>
      <c r="T53" s="63">
        <f t="shared" si="39"/>
        <v>41367.362019590866</v>
      </c>
      <c r="U53" s="63">
        <f t="shared" si="40"/>
        <v>29464.794501062399</v>
      </c>
      <c r="V53" s="63">
        <f t="shared" si="41"/>
        <v>2.5831113535922611E-2</v>
      </c>
      <c r="W53" s="63">
        <f t="shared" si="42"/>
        <v>32.056950750289936</v>
      </c>
      <c r="X53" s="63">
        <f t="shared" si="43"/>
        <v>0.34469839516440792</v>
      </c>
      <c r="Y53" s="63">
        <f t="shared" si="44"/>
        <v>21.147279696882389</v>
      </c>
      <c r="Z53" s="63">
        <f t="shared" si="45"/>
        <v>-197.71738383555567</v>
      </c>
      <c r="AA53" s="63">
        <f t="shared" si="46"/>
        <v>48.723260867825438</v>
      </c>
      <c r="AB53" s="63">
        <f t="shared" si="47"/>
        <v>5.3596365905176908</v>
      </c>
      <c r="AC53" s="63">
        <f t="shared" si="48"/>
        <v>43.36362427730775</v>
      </c>
      <c r="AD53" s="63">
        <f t="shared" si="49"/>
        <v>19.100737550983069</v>
      </c>
      <c r="AE53" s="63">
        <f t="shared" si="50"/>
        <v>-4.941975511734384</v>
      </c>
      <c r="AF53" s="63">
        <f t="shared" si="51"/>
        <v>41356.379851787009</v>
      </c>
      <c r="AG53" s="63">
        <f t="shared" si="52"/>
        <v>24.042713062717453</v>
      </c>
      <c r="AH53" s="2">
        <f t="shared" si="60"/>
        <v>32.056950750289936</v>
      </c>
      <c r="AI53" s="2">
        <f t="shared" si="18"/>
        <v>0.34469839516440792</v>
      </c>
      <c r="AJ53" s="2">
        <f t="shared" si="75"/>
        <v>0.18304846090376276</v>
      </c>
      <c r="AK53" s="2">
        <f t="shared" si="61"/>
        <v>0.18304846090376276</v>
      </c>
      <c r="AL53" s="67">
        <f t="shared" si="19"/>
        <v>41356.379851787009</v>
      </c>
      <c r="AM53" s="46">
        <v>0</v>
      </c>
      <c r="AN53" s="46">
        <f t="shared" si="6"/>
        <v>0</v>
      </c>
      <c r="AO53" s="46">
        <f t="shared" si="7"/>
        <v>0</v>
      </c>
      <c r="AP53" s="2">
        <f t="shared" si="53"/>
        <v>0</v>
      </c>
      <c r="AQ53" s="2">
        <f t="shared" si="20"/>
        <v>0</v>
      </c>
      <c r="AR53" s="2">
        <f t="shared" si="76"/>
        <v>0</v>
      </c>
      <c r="AS53" s="2">
        <f t="shared" si="21"/>
        <v>0</v>
      </c>
      <c r="AT53" s="64">
        <f t="shared" si="9"/>
        <v>56069.872009637169</v>
      </c>
      <c r="AU53" s="64">
        <f t="shared" si="10"/>
        <v>127.75574389451486</v>
      </c>
      <c r="AV53" s="64">
        <f t="shared" si="22"/>
        <v>1.7520335884618334</v>
      </c>
      <c r="AW53" s="64">
        <f t="shared" si="23"/>
        <v>0.9204773275348318</v>
      </c>
      <c r="AX53" s="2">
        <f t="shared" si="77"/>
        <v>127.75574389451486</v>
      </c>
      <c r="AY53" s="2">
        <f t="shared" si="77"/>
        <v>1.7520335884618334</v>
      </c>
      <c r="AZ53" s="3">
        <f t="shared" si="78"/>
        <v>3.2459412537597525</v>
      </c>
      <c r="BA53" s="3">
        <f t="shared" si="13"/>
        <v>0.61661613304426077</v>
      </c>
      <c r="BB53" s="3">
        <f t="shared" si="14"/>
        <v>0.61661613304426077</v>
      </c>
      <c r="BC53" s="3">
        <f t="shared" si="24"/>
        <v>16928.586806775409</v>
      </c>
      <c r="BD53" s="3">
        <f t="shared" si="25"/>
        <v>0.67327155439020459</v>
      </c>
      <c r="BI53" s="26"/>
      <c r="BJ53" s="26"/>
      <c r="BK53" s="26"/>
    </row>
    <row r="54" spans="1:64">
      <c r="A54" s="62">
        <f t="shared" si="26"/>
        <v>42455.459378907573</v>
      </c>
      <c r="B54" s="62">
        <f t="shared" si="27"/>
        <v>26842.638201855996</v>
      </c>
      <c r="C54" s="62">
        <f t="shared" si="28"/>
        <v>0.18300928766582467</v>
      </c>
      <c r="D54" s="65">
        <f t="shared" si="29"/>
        <v>186.47384108302151</v>
      </c>
      <c r="E54" s="62">
        <f t="shared" si="72"/>
        <v>2.7422623688679635</v>
      </c>
      <c r="F54" s="62">
        <f t="shared" si="30"/>
        <v>21.703522543211637</v>
      </c>
      <c r="G54" s="62">
        <f t="shared" si="31"/>
        <v>-254.63788043318846</v>
      </c>
      <c r="H54" s="62">
        <f t="shared" si="32"/>
        <v>196.44362980725265</v>
      </c>
      <c r="I54" s="62">
        <f t="shared" si="33"/>
        <v>21.609113337985292</v>
      </c>
      <c r="J54" s="62">
        <f t="shared" si="34"/>
        <v>174.83451646926736</v>
      </c>
      <c r="K54" s="62">
        <f t="shared" si="35"/>
        <v>619.5347019131483</v>
      </c>
      <c r="L54" s="62">
        <f t="shared" si="36"/>
        <v>444.71547589781562</v>
      </c>
      <c r="M54" s="62">
        <f t="shared" si="37"/>
        <v>43443.715992013829</v>
      </c>
      <c r="N54" s="62">
        <f t="shared" si="38"/>
        <v>174.81922601533267</v>
      </c>
      <c r="O54" s="2">
        <f t="shared" si="15"/>
        <v>136.29570241353838</v>
      </c>
      <c r="P54" s="2">
        <f t="shared" si="73"/>
        <v>2.0043485649049764</v>
      </c>
      <c r="Q54" s="2">
        <f t="shared" si="74"/>
        <v>0.84482809591566665</v>
      </c>
      <c r="R54" s="2">
        <f t="shared" si="3"/>
        <v>0.61749378938492883</v>
      </c>
      <c r="S54" s="67">
        <f t="shared" si="16"/>
        <v>59437.799200527217</v>
      </c>
      <c r="T54" s="63">
        <f t="shared" si="39"/>
        <v>41356.379851787009</v>
      </c>
      <c r="U54" s="63">
        <f t="shared" si="40"/>
        <v>29395.086645519066</v>
      </c>
      <c r="V54" s="63">
        <f t="shared" si="41"/>
        <v>7.3869745649695909E-2</v>
      </c>
      <c r="W54" s="63">
        <f t="shared" si="42"/>
        <v>91.64955781931144</v>
      </c>
      <c r="X54" s="63">
        <f t="shared" si="43"/>
        <v>0.98547911633668217</v>
      </c>
      <c r="Y54" s="63">
        <f t="shared" si="44"/>
        <v>21.141665537243291</v>
      </c>
      <c r="Z54" s="63">
        <f t="shared" si="45"/>
        <v>-270.8995744028922</v>
      </c>
      <c r="AA54" s="63">
        <f t="shared" si="46"/>
        <v>139.29788110027198</v>
      </c>
      <c r="AB54" s="63">
        <f t="shared" si="47"/>
        <v>15.322989619925272</v>
      </c>
      <c r="AC54" s="63">
        <f t="shared" si="48"/>
        <v>123.97489148034671</v>
      </c>
      <c r="AD54" s="63">
        <f t="shared" si="49"/>
        <v>348.97488299884139</v>
      </c>
      <c r="AE54" s="63">
        <f t="shared" si="50"/>
        <v>280.23771463435781</v>
      </c>
      <c r="AF54" s="63">
        <f t="shared" si="51"/>
        <v>41979.130328752246</v>
      </c>
      <c r="AG54" s="63">
        <f t="shared" si="52"/>
        <v>68.73716836448358</v>
      </c>
      <c r="AH54" s="2">
        <f t="shared" si="60"/>
        <v>86.910594446016177</v>
      </c>
      <c r="AI54" s="2">
        <f t="shared" si="18"/>
        <v>0.93452252092490518</v>
      </c>
      <c r="AJ54" s="2">
        <f t="shared" si="75"/>
        <v>0.5233283300091679</v>
      </c>
      <c r="AK54" s="2">
        <f t="shared" si="61"/>
        <v>0.38250621061507128</v>
      </c>
      <c r="AL54" s="67">
        <f t="shared" si="19"/>
        <v>57434.016914018495</v>
      </c>
      <c r="AM54" s="46">
        <v>0</v>
      </c>
      <c r="AN54" s="46">
        <f t="shared" si="6"/>
        <v>0</v>
      </c>
      <c r="AO54" s="46">
        <f t="shared" si="7"/>
        <v>0</v>
      </c>
      <c r="AP54" s="2">
        <f t="shared" si="53"/>
        <v>0</v>
      </c>
      <c r="AQ54" s="2">
        <f t="shared" si="20"/>
        <v>0</v>
      </c>
      <c r="AR54" s="2">
        <f t="shared" si="76"/>
        <v>0</v>
      </c>
      <c r="AS54" s="2">
        <f t="shared" si="21"/>
        <v>0</v>
      </c>
      <c r="AT54" s="64">
        <f t="shared" si="9"/>
        <v>56237.724847375066</v>
      </c>
      <c r="AU54" s="64">
        <f t="shared" si="10"/>
        <v>223.20629685955456</v>
      </c>
      <c r="AV54" s="64">
        <f t="shared" si="22"/>
        <v>3.7277414852046458</v>
      </c>
      <c r="AW54" s="64">
        <f t="shared" si="23"/>
        <v>0.18920254183540353</v>
      </c>
      <c r="AX54" s="2">
        <f t="shared" si="77"/>
        <v>223.20629685955456</v>
      </c>
      <c r="AY54" s="2">
        <f t="shared" si="77"/>
        <v>2.9388710858298817</v>
      </c>
      <c r="AZ54" s="3">
        <f t="shared" si="78"/>
        <v>3.2459412537597525</v>
      </c>
      <c r="BA54" s="3">
        <f t="shared" si="13"/>
        <v>1.3681564259248344</v>
      </c>
      <c r="BB54" s="3">
        <f t="shared" si="14"/>
        <v>1</v>
      </c>
      <c r="BC54" s="3">
        <f t="shared" si="24"/>
        <v>27818.965583831894</v>
      </c>
      <c r="BD54" s="3">
        <f t="shared" si="25"/>
        <v>2.0702818640702034</v>
      </c>
      <c r="BI54" s="26"/>
      <c r="BJ54" s="26"/>
      <c r="BK54" s="26"/>
    </row>
    <row r="55" spans="1:64">
      <c r="BH55" s="24" t="s">
        <v>330</v>
      </c>
      <c r="BI55" s="26">
        <f>1.5234*(BI4^-0.959)</f>
        <v>25144.234571270994</v>
      </c>
      <c r="BJ55" s="26">
        <f t="shared" ref="BJ55:BK55" si="79">1.5234*(BJ4^-0.959)</f>
        <v>16264.711502566108</v>
      </c>
      <c r="BK55" s="26">
        <f t="shared" si="79"/>
        <v>22947.893966599444</v>
      </c>
      <c r="BL55" s="24" t="s">
        <v>335</v>
      </c>
    </row>
    <row r="56" spans="1:64">
      <c r="BH56" s="24" t="s">
        <v>342</v>
      </c>
      <c r="BI56" s="26">
        <f>(BI55*BI3*EXP(-BI4*BI55))/BI6</f>
        <v>3.2459412537597525</v>
      </c>
      <c r="BJ56" s="26">
        <f t="shared" ref="BJ56:BK56" si="80">(BJ55*BJ3*EXP(-BJ4*BJ55))/BJ6</f>
        <v>1.8830991173732523</v>
      </c>
      <c r="BK56" s="26">
        <f t="shared" si="80"/>
        <v>3.5202126302884333</v>
      </c>
      <c r="BL56" s="26">
        <f>MAX(BI56:BK56)</f>
        <v>3.5202126302884333</v>
      </c>
    </row>
    <row r="57" spans="1:64">
      <c r="BI57" s="24" t="s">
        <v>332</v>
      </c>
      <c r="BJ57" s="24" t="s">
        <v>333</v>
      </c>
      <c r="BK57" s="24" t="s">
        <v>334</v>
      </c>
    </row>
    <row r="61" spans="1:64">
      <c r="BF61" s="24" t="s">
        <v>307</v>
      </c>
      <c r="BG61" s="24" t="s">
        <v>321</v>
      </c>
    </row>
    <row r="62" spans="1:64">
      <c r="BF62" s="24">
        <v>0</v>
      </c>
      <c r="BG62" s="24">
        <f t="shared" ref="BG62:BG74" si="81">IF(BF62&lt;($BF$3/2),1,1-(((BF62-($BF$3/2))/($BF$3/2))^$BF$4))</f>
        <v>1</v>
      </c>
    </row>
    <row r="63" spans="1:64">
      <c r="BF63" s="24">
        <f>BF62+0.5</f>
        <v>0.5</v>
      </c>
      <c r="BG63" s="24">
        <f t="shared" si="81"/>
        <v>1</v>
      </c>
    </row>
    <row r="64" spans="1:64">
      <c r="BF64" s="24">
        <f t="shared" ref="BF64:BF74" si="82">BF63+0.5</f>
        <v>1</v>
      </c>
      <c r="BG64" s="24">
        <f t="shared" si="81"/>
        <v>1</v>
      </c>
    </row>
    <row r="65" spans="58:59">
      <c r="BF65" s="24">
        <f t="shared" si="82"/>
        <v>1.5</v>
      </c>
      <c r="BG65" s="24">
        <f t="shared" si="81"/>
        <v>1</v>
      </c>
    </row>
    <row r="66" spans="58:59">
      <c r="BF66" s="24">
        <f t="shared" si="82"/>
        <v>2</v>
      </c>
      <c r="BG66" s="24">
        <f t="shared" si="81"/>
        <v>0.86370500304913267</v>
      </c>
    </row>
    <row r="67" spans="58:59">
      <c r="BF67" s="24">
        <f t="shared" si="82"/>
        <v>2.5</v>
      </c>
      <c r="BG67" s="24">
        <f t="shared" si="81"/>
        <v>0.57963125381141589</v>
      </c>
    </row>
    <row r="68" spans="58:59">
      <c r="BF68" s="24">
        <f t="shared" si="82"/>
        <v>3</v>
      </c>
      <c r="BG68" s="24">
        <f t="shared" si="81"/>
        <v>0.295557504573699</v>
      </c>
    </row>
    <row r="69" spans="58:59">
      <c r="BF69" s="24">
        <f t="shared" si="82"/>
        <v>3.5</v>
      </c>
      <c r="BG69" s="24">
        <f t="shared" si="81"/>
        <v>1.1483755335982226E-2</v>
      </c>
    </row>
    <row r="70" spans="58:59">
      <c r="BF70" s="24">
        <f t="shared" si="82"/>
        <v>4</v>
      </c>
      <c r="BG70" s="24">
        <f t="shared" si="81"/>
        <v>-0.27258999390173444</v>
      </c>
    </row>
    <row r="71" spans="58:59">
      <c r="BF71" s="24">
        <f t="shared" si="82"/>
        <v>4.5</v>
      </c>
      <c r="BG71" s="24">
        <f t="shared" si="81"/>
        <v>-0.55666374313945144</v>
      </c>
    </row>
    <row r="72" spans="58:59">
      <c r="BF72" s="24">
        <f t="shared" si="82"/>
        <v>5</v>
      </c>
      <c r="BG72" s="24">
        <f t="shared" si="81"/>
        <v>-0.84073749237716822</v>
      </c>
    </row>
    <row r="73" spans="58:59">
      <c r="BF73" s="24">
        <f t="shared" si="82"/>
        <v>5.5</v>
      </c>
      <c r="BG73" s="24">
        <f t="shared" si="81"/>
        <v>-1.1248112416148852</v>
      </c>
    </row>
    <row r="74" spans="58:59">
      <c r="BF74" s="24">
        <f t="shared" si="82"/>
        <v>6</v>
      </c>
      <c r="BG74" s="24">
        <f t="shared" si="81"/>
        <v>-1.4088849908526018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07B8-0F2F-444F-B0D9-18C55BA81C3B}">
  <dimension ref="A1:BB53"/>
  <sheetViews>
    <sheetView topLeftCell="A10" zoomScale="80" zoomScaleNormal="80" workbookViewId="0">
      <selection activeCell="I5" sqref="I5"/>
    </sheetView>
  </sheetViews>
  <sheetFormatPr defaultColWidth="9.109375" defaultRowHeight="14.4"/>
  <cols>
    <col min="1" max="21" width="9.109375" style="24"/>
    <col min="22" max="23" width="9.6640625" style="24" customWidth="1"/>
    <col min="24" max="43" width="9.109375" style="24"/>
    <col min="44" max="45" width="9.109375" style="3"/>
    <col min="46" max="47" width="9.109375" style="24"/>
    <col min="48" max="48" width="12" style="24" customWidth="1"/>
    <col min="49" max="49" width="11.33203125" style="24" customWidth="1"/>
    <col min="50" max="50" width="11" style="24" bestFit="1" customWidth="1"/>
    <col min="51" max="52" width="9.109375" style="24"/>
    <col min="53" max="53" width="12" style="24" bestFit="1" customWidth="1"/>
    <col min="54" max="16384" width="9.109375" style="24"/>
  </cols>
  <sheetData>
    <row r="1" spans="1:54">
      <c r="A1" s="48" t="s">
        <v>372</v>
      </c>
    </row>
    <row r="2" spans="1:54">
      <c r="A2" s="62" t="s">
        <v>309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319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46" t="s">
        <v>320</v>
      </c>
      <c r="AH2" s="46"/>
      <c r="AI2" s="46"/>
      <c r="AJ2" s="46"/>
      <c r="AK2" s="46"/>
      <c r="AL2" s="64" t="s">
        <v>338</v>
      </c>
      <c r="AM2" s="64"/>
      <c r="AN2" s="64"/>
      <c r="AO2" s="64"/>
      <c r="AP2" s="64"/>
      <c r="AQ2" s="64"/>
      <c r="AT2" s="28" t="s">
        <v>323</v>
      </c>
      <c r="AU2" s="28"/>
      <c r="AX2" s="62" t="s">
        <v>311</v>
      </c>
      <c r="AY2" s="63" t="s">
        <v>312</v>
      </c>
      <c r="AZ2" s="46" t="s">
        <v>313</v>
      </c>
      <c r="BA2" s="64" t="s">
        <v>314</v>
      </c>
    </row>
    <row r="3" spans="1:54">
      <c r="A3" s="62" t="s">
        <v>363</v>
      </c>
      <c r="B3" s="62" t="s">
        <v>310</v>
      </c>
      <c r="C3" s="62" t="s">
        <v>364</v>
      </c>
      <c r="D3" s="62" t="s">
        <v>317</v>
      </c>
      <c r="E3" s="62" t="s">
        <v>318</v>
      </c>
      <c r="F3" s="2" t="s">
        <v>324</v>
      </c>
      <c r="G3" s="2" t="s">
        <v>325</v>
      </c>
      <c r="H3" s="62" t="s">
        <v>366</v>
      </c>
      <c r="I3" s="62" t="s">
        <v>361</v>
      </c>
      <c r="J3" s="62" t="s">
        <v>354</v>
      </c>
      <c r="K3" s="62" t="s">
        <v>22</v>
      </c>
      <c r="L3" s="62" t="s">
        <v>355</v>
      </c>
      <c r="M3" s="62" t="s">
        <v>361</v>
      </c>
      <c r="N3" s="62" t="s">
        <v>362</v>
      </c>
      <c r="O3" s="62" t="s">
        <v>363</v>
      </c>
      <c r="P3" s="62" t="s">
        <v>361</v>
      </c>
      <c r="Q3" s="63" t="s">
        <v>363</v>
      </c>
      <c r="R3" s="63" t="s">
        <v>310</v>
      </c>
      <c r="S3" s="63" t="s">
        <v>364</v>
      </c>
      <c r="T3" s="63" t="s">
        <v>317</v>
      </c>
      <c r="U3" s="63" t="s">
        <v>318</v>
      </c>
      <c r="V3" s="2" t="s">
        <v>324</v>
      </c>
      <c r="W3" s="2" t="s">
        <v>325</v>
      </c>
      <c r="X3" s="63" t="s">
        <v>366</v>
      </c>
      <c r="Y3" s="63" t="s">
        <v>361</v>
      </c>
      <c r="Z3" s="63" t="s">
        <v>354</v>
      </c>
      <c r="AA3" s="63" t="s">
        <v>22</v>
      </c>
      <c r="AB3" s="63" t="s">
        <v>355</v>
      </c>
      <c r="AC3" s="63" t="s">
        <v>361</v>
      </c>
      <c r="AD3" s="63" t="s">
        <v>362</v>
      </c>
      <c r="AE3" s="63" t="s">
        <v>363</v>
      </c>
      <c r="AF3" s="63" t="s">
        <v>361</v>
      </c>
      <c r="AG3" s="46" t="s">
        <v>310</v>
      </c>
      <c r="AH3" s="46" t="s">
        <v>317</v>
      </c>
      <c r="AI3" s="46" t="s">
        <v>318</v>
      </c>
      <c r="AJ3" s="2" t="s">
        <v>324</v>
      </c>
      <c r="AK3" s="2" t="s">
        <v>325</v>
      </c>
      <c r="AL3" s="64" t="s">
        <v>310</v>
      </c>
      <c r="AM3" s="64" t="s">
        <v>317</v>
      </c>
      <c r="AN3" s="64" t="s">
        <v>318</v>
      </c>
      <c r="AO3" s="64" t="s">
        <v>321</v>
      </c>
      <c r="AP3" s="2" t="s">
        <v>324</v>
      </c>
      <c r="AQ3" s="2" t="s">
        <v>325</v>
      </c>
      <c r="AR3" s="64" t="s">
        <v>308</v>
      </c>
      <c r="AT3" s="28" t="s">
        <v>308</v>
      </c>
      <c r="AU3" s="28">
        <f>BA35</f>
        <v>3.5202126302884333</v>
      </c>
      <c r="AV3" s="24" t="s">
        <v>341</v>
      </c>
      <c r="AW3" s="24" t="s">
        <v>201</v>
      </c>
      <c r="AX3" s="28">
        <v>2.4E-2</v>
      </c>
      <c r="AY3" s="28">
        <v>0.03</v>
      </c>
      <c r="AZ3" s="28">
        <v>0.08</v>
      </c>
    </row>
    <row r="4" spans="1:54">
      <c r="A4" s="62">
        <f>ROUNDDOWN(B4/(1-$AX$16),0)</f>
        <v>311</v>
      </c>
      <c r="B4" s="62">
        <f>$AX10</f>
        <v>195.99999999999997</v>
      </c>
      <c r="C4" s="62">
        <f t="shared" ref="C4:C33" si="0">EXP(-$AX$4*A4)</f>
        <v>0.9876370569395867</v>
      </c>
      <c r="D4" s="65">
        <f t="shared" ref="D4:D33" si="1">A4*$AX$3*C4</f>
        <v>7.3717229929970758</v>
      </c>
      <c r="E4" s="62">
        <f>D4/$AX$6</f>
        <v>0.10840769107348641</v>
      </c>
      <c r="F4" s="2">
        <f>D4</f>
        <v>7.3717229929970758</v>
      </c>
      <c r="G4" s="2">
        <f>F4/$AX$6</f>
        <v>0.10840769107348641</v>
      </c>
      <c r="H4" s="62">
        <f t="shared" ref="H4:H33" si="2">$AX$30*A4*$AX$7</f>
        <v>0.15898533686087507</v>
      </c>
      <c r="I4" s="62">
        <f>$AX$9 - (H4*12) - (F4*$AX$7)</f>
        <v>1.7749006108208154</v>
      </c>
      <c r="J4" s="62">
        <f t="shared" ref="J4:J33" si="3">$AU$6*$AU$7*$AU$8*$AU$9*$AX$26*F4</f>
        <v>7.7658507717079601</v>
      </c>
      <c r="K4" s="62">
        <f t="shared" ref="K4:K33" si="4">$AU$7*$AX$29*F4</f>
        <v>0.85425600034154037</v>
      </c>
      <c r="L4" s="62">
        <f>J4-K4</f>
        <v>6.9115947713664196</v>
      </c>
      <c r="M4" s="62">
        <f t="shared" ref="M4:M33" si="5">I4+(L4*$AU$20)</f>
        <v>36.332874467652914</v>
      </c>
      <c r="N4" s="62">
        <f t="shared" ref="N4:N33" si="6">(M4-($AX$8*C4*A4*$AX$7))</f>
        <v>29.421884161718154</v>
      </c>
      <c r="O4" s="62">
        <f t="shared" ref="O4:O33" si="7">A4+(N4/$AX$7)</f>
        <v>376.38196480381811</v>
      </c>
      <c r="P4" s="62">
        <f>M4 -N4</f>
        <v>6.9109903059347602</v>
      </c>
      <c r="Q4" s="63">
        <f>ROUNDDOWN(R4/(1-$AY$16),0)</f>
        <v>311</v>
      </c>
      <c r="R4" s="63">
        <f>$AY10</f>
        <v>220.88888888888886</v>
      </c>
      <c r="S4" s="63">
        <f>EXP(-$AY$4*Q4)</f>
        <v>0.98059769536227137</v>
      </c>
      <c r="T4" s="63">
        <f>Q4*$AY$3*S4</f>
        <v>9.1489764977299917</v>
      </c>
      <c r="U4" s="63">
        <f>T4/$AY$6</f>
        <v>9.8376091373440777E-2</v>
      </c>
      <c r="V4" s="2">
        <f>T4</f>
        <v>9.1489764977299917</v>
      </c>
      <c r="W4" s="2">
        <f>V4/$AY$6</f>
        <v>9.8376091373440777E-2</v>
      </c>
      <c r="X4" s="63">
        <f>$AY$30*Q4*$AY$7</f>
        <v>0.15898533686087507</v>
      </c>
      <c r="Y4" s="63">
        <f>$AY$9 - (X4*12) - (V4*$AY$7)</f>
        <v>0.97513653369100339</v>
      </c>
      <c r="Z4" s="63">
        <f>$AU$6*$AU$7*$AU$8*$AU$9*$AY$26*V4</f>
        <v>13.90550124510737</v>
      </c>
      <c r="AA4" s="63">
        <f>$AU$7*$AY$29*V4</f>
        <v>1.529627368023347</v>
      </c>
      <c r="AB4" s="63">
        <f>Z4-AA4</f>
        <v>12.375873877084024</v>
      </c>
      <c r="AC4" s="63">
        <f>Y4+(AB4*$AU$20)</f>
        <v>62.854505919111119</v>
      </c>
      <c r="AD4" s="63">
        <f>(AC4-($AY$8*S4*Q4*$AY$7))</f>
        <v>55.992773545813627</v>
      </c>
      <c r="AE4" s="63">
        <f>Q4+(AD4/$AY$7)</f>
        <v>435.42838565736361</v>
      </c>
      <c r="AF4" s="63">
        <f>AC4 -AD4</f>
        <v>6.8617323732974924</v>
      </c>
      <c r="AG4" s="46">
        <v>0</v>
      </c>
      <c r="AH4" s="46">
        <f t="shared" ref="AH4:AH33" si="8">AG4*$AZ$3*EXP(-$AZ$4*AG4)</f>
        <v>0</v>
      </c>
      <c r="AI4" s="46">
        <f t="shared" ref="AI4:AI33" si="9">AH4/$AZ$6</f>
        <v>0</v>
      </c>
      <c r="AJ4" s="2">
        <f>AH4</f>
        <v>0</v>
      </c>
      <c r="AK4" s="2">
        <f>AJ4/$AZ$6</f>
        <v>0</v>
      </c>
      <c r="AL4" s="64">
        <f>B4+R4+AG4</f>
        <v>416.8888888888888</v>
      </c>
      <c r="AM4" s="64">
        <f>D4+T4+AH4</f>
        <v>16.520699490727068</v>
      </c>
      <c r="AN4" s="64">
        <f>E4+U4+AI4</f>
        <v>0.20678378244692719</v>
      </c>
      <c r="AO4" s="64">
        <f>IF($AQ4&lt;($AR4/2),1,1-((($AQ4-($AR4/2))/($AR4/2))^$AU$4))</f>
        <v>1</v>
      </c>
      <c r="AP4" s="2">
        <f t="shared" ref="AP4:AP33" si="10">F4+V4+AJ4</f>
        <v>16.520699490727068</v>
      </c>
      <c r="AQ4" s="2">
        <f t="shared" ref="AQ4:AQ33" si="11">G4+W4+AK4</f>
        <v>0.20678378244692719</v>
      </c>
      <c r="AR4" s="3">
        <f t="shared" ref="AR4:AR33" si="12">MAX(IF(B4&gt;0,$AX$35,0),IF(R4&gt;0,$AY$35,0),IF(AG4&gt;0,$AZ$35,0))</f>
        <v>3.2459412537597525</v>
      </c>
      <c r="AT4" s="28" t="s">
        <v>322</v>
      </c>
      <c r="AU4" s="28">
        <v>1</v>
      </c>
      <c r="AW4" s="24" t="s">
        <v>190</v>
      </c>
      <c r="AX4" s="66">
        <v>4.0000000000000003E-5</v>
      </c>
      <c r="AY4" s="28">
        <v>6.3E-5</v>
      </c>
      <c r="AZ4" s="28">
        <v>4.3999999999999999E-5</v>
      </c>
    </row>
    <row r="5" spans="1:54">
      <c r="A5" s="62">
        <f>O4</f>
        <v>376.38196480381811</v>
      </c>
      <c r="B5" s="62">
        <f t="shared" ref="B5:B33" si="13">A5*(1-$AX$16) +F4</f>
        <v>244.49236081940248</v>
      </c>
      <c r="C5" s="62">
        <f t="shared" si="0"/>
        <v>0.98505748550701533</v>
      </c>
      <c r="D5" s="65">
        <f t="shared" si="1"/>
        <v>8.8981889241561358</v>
      </c>
      <c r="E5" s="62">
        <f>D5/$AX$6</f>
        <v>0.13085571947288435</v>
      </c>
      <c r="F5" s="2">
        <f t="shared" ref="F5:F33" si="14">MIN(D5,F4+((D5-F4)*$AO4))</f>
        <v>8.8981889241561358</v>
      </c>
      <c r="G5" s="2">
        <f>F5/$AX$6</f>
        <v>0.13085571947288435</v>
      </c>
      <c r="H5" s="62">
        <f t="shared" si="2"/>
        <v>0.19240904650383617</v>
      </c>
      <c r="I5" s="62">
        <f t="shared" ref="I5:I33" si="15">P4 - (H5*12) - (F5*$AX$7)</f>
        <v>0.59789673201846494</v>
      </c>
      <c r="J5" s="62">
        <f t="shared" si="3"/>
        <v>9.3739289158187393</v>
      </c>
      <c r="K5" s="62">
        <f t="shared" si="4"/>
        <v>1.0311471670671919</v>
      </c>
      <c r="L5" s="62">
        <f>J5-K5</f>
        <v>8.3427817487515483</v>
      </c>
      <c r="M5" s="62">
        <f t="shared" si="5"/>
        <v>42.311805475776204</v>
      </c>
      <c r="N5" s="62">
        <f t="shared" si="6"/>
        <v>33.969753359379823</v>
      </c>
      <c r="O5" s="62">
        <f t="shared" si="7"/>
        <v>451.87030560243994</v>
      </c>
      <c r="P5" s="62">
        <f>M5 -N5</f>
        <v>8.3420521163963812</v>
      </c>
      <c r="Q5" s="63">
        <f>AE4</f>
        <v>435.42838565736361</v>
      </c>
      <c r="R5" s="63">
        <f>Q5*(1-$AY$16) +V4</f>
        <v>318.30313031445814</v>
      </c>
      <c r="S5" s="63">
        <f>EXP(-$AY$4*Q5)</f>
        <v>0.97294085166810185</v>
      </c>
      <c r="T5" s="63">
        <f>Q5*$AY$3*S5</f>
        <v>12.70938193145826</v>
      </c>
      <c r="U5" s="63">
        <f>T5/$AY$6</f>
        <v>0.13666002076836839</v>
      </c>
      <c r="V5" s="2">
        <f>MIN(T5,V4+((T5-V4)*$AO4))</f>
        <v>12.70938193145826</v>
      </c>
      <c r="W5" s="2">
        <f>V5/$AY$6</f>
        <v>0.13666002076836839</v>
      </c>
      <c r="X5" s="63">
        <f>$AY$30*Q5*$AY$7</f>
        <v>0.2225939825483054</v>
      </c>
      <c r="Y5" s="63">
        <f>AF4 - (X5*12) - (V5*$AY$7)</f>
        <v>-1.5286172864383891</v>
      </c>
      <c r="Z5" s="63">
        <f>$AU$6*$AU$7*$AU$8*$AU$9*$AY$26*V5</f>
        <v>19.316950515315849</v>
      </c>
      <c r="AA5" s="63">
        <f>$AU$7*$AY$29*V5</f>
        <v>2.1248954391612562</v>
      </c>
      <c r="AB5" s="63">
        <f>Z5-AA5</f>
        <v>17.192055076154592</v>
      </c>
      <c r="AC5" s="63">
        <f>Y5+(AB5*$AU$20)</f>
        <v>84.431658094334566</v>
      </c>
      <c r="AD5" s="63">
        <f>(AC5-($AY$8*S5*Q5*$AY$7))</f>
        <v>74.899621645740865</v>
      </c>
      <c r="AE5" s="63">
        <f>Q5+(AD5/$AY$7)</f>
        <v>601.87198931456555</v>
      </c>
      <c r="AF5" s="63">
        <f>AC5 -AD5</f>
        <v>9.5320364485937006</v>
      </c>
      <c r="AG5" s="46">
        <v>0</v>
      </c>
      <c r="AH5" s="46">
        <f t="shared" si="8"/>
        <v>0</v>
      </c>
      <c r="AI5" s="46">
        <f t="shared" si="9"/>
        <v>0</v>
      </c>
      <c r="AJ5" s="2">
        <f>MIN(AH5,AJ4+((AH5-AJ4)*$AO4))</f>
        <v>0</v>
      </c>
      <c r="AK5" s="2">
        <f t="shared" ref="AK5:AK33" si="16">AJ5/$AZ$6</f>
        <v>0</v>
      </c>
      <c r="AL5" s="64">
        <f t="shared" ref="AL5:AL33" si="17">B5+R5+AG5</f>
        <v>562.79549113386065</v>
      </c>
      <c r="AM5" s="64">
        <f t="shared" ref="AM5:AM33" si="18">D5+T5+AH5</f>
        <v>21.607570855614398</v>
      </c>
      <c r="AN5" s="64">
        <f t="shared" ref="AN5:AN33" si="19">E5+U5+AI5</f>
        <v>0.26751574024125274</v>
      </c>
      <c r="AO5" s="64">
        <f t="shared" ref="AO5:AO33" si="20">IF($AQ5&lt;($AR5/2),1,1-((($AQ5-($AR5/2))/($AR5/2))^$AU$4))</f>
        <v>1</v>
      </c>
      <c r="AP5" s="2">
        <f t="shared" si="10"/>
        <v>21.607570855614398</v>
      </c>
      <c r="AQ5" s="2">
        <f t="shared" si="11"/>
        <v>0.26751574024125274</v>
      </c>
      <c r="AR5" s="3">
        <f t="shared" si="12"/>
        <v>3.2459412537597525</v>
      </c>
      <c r="AT5" s="28" t="s">
        <v>326</v>
      </c>
      <c r="AU5" s="28">
        <v>25144.23</v>
      </c>
      <c r="AV5" s="24" t="s">
        <v>337</v>
      </c>
      <c r="AW5" s="24" t="s">
        <v>315</v>
      </c>
      <c r="AX5" s="28">
        <v>1</v>
      </c>
      <c r="AY5" s="28">
        <v>1</v>
      </c>
      <c r="AZ5" s="28">
        <v>0.4</v>
      </c>
    </row>
    <row r="6" spans="1:54">
      <c r="A6" s="62">
        <f t="shared" ref="A6:A33" si="21">O5</f>
        <v>451.87030560243994</v>
      </c>
      <c r="B6" s="62">
        <f t="shared" si="13"/>
        <v>293.5764814536933</v>
      </c>
      <c r="C6" s="62">
        <f t="shared" si="0"/>
        <v>0.9820875574554927</v>
      </c>
      <c r="D6" s="65">
        <f t="shared" si="1"/>
        <v>10.650628913178414</v>
      </c>
      <c r="E6" s="62">
        <f t="shared" ref="E6:E33" si="22">D6/$AX$6</f>
        <v>0.15662689578203551</v>
      </c>
      <c r="F6" s="2">
        <f t="shared" si="14"/>
        <v>10.650628913178414</v>
      </c>
      <c r="G6" s="2">
        <f t="shared" ref="G6:G33" si="23">F6/$AX$6</f>
        <v>0.15662689578203551</v>
      </c>
      <c r="H6" s="62">
        <f t="shared" si="2"/>
        <v>0.2309992049955964</v>
      </c>
      <c r="I6" s="62">
        <f t="shared" si="15"/>
        <v>0.77727864551893866</v>
      </c>
      <c r="J6" s="62">
        <f t="shared" si="3"/>
        <v>11.220062778153078</v>
      </c>
      <c r="K6" s="62">
        <f t="shared" si="4"/>
        <v>1.2342248433828757</v>
      </c>
      <c r="L6" s="62">
        <f t="shared" ref="L6:L33" si="24">J6-K6</f>
        <v>9.9858379347702027</v>
      </c>
      <c r="M6" s="62">
        <f t="shared" si="5"/>
        <v>50.706468319369954</v>
      </c>
      <c r="N6" s="62">
        <f t="shared" si="6"/>
        <v>40.721503713265193</v>
      </c>
      <c r="O6" s="62">
        <f t="shared" si="7"/>
        <v>542.36253607636263</v>
      </c>
      <c r="P6" s="62">
        <f t="shared" ref="P6:P33" si="25">M6 -N6</f>
        <v>9.9849646061047608</v>
      </c>
      <c r="Q6" s="63">
        <f t="shared" ref="Q6:Q33" si="26">AE5</f>
        <v>601.87198931456555</v>
      </c>
      <c r="R6" s="63">
        <f t="shared" ref="R6:R33" si="27">Q6*(1-$AY$16) +V5</f>
        <v>440.0384943447998</v>
      </c>
      <c r="S6" s="63">
        <f t="shared" ref="S6:S33" si="28">EXP(-$AY$4*Q6)</f>
        <v>0.96279194885589925</v>
      </c>
      <c r="T6" s="63">
        <f t="shared" ref="T6:T33" si="29">Q6*$AY$3*S6</f>
        <v>17.384325166618424</v>
      </c>
      <c r="U6" s="63">
        <f t="shared" ref="U6:U33" si="30">T6/$AY$6</f>
        <v>0.18692822759804759</v>
      </c>
      <c r="V6" s="2">
        <f t="shared" ref="V6:V33" si="31">MIN(T6,V5+((T6-V5)*$AO5))</f>
        <v>17.384325166618424</v>
      </c>
      <c r="W6" s="2">
        <f t="shared" ref="W6:W33" si="32">V6/$AY$6</f>
        <v>0.18692822759804759</v>
      </c>
      <c r="X6" s="63">
        <f t="shared" ref="X6:X33" si="33">$AY$30*Q6*$AY$7</f>
        <v>0.30768109636109708</v>
      </c>
      <c r="Y6" s="63">
        <f t="shared" ref="Y6:Y33" si="34">AF5 - (X6*12) - (V6*$AY$7)</f>
        <v>-1.9830830327177562</v>
      </c>
      <c r="Z6" s="63">
        <f t="shared" ref="Z6:Z33" si="35">$AU$6*$AU$7*$AU$8*$AU$9*$AY$26*V6</f>
        <v>26.422382362632906</v>
      </c>
      <c r="AA6" s="63">
        <f t="shared" ref="AA6:AA33" si="36">$AU$7*$AY$29*V6</f>
        <v>2.9065043019920713</v>
      </c>
      <c r="AB6" s="63">
        <f t="shared" ref="AB6:AB33" si="37">Z6-AA6</f>
        <v>23.515878060640834</v>
      </c>
      <c r="AC6" s="63">
        <f t="shared" ref="AC6:AC33" si="38">Y6+(AB6*$AU$20)</f>
        <v>115.59630727048641</v>
      </c>
      <c r="AD6" s="63">
        <f t="shared" ref="AD6:AD33" si="39">(AC6-($AY$8*S6*Q6*$AY$7))</f>
        <v>102.55806339552258</v>
      </c>
      <c r="AE6" s="63">
        <f t="shared" ref="AE6:AE33" si="40">Q6+(AD6/$AY$7)</f>
        <v>829.77879686017127</v>
      </c>
      <c r="AF6" s="63">
        <f t="shared" ref="AF6:AF33" si="41">AC6 -AD6</f>
        <v>13.038243874963825</v>
      </c>
      <c r="AG6" s="46">
        <v>0</v>
      </c>
      <c r="AH6" s="46">
        <f t="shared" si="8"/>
        <v>0</v>
      </c>
      <c r="AI6" s="46">
        <f t="shared" si="9"/>
        <v>0</v>
      </c>
      <c r="AJ6" s="2">
        <f t="shared" ref="AJ6:AJ33" si="42">MIN(AH6,AJ5+((AH6-AJ5)*$AO5))</f>
        <v>0</v>
      </c>
      <c r="AK6" s="2">
        <f t="shared" si="16"/>
        <v>0</v>
      </c>
      <c r="AL6" s="64">
        <f t="shared" si="17"/>
        <v>733.61497579849311</v>
      </c>
      <c r="AM6" s="64">
        <f t="shared" si="18"/>
        <v>28.03495407979684</v>
      </c>
      <c r="AN6" s="64">
        <f t="shared" si="19"/>
        <v>0.34355512338008309</v>
      </c>
      <c r="AO6" s="64">
        <f t="shared" si="20"/>
        <v>1</v>
      </c>
      <c r="AP6" s="2">
        <f t="shared" si="10"/>
        <v>28.03495407979684</v>
      </c>
      <c r="AQ6" s="2">
        <f t="shared" si="11"/>
        <v>0.34355512338008309</v>
      </c>
      <c r="AR6" s="3">
        <f t="shared" si="12"/>
        <v>3.2459412537597525</v>
      </c>
      <c r="AT6" s="28" t="s">
        <v>34</v>
      </c>
      <c r="AU6" s="28">
        <v>0.94943730000000004</v>
      </c>
      <c r="AW6" s="24" t="s">
        <v>316</v>
      </c>
      <c r="AX6" s="28">
        <v>68</v>
      </c>
      <c r="AY6" s="28">
        <v>93</v>
      </c>
      <c r="AZ6" s="28">
        <v>190</v>
      </c>
    </row>
    <row r="7" spans="1:54">
      <c r="A7" s="62">
        <f t="shared" si="21"/>
        <v>542.36253607636263</v>
      </c>
      <c r="B7" s="62">
        <f t="shared" si="13"/>
        <v>352.33902664128686</v>
      </c>
      <c r="C7" s="62">
        <f t="shared" si="0"/>
        <v>0.97853913168528472</v>
      </c>
      <c r="D7" s="65">
        <f t="shared" si="1"/>
        <v>12.737351162659028</v>
      </c>
      <c r="E7" s="62">
        <f t="shared" si="22"/>
        <v>0.18731398768616217</v>
      </c>
      <c r="F7" s="2">
        <f t="shared" si="14"/>
        <v>12.737351162659028</v>
      </c>
      <c r="G7" s="2">
        <f t="shared" si="23"/>
        <v>0.18731398768616217</v>
      </c>
      <c r="H7" s="62">
        <f t="shared" si="2"/>
        <v>0.27725945498012544</v>
      </c>
      <c r="I7" s="62">
        <f t="shared" si="15"/>
        <v>0.92604312314669279</v>
      </c>
      <c r="J7" s="62">
        <f t="shared" si="3"/>
        <v>13.418351238919122</v>
      </c>
      <c r="K7" s="62">
        <f t="shared" si="4"/>
        <v>1.4760400885241303</v>
      </c>
      <c r="L7" s="62">
        <f t="shared" si="24"/>
        <v>11.942311150394993</v>
      </c>
      <c r="M7" s="62">
        <f t="shared" si="5"/>
        <v>60.637598875121654</v>
      </c>
      <c r="N7" s="62">
        <f t="shared" si="6"/>
        <v>48.696332160128811</v>
      </c>
      <c r="O7" s="62">
        <f t="shared" si="7"/>
        <v>650.5766075433155</v>
      </c>
      <c r="P7" s="62">
        <f t="shared" si="25"/>
        <v>11.941266714992842</v>
      </c>
      <c r="Q7" s="63">
        <f t="shared" si="26"/>
        <v>829.77879686017127</v>
      </c>
      <c r="R7" s="63">
        <f t="shared" si="27"/>
        <v>606.52727093733995</v>
      </c>
      <c r="S7" s="63">
        <f t="shared" si="28"/>
        <v>0.94906682729818104</v>
      </c>
      <c r="T7" s="63">
        <f t="shared" si="29"/>
        <v>23.625465902861539</v>
      </c>
      <c r="U7" s="63">
        <f t="shared" si="30"/>
        <v>0.25403726777270469</v>
      </c>
      <c r="V7" s="2">
        <f t="shared" si="31"/>
        <v>23.625465902861539</v>
      </c>
      <c r="W7" s="2">
        <f t="shared" si="32"/>
        <v>0.25403726777270469</v>
      </c>
      <c r="X7" s="63">
        <f t="shared" si="33"/>
        <v>0.42418862231133747</v>
      </c>
      <c r="Y7" s="63">
        <f t="shared" si="34"/>
        <v>-2.683479249059916</v>
      </c>
      <c r="Z7" s="63">
        <f t="shared" si="35"/>
        <v>35.908272975670549</v>
      </c>
      <c r="AA7" s="63">
        <f t="shared" si="36"/>
        <v>3.9499674347492184</v>
      </c>
      <c r="AB7" s="63">
        <f t="shared" si="37"/>
        <v>31.95830554092133</v>
      </c>
      <c r="AC7" s="63">
        <f t="shared" si="38"/>
        <v>157.10804845554674</v>
      </c>
      <c r="AD7" s="63">
        <f t="shared" si="39"/>
        <v>139.38894902840059</v>
      </c>
      <c r="AE7" s="63">
        <f t="shared" si="40"/>
        <v>1139.5320169232837</v>
      </c>
      <c r="AF7" s="63">
        <f t="shared" si="41"/>
        <v>17.719099427146148</v>
      </c>
      <c r="AG7" s="46">
        <v>0</v>
      </c>
      <c r="AH7" s="46">
        <f t="shared" si="8"/>
        <v>0</v>
      </c>
      <c r="AI7" s="46">
        <f t="shared" si="9"/>
        <v>0</v>
      </c>
      <c r="AJ7" s="2">
        <f t="shared" si="42"/>
        <v>0</v>
      </c>
      <c r="AK7" s="2">
        <f t="shared" si="16"/>
        <v>0</v>
      </c>
      <c r="AL7" s="64">
        <f t="shared" si="17"/>
        <v>958.86629757862681</v>
      </c>
      <c r="AM7" s="64">
        <f t="shared" si="18"/>
        <v>36.362817065520566</v>
      </c>
      <c r="AN7" s="64">
        <f t="shared" si="19"/>
        <v>0.44135125545886689</v>
      </c>
      <c r="AO7" s="64">
        <f t="shared" si="20"/>
        <v>1</v>
      </c>
      <c r="AP7" s="2">
        <f t="shared" si="10"/>
        <v>36.362817065520566</v>
      </c>
      <c r="AQ7" s="2">
        <f t="shared" si="11"/>
        <v>0.44135125545886689</v>
      </c>
      <c r="AR7" s="3">
        <f t="shared" si="12"/>
        <v>3.2459412537597525</v>
      </c>
      <c r="AT7" s="28" t="s">
        <v>20</v>
      </c>
      <c r="AU7" s="28">
        <v>1</v>
      </c>
      <c r="AW7" s="24" t="s">
        <v>343</v>
      </c>
      <c r="AX7" s="28">
        <v>0.45</v>
      </c>
      <c r="AY7" s="28">
        <v>0.45</v>
      </c>
      <c r="AZ7" s="28">
        <v>0.45</v>
      </c>
    </row>
    <row r="8" spans="1:54">
      <c r="A8" s="62">
        <f t="shared" si="21"/>
        <v>650.5766075433155</v>
      </c>
      <c r="B8" s="62">
        <f t="shared" si="13"/>
        <v>422.60061391494781</v>
      </c>
      <c r="C8" s="62">
        <f t="shared" si="0"/>
        <v>0.97431261750940656</v>
      </c>
      <c r="D8" s="65">
        <f t="shared" si="1"/>
        <v>15.212759937262025</v>
      </c>
      <c r="E8" s="62">
        <f t="shared" si="22"/>
        <v>0.22371705790091212</v>
      </c>
      <c r="F8" s="2">
        <f t="shared" si="14"/>
        <v>15.212759937262025</v>
      </c>
      <c r="G8" s="2">
        <f t="shared" si="23"/>
        <v>0.22371705790091212</v>
      </c>
      <c r="H8" s="62">
        <f t="shared" si="2"/>
        <v>0.33257923184591426</v>
      </c>
      <c r="I8" s="62">
        <f t="shared" si="15"/>
        <v>1.1045739610739602</v>
      </c>
      <c r="J8" s="62">
        <f t="shared" si="3"/>
        <v>16.026107276524613</v>
      </c>
      <c r="K8" s="62">
        <f t="shared" si="4"/>
        <v>1.7628974217434537</v>
      </c>
      <c r="L8" s="62">
        <f t="shared" si="24"/>
        <v>14.263209854781159</v>
      </c>
      <c r="M8" s="62">
        <f t="shared" si="5"/>
        <v>72.420623234979757</v>
      </c>
      <c r="N8" s="62">
        <f t="shared" si="6"/>
        <v>58.158660793796606</v>
      </c>
      <c r="O8" s="62">
        <f t="shared" si="7"/>
        <v>779.8180759739746</v>
      </c>
      <c r="P8" s="62">
        <f t="shared" si="25"/>
        <v>14.261962441183151</v>
      </c>
      <c r="Q8" s="63">
        <f t="shared" si="26"/>
        <v>1139.5320169232837</v>
      </c>
      <c r="R8" s="63">
        <f t="shared" si="27"/>
        <v>832.6931979183928</v>
      </c>
      <c r="S8" s="63">
        <f t="shared" si="28"/>
        <v>0.93072584657199842</v>
      </c>
      <c r="T8" s="63">
        <f t="shared" si="29"/>
        <v>31.8177570344046</v>
      </c>
      <c r="U8" s="63">
        <f t="shared" si="30"/>
        <v>0.34212641972478064</v>
      </c>
      <c r="V8" s="2">
        <f t="shared" si="31"/>
        <v>31.8177570344046</v>
      </c>
      <c r="W8" s="2">
        <f t="shared" si="32"/>
        <v>0.34212641972478064</v>
      </c>
      <c r="X8" s="63">
        <f t="shared" si="33"/>
        <v>0.58253659670193136</v>
      </c>
      <c r="Y8" s="63">
        <f t="shared" si="34"/>
        <v>-3.589330398759099</v>
      </c>
      <c r="Z8" s="63">
        <f t="shared" si="35"/>
        <v>48.359711074590024</v>
      </c>
      <c r="AA8" s="63">
        <f t="shared" si="36"/>
        <v>5.3196455320459384</v>
      </c>
      <c r="AB8" s="63">
        <f t="shared" si="37"/>
        <v>43.040065542544085</v>
      </c>
      <c r="AC8" s="63">
        <f t="shared" si="38"/>
        <v>211.61099731396132</v>
      </c>
      <c r="AD8" s="63">
        <f t="shared" si="39"/>
        <v>187.74767953815785</v>
      </c>
      <c r="AE8" s="63">
        <f t="shared" si="40"/>
        <v>1556.7490825636344</v>
      </c>
      <c r="AF8" s="63">
        <f t="shared" si="41"/>
        <v>23.863317775803466</v>
      </c>
      <c r="AG8" s="46">
        <v>0</v>
      </c>
      <c r="AH8" s="46">
        <f t="shared" si="8"/>
        <v>0</v>
      </c>
      <c r="AI8" s="46">
        <f t="shared" si="9"/>
        <v>0</v>
      </c>
      <c r="AJ8" s="2">
        <f t="shared" si="42"/>
        <v>0</v>
      </c>
      <c r="AK8" s="2">
        <f t="shared" si="16"/>
        <v>0</v>
      </c>
      <c r="AL8" s="64">
        <f t="shared" si="17"/>
        <v>1255.2938118333407</v>
      </c>
      <c r="AM8" s="64">
        <f t="shared" si="18"/>
        <v>47.030516971666628</v>
      </c>
      <c r="AN8" s="64">
        <f t="shared" si="19"/>
        <v>0.56584347762569276</v>
      </c>
      <c r="AO8" s="64">
        <f t="shared" si="20"/>
        <v>1</v>
      </c>
      <c r="AP8" s="2">
        <f t="shared" si="10"/>
        <v>47.030516971666628</v>
      </c>
      <c r="AQ8" s="2">
        <f t="shared" si="11"/>
        <v>0.56584347762569276</v>
      </c>
      <c r="AR8" s="3">
        <f t="shared" si="12"/>
        <v>3.2459412537597525</v>
      </c>
      <c r="AT8" s="28" t="s">
        <v>21</v>
      </c>
      <c r="AU8" s="28">
        <v>0.99475809999999998</v>
      </c>
      <c r="AW8" s="24" t="s">
        <v>344</v>
      </c>
      <c r="AX8" s="28">
        <v>0.05</v>
      </c>
      <c r="AY8" s="28">
        <v>0.05</v>
      </c>
      <c r="AZ8" s="28">
        <v>0.05</v>
      </c>
    </row>
    <row r="9" spans="1:54">
      <c r="A9" s="62">
        <f t="shared" si="21"/>
        <v>779.8180759739746</v>
      </c>
      <c r="B9" s="62">
        <f t="shared" si="13"/>
        <v>506.49814780086604</v>
      </c>
      <c r="C9" s="62">
        <f t="shared" si="0"/>
        <v>0.96928875080044286</v>
      </c>
      <c r="D9" s="65">
        <f t="shared" si="1"/>
        <v>18.14085332909805</v>
      </c>
      <c r="E9" s="62">
        <f t="shared" si="22"/>
        <v>0.26677725483967718</v>
      </c>
      <c r="F9" s="2">
        <f t="shared" si="14"/>
        <v>18.14085332909805</v>
      </c>
      <c r="G9" s="2">
        <f t="shared" si="23"/>
        <v>0.26677725483967718</v>
      </c>
      <c r="H9" s="62">
        <f t="shared" si="2"/>
        <v>0.39864835851743352</v>
      </c>
      <c r="I9" s="62">
        <f t="shared" si="15"/>
        <v>1.3147981408798266</v>
      </c>
      <c r="J9" s="62">
        <f t="shared" si="3"/>
        <v>19.110750628997881</v>
      </c>
      <c r="K9" s="62">
        <f t="shared" si="4"/>
        <v>2.1022131220095299</v>
      </c>
      <c r="L9" s="62">
        <f t="shared" si="24"/>
        <v>17.00853750698835</v>
      </c>
      <c r="M9" s="62">
        <f t="shared" si="5"/>
        <v>86.357485675821579</v>
      </c>
      <c r="N9" s="62">
        <f t="shared" si="6"/>
        <v>69.350435679792156</v>
      </c>
      <c r="O9" s="62">
        <f t="shared" si="7"/>
        <v>933.93015526240163</v>
      </c>
      <c r="P9" s="62">
        <f t="shared" si="25"/>
        <v>17.007049996029423</v>
      </c>
      <c r="Q9" s="63">
        <f t="shared" si="26"/>
        <v>1556.7490825636344</v>
      </c>
      <c r="R9" s="63">
        <f t="shared" si="27"/>
        <v>1137.109605654585</v>
      </c>
      <c r="S9" s="63">
        <f t="shared" si="28"/>
        <v>0.90658073338982392</v>
      </c>
      <c r="T9" s="63">
        <f t="shared" si="29"/>
        <v>42.339561749234257</v>
      </c>
      <c r="U9" s="63">
        <f t="shared" si="30"/>
        <v>0.45526410483047586</v>
      </c>
      <c r="V9" s="2">
        <f t="shared" si="31"/>
        <v>42.339561749234257</v>
      </c>
      <c r="W9" s="2">
        <f t="shared" si="32"/>
        <v>0.45526410483047586</v>
      </c>
      <c r="X9" s="63">
        <f t="shared" si="33"/>
        <v>0.79582082732873838</v>
      </c>
      <c r="Y9" s="63">
        <f t="shared" si="34"/>
        <v>-4.7393349392968087</v>
      </c>
      <c r="Z9" s="63">
        <f t="shared" si="35"/>
        <v>64.351769705316912</v>
      </c>
      <c r="AA9" s="63">
        <f t="shared" si="36"/>
        <v>7.0787975483172465</v>
      </c>
      <c r="AB9" s="63">
        <f t="shared" si="37"/>
        <v>57.272972156999664</v>
      </c>
      <c r="AC9" s="63">
        <f t="shared" si="38"/>
        <v>281.62552584570153</v>
      </c>
      <c r="AD9" s="63">
        <f t="shared" si="39"/>
        <v>249.87085453377583</v>
      </c>
      <c r="AE9" s="63">
        <f t="shared" si="40"/>
        <v>2112.0176481942472</v>
      </c>
      <c r="AF9" s="63">
        <f t="shared" si="41"/>
        <v>31.754671311925705</v>
      </c>
      <c r="AG9" s="46">
        <v>0</v>
      </c>
      <c r="AH9" s="46">
        <f t="shared" si="8"/>
        <v>0</v>
      </c>
      <c r="AI9" s="46">
        <f t="shared" si="9"/>
        <v>0</v>
      </c>
      <c r="AJ9" s="2">
        <f t="shared" si="42"/>
        <v>0</v>
      </c>
      <c r="AK9" s="2">
        <f t="shared" si="16"/>
        <v>0</v>
      </c>
      <c r="AL9" s="64">
        <f t="shared" si="17"/>
        <v>1643.6077534554511</v>
      </c>
      <c r="AM9" s="64">
        <f t="shared" si="18"/>
        <v>60.480415078332307</v>
      </c>
      <c r="AN9" s="64">
        <f t="shared" si="19"/>
        <v>0.72204135967015304</v>
      </c>
      <c r="AO9" s="64">
        <f t="shared" si="20"/>
        <v>1</v>
      </c>
      <c r="AP9" s="2">
        <f t="shared" si="10"/>
        <v>60.480415078332307</v>
      </c>
      <c r="AQ9" s="2">
        <f t="shared" si="11"/>
        <v>0.72204135967015304</v>
      </c>
      <c r="AR9" s="3">
        <f t="shared" si="12"/>
        <v>3.2459412537597525</v>
      </c>
      <c r="AT9" s="28" t="s">
        <v>347</v>
      </c>
      <c r="AU9" s="28">
        <v>1</v>
      </c>
      <c r="AW9" s="24" t="s">
        <v>345</v>
      </c>
      <c r="AX9" s="28">
        <v>7</v>
      </c>
      <c r="AY9" s="28">
        <v>7</v>
      </c>
      <c r="AZ9" s="28">
        <v>7</v>
      </c>
    </row>
    <row r="10" spans="1:54">
      <c r="A10" s="62">
        <f t="shared" si="21"/>
        <v>933.93015526240163</v>
      </c>
      <c r="B10" s="62">
        <f t="shared" si="13"/>
        <v>606.51685114441102</v>
      </c>
      <c r="C10" s="62">
        <f t="shared" si="0"/>
        <v>0.96333196572202362</v>
      </c>
      <c r="D10" s="65">
        <f t="shared" si="1"/>
        <v>21.592434535584097</v>
      </c>
      <c r="E10" s="62">
        <f t="shared" si="22"/>
        <v>0.31753580199388376</v>
      </c>
      <c r="F10" s="2">
        <f t="shared" si="14"/>
        <v>21.592434535584097</v>
      </c>
      <c r="G10" s="2">
        <f t="shared" si="23"/>
        <v>0.31753580199388376</v>
      </c>
      <c r="H10" s="62">
        <f t="shared" si="2"/>
        <v>0.47743151234380155</v>
      </c>
      <c r="I10" s="62">
        <f t="shared" si="15"/>
        <v>1.5612763068909601</v>
      </c>
      <c r="J10" s="62">
        <f t="shared" si="3"/>
        <v>22.746869973344626</v>
      </c>
      <c r="K10" s="62">
        <f t="shared" si="4"/>
        <v>2.5021920630397099</v>
      </c>
      <c r="L10" s="62">
        <f t="shared" si="24"/>
        <v>20.244677910304915</v>
      </c>
      <c r="M10" s="62">
        <f t="shared" si="5"/>
        <v>102.78466585841554</v>
      </c>
      <c r="N10" s="62">
        <f t="shared" si="6"/>
        <v>82.541758481305436</v>
      </c>
      <c r="O10" s="62">
        <f t="shared" si="7"/>
        <v>1117.3562852208581</v>
      </c>
      <c r="P10" s="62">
        <f t="shared" si="25"/>
        <v>20.2429073771101</v>
      </c>
      <c r="Q10" s="63">
        <f t="shared" si="26"/>
        <v>2112.0176481942472</v>
      </c>
      <c r="R10" s="63">
        <f t="shared" si="27"/>
        <v>1541.8720919671496</v>
      </c>
      <c r="S10" s="63">
        <f t="shared" si="28"/>
        <v>0.87541509411755103</v>
      </c>
      <c r="T10" s="63">
        <f t="shared" si="29"/>
        <v>55.466763848156866</v>
      </c>
      <c r="U10" s="63">
        <f t="shared" si="30"/>
        <v>0.59641681557157922</v>
      </c>
      <c r="V10" s="2">
        <f t="shared" si="31"/>
        <v>55.466763848156866</v>
      </c>
      <c r="W10" s="2">
        <f t="shared" si="32"/>
        <v>0.59641681557157922</v>
      </c>
      <c r="X10" s="63">
        <f t="shared" si="33"/>
        <v>1.0796779332934903</v>
      </c>
      <c r="Y10" s="63">
        <f t="shared" si="34"/>
        <v>-6.1615076192667679</v>
      </c>
      <c r="Z10" s="63">
        <f t="shared" si="35"/>
        <v>84.303763808333315</v>
      </c>
      <c r="AA10" s="63">
        <f t="shared" si="36"/>
        <v>9.2735487973851232</v>
      </c>
      <c r="AB10" s="63">
        <f t="shared" si="37"/>
        <v>75.030215010948197</v>
      </c>
      <c r="AC10" s="63">
        <f t="shared" si="38"/>
        <v>368.98956743547421</v>
      </c>
      <c r="AD10" s="63">
        <f t="shared" si="39"/>
        <v>327.38949454935658</v>
      </c>
      <c r="AE10" s="63">
        <f t="shared" si="40"/>
        <v>2839.5498583039284</v>
      </c>
      <c r="AF10" s="63">
        <f t="shared" si="41"/>
        <v>41.60007288611763</v>
      </c>
      <c r="AG10" s="46">
        <v>0</v>
      </c>
      <c r="AH10" s="46">
        <f t="shared" si="8"/>
        <v>0</v>
      </c>
      <c r="AI10" s="46">
        <f t="shared" si="9"/>
        <v>0</v>
      </c>
      <c r="AJ10" s="2">
        <f t="shared" si="42"/>
        <v>0</v>
      </c>
      <c r="AK10" s="2">
        <f t="shared" si="16"/>
        <v>0</v>
      </c>
      <c r="AL10" s="64">
        <f t="shared" si="17"/>
        <v>2148.3889431115604</v>
      </c>
      <c r="AM10" s="64">
        <f t="shared" si="18"/>
        <v>77.059198383740963</v>
      </c>
      <c r="AN10" s="64">
        <f t="shared" si="19"/>
        <v>0.91395261756546298</v>
      </c>
      <c r="AO10" s="64">
        <f>IF($AQ10&lt;($AR10/2),1,1-((($AQ10-($AR10/2))/($AR10/2))^$AU$4))</f>
        <v>1</v>
      </c>
      <c r="AP10" s="2">
        <f t="shared" si="10"/>
        <v>77.059198383740963</v>
      </c>
      <c r="AQ10" s="2">
        <f t="shared" si="11"/>
        <v>0.91395261756546298</v>
      </c>
      <c r="AR10" s="3">
        <f t="shared" si="12"/>
        <v>3.2459412537597525</v>
      </c>
      <c r="AT10" s="28" t="s">
        <v>350</v>
      </c>
      <c r="AU10" s="28">
        <v>389</v>
      </c>
      <c r="AW10" s="24" t="s">
        <v>346</v>
      </c>
      <c r="AX10" s="28">
        <f t="shared" ref="AX10:AZ10" si="43">AX9/(AX7*AX8)*(1-AX16)</f>
        <v>195.99999999999997</v>
      </c>
      <c r="AY10" s="28">
        <f t="shared" si="43"/>
        <v>220.88888888888886</v>
      </c>
      <c r="AZ10" s="28">
        <f t="shared" si="43"/>
        <v>208.4444444444444</v>
      </c>
    </row>
    <row r="11" spans="1:54">
      <c r="A11" s="62">
        <f t="shared" si="21"/>
        <v>1117.3562852208581</v>
      </c>
      <c r="B11" s="62">
        <f t="shared" si="13"/>
        <v>725.52689422472474</v>
      </c>
      <c r="C11" s="62">
        <f t="shared" si="0"/>
        <v>0.95628982140525709</v>
      </c>
      <c r="D11" s="65">
        <f t="shared" si="1"/>
        <v>25.644394618557502</v>
      </c>
      <c r="E11" s="62">
        <f t="shared" si="22"/>
        <v>0.37712345027290445</v>
      </c>
      <c r="F11" s="2">
        <f t="shared" si="14"/>
        <v>25.644394618557502</v>
      </c>
      <c r="G11" s="2">
        <f t="shared" si="23"/>
        <v>0.37712345027290445</v>
      </c>
      <c r="H11" s="62">
        <f t="shared" si="2"/>
        <v>0.5712002102876339</v>
      </c>
      <c r="I11" s="62">
        <f t="shared" si="15"/>
        <v>1.8485272753076156</v>
      </c>
      <c r="J11" s="62">
        <f t="shared" si="3"/>
        <v>27.015467337513293</v>
      </c>
      <c r="K11" s="62">
        <f t="shared" si="4"/>
        <v>2.9717445974082257</v>
      </c>
      <c r="L11" s="62">
        <f t="shared" si="24"/>
        <v>24.043722740105068</v>
      </c>
      <c r="M11" s="62">
        <f t="shared" si="5"/>
        <v>122.06714097583296</v>
      </c>
      <c r="N11" s="62">
        <f t="shared" si="6"/>
        <v>98.025521020935301</v>
      </c>
      <c r="O11" s="62">
        <f t="shared" si="7"/>
        <v>1335.190776378492</v>
      </c>
      <c r="P11" s="62">
        <f t="shared" si="25"/>
        <v>24.041619954897655</v>
      </c>
      <c r="Q11" s="63">
        <f t="shared" si="26"/>
        <v>2839.5498583039284</v>
      </c>
      <c r="R11" s="63">
        <f t="shared" si="27"/>
        <v>2071.5471632439458</v>
      </c>
      <c r="S11" s="63">
        <f t="shared" si="28"/>
        <v>0.83619650384384092</v>
      </c>
      <c r="T11" s="63">
        <f t="shared" si="29"/>
        <v>71.232649920120565</v>
      </c>
      <c r="U11" s="63">
        <f t="shared" si="30"/>
        <v>0.76594247225936096</v>
      </c>
      <c r="V11" s="2">
        <f t="shared" si="31"/>
        <v>71.232649920120565</v>
      </c>
      <c r="W11" s="2">
        <f t="shared" si="32"/>
        <v>0.76594247225936096</v>
      </c>
      <c r="X11" s="63">
        <f t="shared" si="33"/>
        <v>1.4515973979282963</v>
      </c>
      <c r="Y11" s="63">
        <f t="shared" si="34"/>
        <v>-7.8737883530761827</v>
      </c>
      <c r="Z11" s="63">
        <f t="shared" si="35"/>
        <v>108.26628556782273</v>
      </c>
      <c r="AA11" s="63">
        <f t="shared" si="36"/>
        <v>11.909464500392703</v>
      </c>
      <c r="AB11" s="63">
        <f t="shared" si="37"/>
        <v>96.356821067430033</v>
      </c>
      <c r="AC11" s="63">
        <f t="shared" si="38"/>
        <v>473.91031698407397</v>
      </c>
      <c r="AD11" s="63">
        <f t="shared" si="39"/>
        <v>420.48582954398353</v>
      </c>
      <c r="AE11" s="63">
        <f t="shared" si="40"/>
        <v>3773.962812846114</v>
      </c>
      <c r="AF11" s="63">
        <f t="shared" si="41"/>
        <v>53.424487440090445</v>
      </c>
      <c r="AG11" s="46">
        <v>0</v>
      </c>
      <c r="AH11" s="46">
        <f t="shared" si="8"/>
        <v>0</v>
      </c>
      <c r="AI11" s="46">
        <f t="shared" si="9"/>
        <v>0</v>
      </c>
      <c r="AJ11" s="2">
        <f t="shared" si="42"/>
        <v>0</v>
      </c>
      <c r="AK11" s="2">
        <f t="shared" si="16"/>
        <v>0</v>
      </c>
      <c r="AL11" s="64">
        <f t="shared" si="17"/>
        <v>2797.0740574686706</v>
      </c>
      <c r="AM11" s="64">
        <f t="shared" si="18"/>
        <v>96.877044538678064</v>
      </c>
      <c r="AN11" s="64">
        <f t="shared" si="19"/>
        <v>1.1430659225322655</v>
      </c>
      <c r="AO11" s="64">
        <f t="shared" si="20"/>
        <v>1</v>
      </c>
      <c r="AP11" s="2">
        <f t="shared" si="10"/>
        <v>96.877044538678064</v>
      </c>
      <c r="AQ11" s="2">
        <f t="shared" si="11"/>
        <v>1.1430659225322655</v>
      </c>
      <c r="AR11" s="3">
        <f t="shared" si="12"/>
        <v>3.2459412537597525</v>
      </c>
      <c r="AT11" s="28" t="s">
        <v>28</v>
      </c>
      <c r="AU11" s="28">
        <v>1.00474215</v>
      </c>
      <c r="AW11" s="24" t="s">
        <v>8</v>
      </c>
      <c r="AX11" s="28">
        <v>1.7</v>
      </c>
      <c r="AY11" s="28">
        <v>2.2000000000000002</v>
      </c>
      <c r="AZ11" s="28">
        <v>1.3</v>
      </c>
    </row>
    <row r="12" spans="1:54">
      <c r="A12" s="62">
        <f t="shared" si="21"/>
        <v>1335.190776378492</v>
      </c>
      <c r="B12" s="62">
        <f t="shared" si="13"/>
        <v>866.81458373700752</v>
      </c>
      <c r="C12" s="62">
        <f t="shared" si="0"/>
        <v>0.94799350211930211</v>
      </c>
      <c r="D12" s="65">
        <f t="shared" si="1"/>
        <v>30.378052322314478</v>
      </c>
      <c r="E12" s="62">
        <f t="shared" si="22"/>
        <v>0.44673606356344819</v>
      </c>
      <c r="F12" s="2">
        <f t="shared" si="14"/>
        <v>30.378052322314478</v>
      </c>
      <c r="G12" s="2">
        <f t="shared" si="23"/>
        <v>0.44673606356344819</v>
      </c>
      <c r="H12" s="62">
        <f t="shared" si="2"/>
        <v>0.68255869889410892</v>
      </c>
      <c r="I12" s="62">
        <f t="shared" si="15"/>
        <v>2.1807920231268341</v>
      </c>
      <c r="J12" s="62">
        <f t="shared" si="3"/>
        <v>32.002209157118322</v>
      </c>
      <c r="K12" s="62">
        <f t="shared" si="4"/>
        <v>3.5202941699896702</v>
      </c>
      <c r="L12" s="62">
        <f t="shared" si="24"/>
        <v>28.481914987128654</v>
      </c>
      <c r="M12" s="62">
        <f t="shared" si="5"/>
        <v>144.59036695877009</v>
      </c>
      <c r="N12" s="62">
        <f t="shared" si="6"/>
        <v>116.11094290660026</v>
      </c>
      <c r="O12" s="62">
        <f t="shared" si="7"/>
        <v>1593.2150939487149</v>
      </c>
      <c r="P12" s="62">
        <f t="shared" si="25"/>
        <v>28.479424052169833</v>
      </c>
      <c r="Q12" s="63">
        <f t="shared" si="26"/>
        <v>3773.962812846114</v>
      </c>
      <c r="R12" s="63">
        <f t="shared" si="27"/>
        <v>2750.7462470408614</v>
      </c>
      <c r="S12" s="63">
        <f t="shared" si="28"/>
        <v>0.78839215269513407</v>
      </c>
      <c r="T12" s="63">
        <f t="shared" si="29"/>
        <v>89.260879986333933</v>
      </c>
      <c r="U12" s="63">
        <f t="shared" si="30"/>
        <v>0.95979440845520358</v>
      </c>
      <c r="V12" s="2">
        <f t="shared" si="31"/>
        <v>89.260879986333933</v>
      </c>
      <c r="W12" s="2">
        <f t="shared" si="32"/>
        <v>0.95979440845520358</v>
      </c>
      <c r="X12" s="63">
        <f t="shared" si="33"/>
        <v>1.9292757205812059</v>
      </c>
      <c r="Y12" s="63">
        <f t="shared" si="34"/>
        <v>-9.8942172007342961</v>
      </c>
      <c r="Z12" s="63">
        <f t="shared" si="35"/>
        <v>135.66733700729387</v>
      </c>
      <c r="AA12" s="63">
        <f t="shared" si="36"/>
        <v>14.923623965458932</v>
      </c>
      <c r="AB12" s="63">
        <f t="shared" si="37"/>
        <v>120.74371304183494</v>
      </c>
      <c r="AC12" s="63">
        <f t="shared" si="38"/>
        <v>593.82434800844044</v>
      </c>
      <c r="AD12" s="63">
        <f t="shared" si="39"/>
        <v>526.87868801869001</v>
      </c>
      <c r="AE12" s="63">
        <f t="shared" si="40"/>
        <v>4944.8043417765366</v>
      </c>
      <c r="AF12" s="63">
        <f t="shared" si="41"/>
        <v>66.945659989750425</v>
      </c>
      <c r="AG12" s="46">
        <v>0</v>
      </c>
      <c r="AH12" s="46">
        <f t="shared" si="8"/>
        <v>0</v>
      </c>
      <c r="AI12" s="46">
        <f t="shared" si="9"/>
        <v>0</v>
      </c>
      <c r="AJ12" s="2">
        <f t="shared" si="42"/>
        <v>0</v>
      </c>
      <c r="AK12" s="2">
        <f t="shared" si="16"/>
        <v>0</v>
      </c>
      <c r="AL12" s="64">
        <f t="shared" si="17"/>
        <v>3617.5608307778689</v>
      </c>
      <c r="AM12" s="64">
        <f t="shared" si="18"/>
        <v>119.63893230864841</v>
      </c>
      <c r="AN12" s="64">
        <f t="shared" si="19"/>
        <v>1.4065304720186518</v>
      </c>
      <c r="AO12" s="64">
        <f t="shared" si="20"/>
        <v>1</v>
      </c>
      <c r="AP12" s="2">
        <f t="shared" si="10"/>
        <v>119.63893230864841</v>
      </c>
      <c r="AQ12" s="2">
        <f t="shared" si="11"/>
        <v>1.4065304720186518</v>
      </c>
      <c r="AR12" s="3">
        <f t="shared" si="12"/>
        <v>3.2459412537597525</v>
      </c>
      <c r="AT12" s="28" t="s">
        <v>29</v>
      </c>
      <c r="AU12" s="28">
        <v>0.05</v>
      </c>
      <c r="AW12" s="24" t="s">
        <v>6</v>
      </c>
      <c r="AX12" s="28">
        <v>-46</v>
      </c>
      <c r="AY12" s="28">
        <v>-46</v>
      </c>
      <c r="AZ12" s="28">
        <v>5.3</v>
      </c>
    </row>
    <row r="13" spans="1:54">
      <c r="A13" s="62">
        <f t="shared" si="21"/>
        <v>1593.2150939487149</v>
      </c>
      <c r="B13" s="62">
        <f t="shared" si="13"/>
        <v>1034.1035615100047</v>
      </c>
      <c r="C13" s="62">
        <f t="shared" si="0"/>
        <v>0.93825960511056361</v>
      </c>
      <c r="D13" s="65">
        <f t="shared" si="1"/>
        <v>35.876384757708259</v>
      </c>
      <c r="E13" s="62">
        <f t="shared" si="22"/>
        <v>0.52759389349570973</v>
      </c>
      <c r="F13" s="2">
        <f t="shared" si="14"/>
        <v>35.876384757708259</v>
      </c>
      <c r="G13" s="2">
        <f t="shared" si="23"/>
        <v>0.52759389349570973</v>
      </c>
      <c r="H13" s="62">
        <f t="shared" si="2"/>
        <v>0.81446250290439604</v>
      </c>
      <c r="I13" s="62">
        <f t="shared" si="15"/>
        <v>2.5615008763483615</v>
      </c>
      <c r="J13" s="62">
        <f t="shared" si="3"/>
        <v>37.794508898586187</v>
      </c>
      <c r="K13" s="62">
        <f t="shared" si="4"/>
        <v>4.1574564018409825</v>
      </c>
      <c r="L13" s="62">
        <f t="shared" si="24"/>
        <v>33.637052496745206</v>
      </c>
      <c r="M13" s="62">
        <f t="shared" si="5"/>
        <v>170.7467633600744</v>
      </c>
      <c r="N13" s="62">
        <f t="shared" si="6"/>
        <v>137.11265264972292</v>
      </c>
      <c r="O13" s="62">
        <f t="shared" si="7"/>
        <v>1897.9098776147657</v>
      </c>
      <c r="P13" s="62">
        <f t="shared" si="25"/>
        <v>33.634110710351479</v>
      </c>
      <c r="Q13" s="63">
        <f t="shared" si="26"/>
        <v>4944.8043417765366</v>
      </c>
      <c r="R13" s="63">
        <f t="shared" si="27"/>
        <v>3600.0719626476744</v>
      </c>
      <c r="S13" s="63">
        <f t="shared" si="28"/>
        <v>0.73233100578668919</v>
      </c>
      <c r="T13" s="63">
        <f t="shared" si="29"/>
        <v>108.63700611094796</v>
      </c>
      <c r="U13" s="63">
        <f t="shared" si="30"/>
        <v>1.1681398506553544</v>
      </c>
      <c r="V13" s="2">
        <f t="shared" si="31"/>
        <v>108.63700611094796</v>
      </c>
      <c r="W13" s="2">
        <f t="shared" si="32"/>
        <v>1.1681398506553544</v>
      </c>
      <c r="X13" s="63">
        <f t="shared" si="33"/>
        <v>2.5278179549468174</v>
      </c>
      <c r="Y13" s="63">
        <f t="shared" si="34"/>
        <v>-12.274808219537967</v>
      </c>
      <c r="Z13" s="63">
        <f t="shared" si="35"/>
        <v>165.11705152104619</v>
      </c>
      <c r="AA13" s="63">
        <f t="shared" si="36"/>
        <v>18.163139643943349</v>
      </c>
      <c r="AB13" s="63">
        <f t="shared" si="37"/>
        <v>146.95391187710285</v>
      </c>
      <c r="AC13" s="63">
        <f t="shared" si="38"/>
        <v>722.49475116597637</v>
      </c>
      <c r="AD13" s="63">
        <f t="shared" si="39"/>
        <v>641.01699658276539</v>
      </c>
      <c r="AE13" s="63">
        <f t="shared" si="40"/>
        <v>6369.2865564049043</v>
      </c>
      <c r="AF13" s="63">
        <f t="shared" si="41"/>
        <v>81.477754583210981</v>
      </c>
      <c r="AG13" s="46">
        <v>0</v>
      </c>
      <c r="AH13" s="46">
        <f t="shared" si="8"/>
        <v>0</v>
      </c>
      <c r="AI13" s="46">
        <f t="shared" si="9"/>
        <v>0</v>
      </c>
      <c r="AJ13" s="2">
        <f t="shared" si="42"/>
        <v>0</v>
      </c>
      <c r="AK13" s="2">
        <f t="shared" si="16"/>
        <v>0</v>
      </c>
      <c r="AL13" s="64">
        <f t="shared" si="17"/>
        <v>4634.1755241576793</v>
      </c>
      <c r="AM13" s="64">
        <f t="shared" si="18"/>
        <v>144.51339086865622</v>
      </c>
      <c r="AN13" s="64">
        <f t="shared" si="19"/>
        <v>1.695733744151064</v>
      </c>
      <c r="AO13" s="64">
        <f t="shared" si="20"/>
        <v>0.95516670723051023</v>
      </c>
      <c r="AP13" s="2">
        <f t="shared" si="10"/>
        <v>144.51339086865622</v>
      </c>
      <c r="AQ13" s="2">
        <f t="shared" si="11"/>
        <v>1.695733744151064</v>
      </c>
      <c r="AR13" s="3">
        <f t="shared" si="12"/>
        <v>3.2459412537597525</v>
      </c>
      <c r="AT13" s="28" t="s">
        <v>30</v>
      </c>
      <c r="AU13" s="28">
        <v>2</v>
      </c>
      <c r="AW13" s="24" t="s">
        <v>7</v>
      </c>
      <c r="AX13" s="28">
        <v>71.900000000000006</v>
      </c>
      <c r="AY13" s="28">
        <v>71.900000000000006</v>
      </c>
      <c r="AZ13" s="28">
        <v>21.5</v>
      </c>
      <c r="BB13" s="24" t="s">
        <v>340</v>
      </c>
    </row>
    <row r="14" spans="1:54">
      <c r="A14" s="62">
        <f t="shared" si="21"/>
        <v>1897.9098776147657</v>
      </c>
      <c r="B14" s="62">
        <f t="shared" si="13"/>
        <v>1231.5596076550107</v>
      </c>
      <c r="C14" s="62">
        <f t="shared" si="0"/>
        <v>0.92689369617060557</v>
      </c>
      <c r="D14" s="65">
        <f t="shared" si="1"/>
        <v>42.219856835065244</v>
      </c>
      <c r="E14" s="62">
        <f t="shared" si="22"/>
        <v>0.6208802475744889</v>
      </c>
      <c r="F14" s="2">
        <f t="shared" si="14"/>
        <v>41.935458094246016</v>
      </c>
      <c r="G14" s="2">
        <f t="shared" si="23"/>
        <v>0.61669791315067668</v>
      </c>
      <c r="H14" s="62">
        <f t="shared" si="2"/>
        <v>0.97022456985262295</v>
      </c>
      <c r="I14" s="62">
        <f t="shared" si="15"/>
        <v>3.1204597297092924</v>
      </c>
      <c r="J14" s="62">
        <f t="shared" si="3"/>
        <v>44.177529447660902</v>
      </c>
      <c r="K14" s="62">
        <f t="shared" si="4"/>
        <v>4.8595988669287058</v>
      </c>
      <c r="L14" s="62">
        <f t="shared" si="24"/>
        <v>39.317930580732195</v>
      </c>
      <c r="M14" s="62">
        <f t="shared" si="5"/>
        <v>199.71011263337027</v>
      </c>
      <c r="N14" s="62">
        <f t="shared" si="6"/>
        <v>160.12899685049661</v>
      </c>
      <c r="O14" s="62">
        <f t="shared" si="7"/>
        <v>2253.7520928380914</v>
      </c>
      <c r="P14" s="62">
        <f t="shared" si="25"/>
        <v>39.581115782873667</v>
      </c>
      <c r="Q14" s="63">
        <f t="shared" si="26"/>
        <v>6369.2865564049043</v>
      </c>
      <c r="R14" s="63">
        <f t="shared" si="27"/>
        <v>4630.8304611584299</v>
      </c>
      <c r="S14" s="63">
        <f t="shared" si="28"/>
        <v>0.66947259176489937</v>
      </c>
      <c r="T14" s="63">
        <f t="shared" si="29"/>
        <v>127.92188335829167</v>
      </c>
      <c r="U14" s="63">
        <f t="shared" si="30"/>
        <v>1.3755041221321684</v>
      </c>
      <c r="V14" s="2">
        <f t="shared" si="31"/>
        <v>127.05727881063783</v>
      </c>
      <c r="W14" s="2">
        <f t="shared" si="32"/>
        <v>1.3662072990391163</v>
      </c>
      <c r="X14" s="63">
        <f t="shared" si="33"/>
        <v>3.256023050589957</v>
      </c>
      <c r="Y14" s="63">
        <f t="shared" si="34"/>
        <v>-14.77029748865553</v>
      </c>
      <c r="Z14" s="63">
        <f t="shared" si="35"/>
        <v>193.11396735357764</v>
      </c>
      <c r="AA14" s="63">
        <f t="shared" si="36"/>
        <v>21.24284514486904</v>
      </c>
      <c r="AB14" s="63">
        <f t="shared" si="37"/>
        <v>171.87112220870858</v>
      </c>
      <c r="AC14" s="63">
        <f t="shared" si="38"/>
        <v>844.58531355488742</v>
      </c>
      <c r="AD14" s="63">
        <f t="shared" si="39"/>
        <v>748.6439010361687</v>
      </c>
      <c r="AE14" s="63">
        <f t="shared" si="40"/>
        <v>8032.9396698186119</v>
      </c>
      <c r="AF14" s="63">
        <f t="shared" si="41"/>
        <v>95.941412518718721</v>
      </c>
      <c r="AG14" s="46">
        <v>0</v>
      </c>
      <c r="AH14" s="46">
        <f t="shared" si="8"/>
        <v>0</v>
      </c>
      <c r="AI14" s="46">
        <f t="shared" si="9"/>
        <v>0</v>
      </c>
      <c r="AJ14" s="2">
        <f t="shared" si="42"/>
        <v>0</v>
      </c>
      <c r="AK14" s="2">
        <f t="shared" si="16"/>
        <v>0</v>
      </c>
      <c r="AL14" s="64">
        <f t="shared" si="17"/>
        <v>5862.3900688134408</v>
      </c>
      <c r="AM14" s="64">
        <f t="shared" si="18"/>
        <v>170.1417401933569</v>
      </c>
      <c r="AN14" s="64">
        <f t="shared" si="19"/>
        <v>1.9963843697066572</v>
      </c>
      <c r="AO14" s="64">
        <f t="shared" si="20"/>
        <v>0.77822483084497796</v>
      </c>
      <c r="AP14" s="2">
        <f t="shared" si="10"/>
        <v>168.99273690488383</v>
      </c>
      <c r="AQ14" s="2">
        <f t="shared" si="11"/>
        <v>1.982905212189793</v>
      </c>
      <c r="AR14" s="3">
        <f t="shared" si="12"/>
        <v>3.2459412537597525</v>
      </c>
      <c r="AT14" s="28" t="s">
        <v>145</v>
      </c>
      <c r="AU14" s="28">
        <v>2</v>
      </c>
      <c r="AW14" s="24" t="s">
        <v>351</v>
      </c>
      <c r="AX14" s="28">
        <v>0.09</v>
      </c>
      <c r="AY14" s="28">
        <v>0.11</v>
      </c>
      <c r="AZ14" s="28">
        <v>0.1</v>
      </c>
    </row>
    <row r="15" spans="1:54">
      <c r="A15" s="62">
        <f t="shared" si="21"/>
        <v>2253.7520928380914</v>
      </c>
      <c r="B15" s="62">
        <f t="shared" si="13"/>
        <v>1461.7992765822437</v>
      </c>
      <c r="C15" s="62">
        <f t="shared" si="0"/>
        <v>0.91379402937772791</v>
      </c>
      <c r="D15" s="65">
        <f t="shared" si="1"/>
        <v>49.427164947192161</v>
      </c>
      <c r="E15" s="62">
        <f t="shared" si="22"/>
        <v>0.72687007275282589</v>
      </c>
      <c r="F15" s="2">
        <f t="shared" si="14"/>
        <v>47.765690392620193</v>
      </c>
      <c r="G15" s="2">
        <f t="shared" si="23"/>
        <v>0.7024366234208852</v>
      </c>
      <c r="H15" s="62">
        <f t="shared" si="2"/>
        <v>1.1521335552436209</v>
      </c>
      <c r="I15" s="62">
        <f t="shared" si="15"/>
        <v>4.2609524432711297</v>
      </c>
      <c r="J15" s="62">
        <f t="shared" si="3"/>
        <v>50.319474015650954</v>
      </c>
      <c r="K15" s="62">
        <f t="shared" si="4"/>
        <v>5.5352225886831086</v>
      </c>
      <c r="L15" s="62">
        <f t="shared" si="24"/>
        <v>44.784251426967842</v>
      </c>
      <c r="M15" s="62">
        <f t="shared" si="5"/>
        <v>228.18220957811033</v>
      </c>
      <c r="N15" s="62">
        <f t="shared" si="6"/>
        <v>181.84424244011768</v>
      </c>
      <c r="O15" s="62">
        <f t="shared" si="7"/>
        <v>2657.8504093716861</v>
      </c>
      <c r="P15" s="62">
        <f t="shared" si="25"/>
        <v>46.337967137992649</v>
      </c>
      <c r="Q15" s="63">
        <f t="shared" si="26"/>
        <v>8032.9396698186119</v>
      </c>
      <c r="R15" s="63">
        <f t="shared" si="27"/>
        <v>5830.444444381852</v>
      </c>
      <c r="S15" s="63">
        <f t="shared" si="28"/>
        <v>0.60285703543332692</v>
      </c>
      <c r="T15" s="63">
        <f t="shared" si="29"/>
        <v>145.28142585484849</v>
      </c>
      <c r="U15" s="63">
        <f t="shared" si="30"/>
        <v>1.5621658694069731</v>
      </c>
      <c r="V15" s="2">
        <f t="shared" si="31"/>
        <v>141.23976256141268</v>
      </c>
      <c r="W15" s="2">
        <f t="shared" si="32"/>
        <v>1.5187071243162653</v>
      </c>
      <c r="X15" s="63">
        <f t="shared" si="33"/>
        <v>4.1064939530199318</v>
      </c>
      <c r="Y15" s="63">
        <f t="shared" si="34"/>
        <v>-16.894408070156167</v>
      </c>
      <c r="Z15" s="63">
        <f t="shared" si="35"/>
        <v>214.66988079417362</v>
      </c>
      <c r="AA15" s="63">
        <f t="shared" si="36"/>
        <v>23.614030085295354</v>
      </c>
      <c r="AB15" s="63">
        <f t="shared" si="37"/>
        <v>191.05585070887827</v>
      </c>
      <c r="AC15" s="63">
        <f t="shared" si="38"/>
        <v>938.38484547423525</v>
      </c>
      <c r="AD15" s="63">
        <f t="shared" si="39"/>
        <v>829.42377608309891</v>
      </c>
      <c r="AE15" s="63">
        <f t="shared" si="40"/>
        <v>9876.1036166699432</v>
      </c>
      <c r="AF15" s="63">
        <f t="shared" si="41"/>
        <v>108.96106939113633</v>
      </c>
      <c r="AG15" s="46">
        <v>0</v>
      </c>
      <c r="AH15" s="46">
        <f t="shared" si="8"/>
        <v>0</v>
      </c>
      <c r="AI15" s="46">
        <f t="shared" si="9"/>
        <v>0</v>
      </c>
      <c r="AJ15" s="2">
        <f t="shared" si="42"/>
        <v>0</v>
      </c>
      <c r="AK15" s="2">
        <f t="shared" si="16"/>
        <v>0</v>
      </c>
      <c r="AL15" s="64">
        <f t="shared" si="17"/>
        <v>7292.2437209640957</v>
      </c>
      <c r="AM15" s="64">
        <f t="shared" si="18"/>
        <v>194.70859080204065</v>
      </c>
      <c r="AN15" s="64">
        <f t="shared" si="19"/>
        <v>2.2890359421597992</v>
      </c>
      <c r="AO15" s="64">
        <f t="shared" si="20"/>
        <v>0.6314331812601881</v>
      </c>
      <c r="AP15" s="2">
        <f t="shared" si="10"/>
        <v>189.00545295403288</v>
      </c>
      <c r="AQ15" s="2">
        <f t="shared" si="11"/>
        <v>2.2211437477371505</v>
      </c>
      <c r="AR15" s="3">
        <f t="shared" si="12"/>
        <v>3.2459412537597525</v>
      </c>
      <c r="AT15" s="28" t="s">
        <v>19</v>
      </c>
      <c r="AU15" s="28">
        <v>13.8315153</v>
      </c>
      <c r="AW15" s="24" t="s">
        <v>113</v>
      </c>
      <c r="AX15" s="28">
        <v>0.75</v>
      </c>
      <c r="AY15" s="28">
        <v>0.75</v>
      </c>
      <c r="AZ15" s="28">
        <v>0.75</v>
      </c>
    </row>
    <row r="16" spans="1:54">
      <c r="A16" s="62">
        <f t="shared" si="21"/>
        <v>2657.8504093716861</v>
      </c>
      <c r="B16" s="62">
        <f t="shared" si="13"/>
        <v>1722.2114482967825</v>
      </c>
      <c r="C16" s="62">
        <f t="shared" si="0"/>
        <v>0.89914225834828854</v>
      </c>
      <c r="D16" s="65">
        <f t="shared" si="1"/>
        <v>57.354854866425143</v>
      </c>
      <c r="E16" s="62">
        <f t="shared" si="22"/>
        <v>0.84345374803566386</v>
      </c>
      <c r="F16" s="2">
        <f t="shared" si="14"/>
        <v>53.820607021942031</v>
      </c>
      <c r="G16" s="2">
        <f t="shared" si="23"/>
        <v>0.79147951502855929</v>
      </c>
      <c r="H16" s="62">
        <f t="shared" si="2"/>
        <v>1.3587113911889781</v>
      </c>
      <c r="I16" s="62">
        <f t="shared" si="15"/>
        <v>5.8141572838509958</v>
      </c>
      <c r="J16" s="62">
        <f t="shared" si="3"/>
        <v>56.698115619942854</v>
      </c>
      <c r="K16" s="62">
        <f t="shared" si="4"/>
        <v>6.2368833628439981</v>
      </c>
      <c r="L16" s="62">
        <f t="shared" si="24"/>
        <v>50.461232257098857</v>
      </c>
      <c r="M16" s="62">
        <f t="shared" si="5"/>
        <v>258.12031856934527</v>
      </c>
      <c r="N16" s="62">
        <f t="shared" si="6"/>
        <v>204.35014213207171</v>
      </c>
      <c r="O16" s="62">
        <f t="shared" si="7"/>
        <v>3111.9618363318455</v>
      </c>
      <c r="P16" s="62">
        <f t="shared" si="25"/>
        <v>53.770176437273562</v>
      </c>
      <c r="Q16" s="63">
        <f t="shared" si="26"/>
        <v>9876.1036166699432</v>
      </c>
      <c r="R16" s="63">
        <f t="shared" si="27"/>
        <v>7153.2733303970726</v>
      </c>
      <c r="S16" s="63">
        <f t="shared" si="28"/>
        <v>0.53676519795488864</v>
      </c>
      <c r="T16" s="63">
        <f t="shared" si="29"/>
        <v>159.03446138474501</v>
      </c>
      <c r="U16" s="63">
        <f t="shared" si="30"/>
        <v>1.7100479718789787</v>
      </c>
      <c r="V16" s="2">
        <f t="shared" si="31"/>
        <v>152.47592584899633</v>
      </c>
      <c r="W16" s="2">
        <f t="shared" si="32"/>
        <v>1.6395260843978099</v>
      </c>
      <c r="X16" s="63">
        <f t="shared" si="33"/>
        <v>5.0487320269105389</v>
      </c>
      <c r="Y16" s="63">
        <f t="shared" si="34"/>
        <v>-20.237881563838485</v>
      </c>
      <c r="Z16" s="63">
        <f t="shared" si="35"/>
        <v>231.74769082292283</v>
      </c>
      <c r="AA16" s="63">
        <f t="shared" si="36"/>
        <v>25.492616491166167</v>
      </c>
      <c r="AB16" s="63">
        <f t="shared" si="37"/>
        <v>206.25507433175667</v>
      </c>
      <c r="AC16" s="63">
        <f t="shared" si="38"/>
        <v>1011.0374900949448</v>
      </c>
      <c r="AD16" s="63">
        <f t="shared" si="39"/>
        <v>891.7616440563861</v>
      </c>
      <c r="AE16" s="63">
        <f t="shared" si="40"/>
        <v>11857.796159017467</v>
      </c>
      <c r="AF16" s="63">
        <f t="shared" si="41"/>
        <v>119.27584603855871</v>
      </c>
      <c r="AG16" s="46">
        <v>0</v>
      </c>
      <c r="AH16" s="46">
        <f t="shared" si="8"/>
        <v>0</v>
      </c>
      <c r="AI16" s="46">
        <f t="shared" si="9"/>
        <v>0</v>
      </c>
      <c r="AJ16" s="2">
        <f t="shared" si="42"/>
        <v>0</v>
      </c>
      <c r="AK16" s="2">
        <f t="shared" si="16"/>
        <v>0</v>
      </c>
      <c r="AL16" s="64">
        <f t="shared" si="17"/>
        <v>8875.4847786938553</v>
      </c>
      <c r="AM16" s="64">
        <f t="shared" si="18"/>
        <v>216.38931625117016</v>
      </c>
      <c r="AN16" s="64">
        <f t="shared" si="19"/>
        <v>2.5535017199146424</v>
      </c>
      <c r="AO16" s="64">
        <f t="shared" si="20"/>
        <v>0.50212594167528368</v>
      </c>
      <c r="AP16" s="2">
        <f t="shared" si="10"/>
        <v>206.29653287093836</v>
      </c>
      <c r="AQ16" s="2">
        <f t="shared" si="11"/>
        <v>2.4310055994263693</v>
      </c>
      <c r="AR16" s="3">
        <f t="shared" si="12"/>
        <v>3.2459412537597525</v>
      </c>
      <c r="AT16" s="28" t="s">
        <v>359</v>
      </c>
      <c r="AU16" s="28">
        <v>31</v>
      </c>
      <c r="AW16" s="24" t="s">
        <v>357</v>
      </c>
      <c r="AX16" s="28">
        <v>0.37</v>
      </c>
      <c r="AY16" s="28">
        <v>0.28999999999999998</v>
      </c>
      <c r="AZ16" s="28">
        <v>0.33</v>
      </c>
    </row>
    <row r="17" spans="1:52">
      <c r="A17" s="62">
        <f t="shared" si="21"/>
        <v>3111.9618363318455</v>
      </c>
      <c r="B17" s="62">
        <f t="shared" si="13"/>
        <v>2014.3565639110047</v>
      </c>
      <c r="C17" s="62">
        <f t="shared" si="0"/>
        <v>0.88295726818270259</v>
      </c>
      <c r="D17" s="65">
        <f t="shared" si="1"/>
        <v>65.945503720713432</v>
      </c>
      <c r="E17" s="62">
        <f t="shared" si="22"/>
        <v>0.96978681942225631</v>
      </c>
      <c r="F17" s="2">
        <f t="shared" si="14"/>
        <v>59.908832194528159</v>
      </c>
      <c r="G17" s="2">
        <f t="shared" si="23"/>
        <v>0.88101223815482588</v>
      </c>
      <c r="H17" s="62">
        <f t="shared" si="2"/>
        <v>1.5908562728212405</v>
      </c>
      <c r="I17" s="62">
        <f t="shared" si="15"/>
        <v>7.7209266758810031</v>
      </c>
      <c r="J17" s="62">
        <f t="shared" si="3"/>
        <v>63.111846602479055</v>
      </c>
      <c r="K17" s="62">
        <f t="shared" si="4"/>
        <v>6.9424040247099983</v>
      </c>
      <c r="L17" s="62">
        <f t="shared" si="24"/>
        <v>56.169442577769054</v>
      </c>
      <c r="M17" s="62">
        <f t="shared" si="5"/>
        <v>288.56813956472627</v>
      </c>
      <c r="N17" s="62">
        <f t="shared" si="6"/>
        <v>226.74422982655742</v>
      </c>
      <c r="O17" s="62">
        <f t="shared" si="7"/>
        <v>3615.8379026130842</v>
      </c>
      <c r="P17" s="62">
        <f t="shared" si="25"/>
        <v>61.823909738168851</v>
      </c>
      <c r="Q17" s="63">
        <f t="shared" si="26"/>
        <v>11857.796159017467</v>
      </c>
      <c r="R17" s="63">
        <f t="shared" si="27"/>
        <v>8571.5111987513974</v>
      </c>
      <c r="S17" s="63">
        <f t="shared" si="28"/>
        <v>0.47376628049354047</v>
      </c>
      <c r="T17" s="63">
        <f t="shared" si="29"/>
        <v>168.53471943324888</v>
      </c>
      <c r="U17" s="63">
        <f t="shared" si="30"/>
        <v>1.8122012842284827</v>
      </c>
      <c r="V17" s="2">
        <f t="shared" si="31"/>
        <v>160.53946269965815</v>
      </c>
      <c r="W17" s="2">
        <f t="shared" si="32"/>
        <v>1.7262307817167541</v>
      </c>
      <c r="X17" s="63">
        <f t="shared" si="33"/>
        <v>6.061786870639815</v>
      </c>
      <c r="Y17" s="63">
        <f t="shared" si="34"/>
        <v>-25.708354623965235</v>
      </c>
      <c r="Z17" s="63">
        <f t="shared" si="35"/>
        <v>244.00343568626002</v>
      </c>
      <c r="AA17" s="63">
        <f t="shared" si="36"/>
        <v>26.840768019689321</v>
      </c>
      <c r="AB17" s="63">
        <f t="shared" si="37"/>
        <v>217.16266766657071</v>
      </c>
      <c r="AC17" s="63">
        <f t="shared" si="38"/>
        <v>1060.1049837088883</v>
      </c>
      <c r="AD17" s="63">
        <f t="shared" si="39"/>
        <v>933.70394413395161</v>
      </c>
      <c r="AE17" s="63">
        <f t="shared" si="40"/>
        <v>13932.693812648471</v>
      </c>
      <c r="AF17" s="63">
        <f t="shared" si="41"/>
        <v>126.4010395749367</v>
      </c>
      <c r="AG17" s="46">
        <v>0</v>
      </c>
      <c r="AH17" s="46">
        <f t="shared" si="8"/>
        <v>0</v>
      </c>
      <c r="AI17" s="46">
        <f t="shared" si="9"/>
        <v>0</v>
      </c>
      <c r="AJ17" s="2">
        <f t="shared" si="42"/>
        <v>0</v>
      </c>
      <c r="AK17" s="2">
        <f t="shared" si="16"/>
        <v>0</v>
      </c>
      <c r="AL17" s="64">
        <f t="shared" si="17"/>
        <v>10585.867762662401</v>
      </c>
      <c r="AM17" s="64">
        <f t="shared" si="18"/>
        <v>234.4802231539623</v>
      </c>
      <c r="AN17" s="64">
        <f t="shared" si="19"/>
        <v>2.7819881036507388</v>
      </c>
      <c r="AO17" s="64">
        <f t="shared" si="20"/>
        <v>0.39353653313865289</v>
      </c>
      <c r="AP17" s="2">
        <f t="shared" si="10"/>
        <v>220.44829489418629</v>
      </c>
      <c r="AQ17" s="2">
        <f t="shared" si="11"/>
        <v>2.6072430198715799</v>
      </c>
      <c r="AR17" s="3">
        <f t="shared" si="12"/>
        <v>3.2459412537597525</v>
      </c>
      <c r="AT17" s="28" t="s">
        <v>11</v>
      </c>
      <c r="AU17" s="28">
        <v>51694.13</v>
      </c>
      <c r="AW17" s="24" t="s">
        <v>2</v>
      </c>
      <c r="AX17" s="28">
        <v>22.15</v>
      </c>
      <c r="AY17" s="28">
        <v>22.15</v>
      </c>
      <c r="AZ17" s="28">
        <v>22.15</v>
      </c>
    </row>
    <row r="18" spans="1:52">
      <c r="A18" s="62">
        <f t="shared" si="21"/>
        <v>3615.8379026130842</v>
      </c>
      <c r="B18" s="62">
        <f t="shared" si="13"/>
        <v>2337.8867108407712</v>
      </c>
      <c r="C18" s="62">
        <f t="shared" si="0"/>
        <v>0.86533936794825661</v>
      </c>
      <c r="D18" s="65">
        <f t="shared" si="1"/>
        <v>75.094245246013344</v>
      </c>
      <c r="E18" s="62">
        <f t="shared" si="22"/>
        <v>1.1043271359707845</v>
      </c>
      <c r="F18" s="2">
        <f t="shared" si="14"/>
        <v>65.88484700108809</v>
      </c>
      <c r="G18" s="2">
        <f t="shared" si="23"/>
        <v>0.96889480883953072</v>
      </c>
      <c r="H18" s="62">
        <f t="shared" si="2"/>
        <v>1.8484411800040552</v>
      </c>
      <c r="I18" s="62">
        <f t="shared" si="15"/>
        <v>9.9944344276305443</v>
      </c>
      <c r="J18" s="62">
        <f t="shared" si="3"/>
        <v>69.407367912944551</v>
      </c>
      <c r="K18" s="62">
        <f t="shared" si="4"/>
        <v>7.6349214336635578</v>
      </c>
      <c r="L18" s="62">
        <f t="shared" si="24"/>
        <v>61.772446479280994</v>
      </c>
      <c r="M18" s="62">
        <f t="shared" si="5"/>
        <v>318.85666682403553</v>
      </c>
      <c r="N18" s="62">
        <f t="shared" si="6"/>
        <v>248.455811905898</v>
      </c>
      <c r="O18" s="62">
        <f t="shared" si="7"/>
        <v>4167.9619290706351</v>
      </c>
      <c r="P18" s="62">
        <f t="shared" si="25"/>
        <v>70.400854918137526</v>
      </c>
      <c r="Q18" s="63">
        <f t="shared" si="26"/>
        <v>13932.693812648471</v>
      </c>
      <c r="R18" s="63">
        <f t="shared" si="27"/>
        <v>10052.752069680073</v>
      </c>
      <c r="S18" s="63">
        <f t="shared" si="28"/>
        <v>0.41571318726351125</v>
      </c>
      <c r="T18" s="63">
        <f t="shared" si="29"/>
        <v>173.76013656068093</v>
      </c>
      <c r="U18" s="63">
        <f t="shared" si="30"/>
        <v>1.8683885651686123</v>
      </c>
      <c r="V18" s="2">
        <f t="shared" si="31"/>
        <v>165.74228085668187</v>
      </c>
      <c r="W18" s="2">
        <f t="shared" si="32"/>
        <v>1.7821750629750739</v>
      </c>
      <c r="X18" s="63">
        <f t="shared" si="33"/>
        <v>7.1224888076634949</v>
      </c>
      <c r="Y18" s="63">
        <f t="shared" si="34"/>
        <v>-33.652852502532085</v>
      </c>
      <c r="Z18" s="63">
        <f t="shared" si="35"/>
        <v>251.91118300406234</v>
      </c>
      <c r="AA18" s="63">
        <f t="shared" si="36"/>
        <v>27.710632866954686</v>
      </c>
      <c r="AB18" s="63">
        <f t="shared" si="37"/>
        <v>224.20055013710765</v>
      </c>
      <c r="AC18" s="63">
        <f t="shared" si="38"/>
        <v>1087.3498981830062</v>
      </c>
      <c r="AD18" s="63">
        <f t="shared" si="39"/>
        <v>957.0297957624955</v>
      </c>
      <c r="AE18" s="63">
        <f t="shared" si="40"/>
        <v>16059.426692120684</v>
      </c>
      <c r="AF18" s="63">
        <f t="shared" si="41"/>
        <v>130.32010242051069</v>
      </c>
      <c r="AG18" s="46">
        <v>0</v>
      </c>
      <c r="AH18" s="46">
        <f t="shared" si="8"/>
        <v>0</v>
      </c>
      <c r="AI18" s="46">
        <f t="shared" si="9"/>
        <v>0</v>
      </c>
      <c r="AJ18" s="2">
        <f t="shared" si="42"/>
        <v>0</v>
      </c>
      <c r="AK18" s="2">
        <f t="shared" si="16"/>
        <v>0</v>
      </c>
      <c r="AL18" s="64">
        <f t="shared" si="17"/>
        <v>12390.638780520843</v>
      </c>
      <c r="AM18" s="64">
        <f t="shared" si="18"/>
        <v>248.85438180669428</v>
      </c>
      <c r="AN18" s="64">
        <f t="shared" si="19"/>
        <v>2.9727157011393968</v>
      </c>
      <c r="AO18" s="64">
        <f t="shared" si="20"/>
        <v>0.30491702914952112</v>
      </c>
      <c r="AP18" s="2">
        <f t="shared" si="10"/>
        <v>231.62712785776995</v>
      </c>
      <c r="AQ18" s="2">
        <f t="shared" si="11"/>
        <v>2.7510698718146047</v>
      </c>
      <c r="AR18" s="3">
        <f t="shared" si="12"/>
        <v>3.2459412537597525</v>
      </c>
      <c r="AT18" s="28" t="s">
        <v>370</v>
      </c>
      <c r="AU18" s="28">
        <v>34705.870000000003</v>
      </c>
      <c r="AW18" s="24" t="s">
        <v>64</v>
      </c>
      <c r="AX18" s="28">
        <v>2E-3</v>
      </c>
      <c r="AY18" s="28">
        <v>2E-3</v>
      </c>
      <c r="AZ18" s="28">
        <v>2E-3</v>
      </c>
    </row>
    <row r="19" spans="1:52">
      <c r="A19" s="62">
        <f t="shared" si="21"/>
        <v>4167.9619290706351</v>
      </c>
      <c r="B19" s="62">
        <f t="shared" si="13"/>
        <v>2691.700862315588</v>
      </c>
      <c r="C19" s="62">
        <f t="shared" si="0"/>
        <v>0.8464378693885557</v>
      </c>
      <c r="D19" s="65">
        <f t="shared" si="1"/>
        <v>84.670099558443908</v>
      </c>
      <c r="E19" s="62">
        <f t="shared" si="22"/>
        <v>1.2451485229182928</v>
      </c>
      <c r="F19" s="2">
        <f t="shared" si="14"/>
        <v>71.612790402700469</v>
      </c>
      <c r="G19" s="2">
        <f t="shared" si="23"/>
        <v>1.053129270627948</v>
      </c>
      <c r="H19" s="62">
        <f t="shared" si="2"/>
        <v>2.1306907759376128</v>
      </c>
      <c r="I19" s="62">
        <f t="shared" si="15"/>
        <v>12.606809925670959</v>
      </c>
      <c r="J19" s="62">
        <f t="shared" si="3"/>
        <v>75.441554727610267</v>
      </c>
      <c r="K19" s="62">
        <f t="shared" si="4"/>
        <v>8.2986916302773537</v>
      </c>
      <c r="L19" s="62">
        <f t="shared" si="24"/>
        <v>67.142863097332906</v>
      </c>
      <c r="M19" s="62">
        <f t="shared" si="5"/>
        <v>348.3211254123355</v>
      </c>
      <c r="N19" s="62">
        <f t="shared" si="6"/>
        <v>268.94290707629432</v>
      </c>
      <c r="O19" s="62">
        <f t="shared" si="7"/>
        <v>4765.6128336846223</v>
      </c>
      <c r="P19" s="62">
        <f t="shared" si="25"/>
        <v>79.378218336041186</v>
      </c>
      <c r="Q19" s="63">
        <f t="shared" si="26"/>
        <v>16059.426692120684</v>
      </c>
      <c r="R19" s="63">
        <f t="shared" si="27"/>
        <v>11567.935232262367</v>
      </c>
      <c r="S19" s="63">
        <f t="shared" si="28"/>
        <v>0.36358437828894163</v>
      </c>
      <c r="T19" s="63">
        <f t="shared" si="29"/>
        <v>175.168700085946</v>
      </c>
      <c r="U19" s="63">
        <f t="shared" si="30"/>
        <v>1.8835344095263011</v>
      </c>
      <c r="V19" s="2">
        <f t="shared" si="31"/>
        <v>168.61655660358701</v>
      </c>
      <c r="W19" s="2">
        <f t="shared" si="32"/>
        <v>1.8130812538020109</v>
      </c>
      <c r="X19" s="63">
        <f t="shared" si="33"/>
        <v>8.2096892682936833</v>
      </c>
      <c r="Y19" s="63">
        <f t="shared" si="34"/>
        <v>-44.07361927062766</v>
      </c>
      <c r="Z19" s="63">
        <f t="shared" si="35"/>
        <v>256.27978587316886</v>
      </c>
      <c r="AA19" s="63">
        <f t="shared" si="36"/>
        <v>28.191186166747585</v>
      </c>
      <c r="AB19" s="63">
        <f t="shared" si="37"/>
        <v>228.08859970642129</v>
      </c>
      <c r="AC19" s="63">
        <f t="shared" si="38"/>
        <v>1096.3693792614788</v>
      </c>
      <c r="AD19" s="63">
        <f t="shared" si="39"/>
        <v>964.99285419701937</v>
      </c>
      <c r="AE19" s="63">
        <f t="shared" si="40"/>
        <v>18203.85525700295</v>
      </c>
      <c r="AF19" s="63">
        <f t="shared" si="41"/>
        <v>131.37652506445943</v>
      </c>
      <c r="AG19" s="46">
        <v>0</v>
      </c>
      <c r="AH19" s="46">
        <f t="shared" si="8"/>
        <v>0</v>
      </c>
      <c r="AI19" s="46">
        <f t="shared" si="9"/>
        <v>0</v>
      </c>
      <c r="AJ19" s="2">
        <f t="shared" si="42"/>
        <v>0</v>
      </c>
      <c r="AK19" s="2">
        <f t="shared" si="16"/>
        <v>0</v>
      </c>
      <c r="AL19" s="64">
        <f t="shared" si="17"/>
        <v>14259.636094577956</v>
      </c>
      <c r="AM19" s="64">
        <f t="shared" si="18"/>
        <v>259.83879964438989</v>
      </c>
      <c r="AN19" s="64">
        <f t="shared" si="19"/>
        <v>3.1286829324445939</v>
      </c>
      <c r="AO19" s="64">
        <f t="shared" si="20"/>
        <v>0.23397264438470922</v>
      </c>
      <c r="AP19" s="2">
        <f t="shared" si="10"/>
        <v>240.22934700628747</v>
      </c>
      <c r="AQ19" s="2">
        <f t="shared" si="11"/>
        <v>2.8662105244299587</v>
      </c>
      <c r="AR19" s="3">
        <f t="shared" si="12"/>
        <v>3.2459412537597525</v>
      </c>
      <c r="AT19" s="28" t="s">
        <v>16</v>
      </c>
      <c r="AU19" s="28">
        <v>17.394178400000001</v>
      </c>
      <c r="AW19" s="24" t="s">
        <v>348</v>
      </c>
      <c r="AX19" s="26">
        <f>(-0.075*AX11)+0.875</f>
        <v>0.74750000000000005</v>
      </c>
      <c r="AY19" s="26">
        <f t="shared" ref="AY19:AZ19" si="44">(-0.075*AY11)+0.875</f>
        <v>0.71</v>
      </c>
      <c r="AZ19" s="26">
        <f t="shared" si="44"/>
        <v>0.77749999999999997</v>
      </c>
    </row>
    <row r="20" spans="1:52">
      <c r="A20" s="62">
        <f t="shared" si="21"/>
        <v>4765.6128336846223</v>
      </c>
      <c r="B20" s="62">
        <f t="shared" si="13"/>
        <v>3073.9488756240125</v>
      </c>
      <c r="C20" s="62">
        <f t="shared" si="0"/>
        <v>0.82644284815693525</v>
      </c>
      <c r="D20" s="65">
        <f t="shared" si="1"/>
        <v>94.524159443605498</v>
      </c>
      <c r="E20" s="62">
        <f t="shared" si="22"/>
        <v>1.3900611682883162</v>
      </c>
      <c r="F20" s="2">
        <f t="shared" si="14"/>
        <v>76.973424003674978</v>
      </c>
      <c r="G20" s="2">
        <f t="shared" si="23"/>
        <v>1.1319621177011026</v>
      </c>
      <c r="H20" s="62">
        <f t="shared" si="2"/>
        <v>2.4362140247969748</v>
      </c>
      <c r="I20" s="62">
        <f t="shared" si="15"/>
        <v>15.505609236823744</v>
      </c>
      <c r="J20" s="62">
        <f t="shared" si="3"/>
        <v>81.088793592461627</v>
      </c>
      <c r="K20" s="62">
        <f t="shared" si="4"/>
        <v>8.9198969337885146</v>
      </c>
      <c r="L20" s="62">
        <f t="shared" si="24"/>
        <v>72.168896658673106</v>
      </c>
      <c r="M20" s="62">
        <f t="shared" si="5"/>
        <v>376.35009253018927</v>
      </c>
      <c r="N20" s="62">
        <f t="shared" si="6"/>
        <v>287.7336930518091</v>
      </c>
      <c r="O20" s="62">
        <f t="shared" si="7"/>
        <v>5405.0210404664203</v>
      </c>
      <c r="P20" s="62">
        <f t="shared" si="25"/>
        <v>88.616399478380174</v>
      </c>
      <c r="Q20" s="63">
        <f t="shared" si="26"/>
        <v>18203.85525700295</v>
      </c>
      <c r="R20" s="63">
        <f t="shared" si="27"/>
        <v>13093.35378907568</v>
      </c>
      <c r="S20" s="63">
        <f t="shared" si="28"/>
        <v>0.31763800896373834</v>
      </c>
      <c r="T20" s="63">
        <f t="shared" si="29"/>
        <v>173.46709017895495</v>
      </c>
      <c r="U20" s="63">
        <f t="shared" si="30"/>
        <v>1.8652375288059673</v>
      </c>
      <c r="V20" s="2">
        <f t="shared" si="31"/>
        <v>169.75144877089267</v>
      </c>
      <c r="W20" s="2">
        <f t="shared" si="32"/>
        <v>1.8252843953859426</v>
      </c>
      <c r="X20" s="63">
        <f t="shared" si="33"/>
        <v>9.3059358848914009</v>
      </c>
      <c r="Y20" s="63">
        <f t="shared" si="34"/>
        <v>-56.682857501139083</v>
      </c>
      <c r="Z20" s="63">
        <f t="shared" si="35"/>
        <v>258.00470498837774</v>
      </c>
      <c r="AA20" s="63">
        <f t="shared" si="36"/>
        <v>28.380930027090518</v>
      </c>
      <c r="AB20" s="63">
        <f t="shared" si="37"/>
        <v>229.62377496128721</v>
      </c>
      <c r="AC20" s="63">
        <f t="shared" si="38"/>
        <v>1091.4360173052969</v>
      </c>
      <c r="AD20" s="63">
        <f t="shared" si="39"/>
        <v>961.33569967108065</v>
      </c>
      <c r="AE20" s="63">
        <f t="shared" si="40"/>
        <v>20340.156811827572</v>
      </c>
      <c r="AF20" s="63">
        <f t="shared" si="41"/>
        <v>130.10031763421625</v>
      </c>
      <c r="AG20" s="46">
        <v>0</v>
      </c>
      <c r="AH20" s="46">
        <f t="shared" si="8"/>
        <v>0</v>
      </c>
      <c r="AI20" s="46">
        <f t="shared" si="9"/>
        <v>0</v>
      </c>
      <c r="AJ20" s="2">
        <f t="shared" si="42"/>
        <v>0</v>
      </c>
      <c r="AK20" s="2">
        <f t="shared" si="16"/>
        <v>0</v>
      </c>
      <c r="AL20" s="64">
        <f t="shared" si="17"/>
        <v>16167.302664699691</v>
      </c>
      <c r="AM20" s="64">
        <f t="shared" si="18"/>
        <v>267.99124962256042</v>
      </c>
      <c r="AN20" s="64">
        <f t="shared" si="19"/>
        <v>3.2552986970942834</v>
      </c>
      <c r="AO20" s="64">
        <f t="shared" si="20"/>
        <v>0.17788044705880857</v>
      </c>
      <c r="AP20" s="2">
        <f t="shared" si="10"/>
        <v>246.72487277456764</v>
      </c>
      <c r="AQ20" s="2">
        <f t="shared" si="11"/>
        <v>2.9572465130870453</v>
      </c>
      <c r="AR20" s="3">
        <f t="shared" si="12"/>
        <v>3.2459412537597525</v>
      </c>
      <c r="AT20" s="28" t="s">
        <v>365</v>
      </c>
      <c r="AU20" s="28">
        <v>5</v>
      </c>
      <c r="AW20" s="24" t="s">
        <v>37</v>
      </c>
      <c r="AX20" s="26">
        <f>$AU$10*AX19*$AU$7</f>
        <v>290.77750000000003</v>
      </c>
      <c r="AY20" s="26">
        <f t="shared" ref="AY20:AZ20" si="45">$AU$10*AY19*$AU$7</f>
        <v>276.19</v>
      </c>
      <c r="AZ20" s="26">
        <f t="shared" si="45"/>
        <v>302.44749999999999</v>
      </c>
    </row>
    <row r="21" spans="1:52">
      <c r="A21" s="62">
        <f t="shared" si="21"/>
        <v>5405.0210404664203</v>
      </c>
      <c r="B21" s="62">
        <f t="shared" si="13"/>
        <v>3482.1366794975197</v>
      </c>
      <c r="C21" s="62">
        <f t="shared" si="0"/>
        <v>0.8055734929407703</v>
      </c>
      <c r="D21" s="65">
        <f t="shared" si="1"/>
        <v>104.49940029568538</v>
      </c>
      <c r="E21" s="62">
        <f t="shared" si="22"/>
        <v>1.5367558867012556</v>
      </c>
      <c r="F21" s="2">
        <f t="shared" si="14"/>
        <v>81.869756972227947</v>
      </c>
      <c r="G21" s="2">
        <f t="shared" si="23"/>
        <v>1.2039670142974699</v>
      </c>
      <c r="H21" s="62">
        <f t="shared" si="2"/>
        <v>2.7630838934362423</v>
      </c>
      <c r="I21" s="62">
        <f t="shared" si="15"/>
        <v>18.618002119642689</v>
      </c>
      <c r="J21" s="62">
        <f t="shared" si="3"/>
        <v>86.2469080791967</v>
      </c>
      <c r="K21" s="62">
        <f t="shared" si="4"/>
        <v>9.4872977737318962</v>
      </c>
      <c r="L21" s="62">
        <f t="shared" si="24"/>
        <v>76.759610305464804</v>
      </c>
      <c r="M21" s="62">
        <f t="shared" si="5"/>
        <v>402.4160536469667</v>
      </c>
      <c r="N21" s="62">
        <f t="shared" si="6"/>
        <v>304.44786586976164</v>
      </c>
      <c r="O21" s="62">
        <f t="shared" si="7"/>
        <v>6081.5718535103351</v>
      </c>
      <c r="P21" s="62">
        <f t="shared" si="25"/>
        <v>97.96818777720506</v>
      </c>
      <c r="Q21" s="63">
        <f t="shared" si="26"/>
        <v>20340.156811827572</v>
      </c>
      <c r="R21" s="63">
        <f t="shared" si="27"/>
        <v>14611.262785168468</v>
      </c>
      <c r="S21" s="63">
        <f t="shared" si="28"/>
        <v>0.27764002481147104</v>
      </c>
      <c r="T21" s="63">
        <f t="shared" si="29"/>
        <v>169.41724925715056</v>
      </c>
      <c r="U21" s="63">
        <f t="shared" si="30"/>
        <v>1.8216908522274253</v>
      </c>
      <c r="V21" s="2">
        <f t="shared" si="31"/>
        <v>169.41724925715056</v>
      </c>
      <c r="W21" s="2">
        <f t="shared" si="32"/>
        <v>1.8216908522274253</v>
      </c>
      <c r="X21" s="63">
        <f t="shared" si="33"/>
        <v>10.398027918107489</v>
      </c>
      <c r="Y21" s="63">
        <f t="shared" si="34"/>
        <v>-70.913779548791382</v>
      </c>
      <c r="Z21" s="63">
        <f t="shared" si="35"/>
        <v>257.4967561751298</v>
      </c>
      <c r="AA21" s="63">
        <f t="shared" si="36"/>
        <v>28.32505484556318</v>
      </c>
      <c r="AB21" s="63">
        <f t="shared" si="37"/>
        <v>229.17170132956662</v>
      </c>
      <c r="AC21" s="63">
        <f t="shared" si="38"/>
        <v>1074.9447270990418</v>
      </c>
      <c r="AD21" s="63">
        <f t="shared" si="39"/>
        <v>947.88179015617879</v>
      </c>
      <c r="AE21" s="63">
        <f t="shared" si="40"/>
        <v>22446.560789952415</v>
      </c>
      <c r="AF21" s="63">
        <f t="shared" si="41"/>
        <v>127.06293694286296</v>
      </c>
      <c r="AG21" s="46">
        <v>0</v>
      </c>
      <c r="AH21" s="46">
        <f t="shared" si="8"/>
        <v>0</v>
      </c>
      <c r="AI21" s="46">
        <f t="shared" si="9"/>
        <v>0</v>
      </c>
      <c r="AJ21" s="2">
        <f t="shared" si="42"/>
        <v>0</v>
      </c>
      <c r="AK21" s="2">
        <f t="shared" si="16"/>
        <v>0</v>
      </c>
      <c r="AL21" s="64">
        <f t="shared" si="17"/>
        <v>18093.399464665988</v>
      </c>
      <c r="AM21" s="64">
        <f t="shared" si="18"/>
        <v>273.91664955283591</v>
      </c>
      <c r="AN21" s="64">
        <f t="shared" si="19"/>
        <v>3.3584467389286807</v>
      </c>
      <c r="AO21" s="64">
        <f t="shared" si="20"/>
        <v>0.13572851140155695</v>
      </c>
      <c r="AP21" s="2">
        <f t="shared" si="10"/>
        <v>251.28700622937851</v>
      </c>
      <c r="AQ21" s="2">
        <f t="shared" si="11"/>
        <v>3.0256578665248952</v>
      </c>
      <c r="AR21" s="3">
        <f t="shared" si="12"/>
        <v>3.2459412537597525</v>
      </c>
      <c r="AT21" s="28" t="s">
        <v>17</v>
      </c>
      <c r="AU21" s="28">
        <v>6.7061877299999999</v>
      </c>
      <c r="AW21" s="24" t="s">
        <v>349</v>
      </c>
      <c r="AX21" s="26">
        <f>(AX20-40)/(AX20+2*40)*(350+2*40)/(350-40)</f>
        <v>0.9381709011208138</v>
      </c>
      <c r="AY21" s="26">
        <f t="shared" ref="AY21:AZ21" si="46">(AY20-40)/(AY20+2*40)*(350+2*40)/(350-40)</f>
        <v>0.91978547150895351</v>
      </c>
      <c r="AZ21" s="26">
        <f t="shared" si="46"/>
        <v>0.95186942167267752</v>
      </c>
    </row>
    <row r="22" spans="1:52">
      <c r="A22" s="62">
        <f t="shared" si="21"/>
        <v>6081.5718535103351</v>
      </c>
      <c r="B22" s="62">
        <f t="shared" si="13"/>
        <v>3913.2600246837392</v>
      </c>
      <c r="C22" s="62">
        <f t="shared" si="0"/>
        <v>0.78406537616683292</v>
      </c>
      <c r="D22" s="65">
        <f t="shared" si="1"/>
        <v>114.44039815219691</v>
      </c>
      <c r="E22" s="62">
        <f t="shared" si="22"/>
        <v>1.6829470316499544</v>
      </c>
      <c r="F22" s="2">
        <f t="shared" si="14"/>
        <v>86.290521614979383</v>
      </c>
      <c r="G22" s="2">
        <f t="shared" si="23"/>
        <v>1.2689782590438146</v>
      </c>
      <c r="H22" s="62">
        <f t="shared" si="2"/>
        <v>3.1089413176011478</v>
      </c>
      <c r="I22" s="62">
        <f t="shared" si="15"/>
        <v>21.830157239250561</v>
      </c>
      <c r="J22" s="62">
        <f t="shared" si="3"/>
        <v>90.904028069335226</v>
      </c>
      <c r="K22" s="62">
        <f t="shared" si="4"/>
        <v>9.9995884180976269</v>
      </c>
      <c r="L22" s="62">
        <f t="shared" si="24"/>
        <v>80.904439651237595</v>
      </c>
      <c r="M22" s="62">
        <f t="shared" si="5"/>
        <v>426.35235549543853</v>
      </c>
      <c r="N22" s="62">
        <f t="shared" si="6"/>
        <v>319.0644822277539</v>
      </c>
      <c r="O22" s="62">
        <f t="shared" si="7"/>
        <v>6790.6040362386775</v>
      </c>
      <c r="P22" s="62">
        <f t="shared" si="25"/>
        <v>107.28787326768463</v>
      </c>
      <c r="Q22" s="63">
        <f t="shared" si="26"/>
        <v>22446.560789952415</v>
      </c>
      <c r="R22" s="63">
        <f t="shared" si="27"/>
        <v>16106.475410123365</v>
      </c>
      <c r="S22" s="63">
        <f t="shared" si="28"/>
        <v>0.24313624110592774</v>
      </c>
      <c r="T22" s="63">
        <f t="shared" si="29"/>
        <v>163.72717248674203</v>
      </c>
      <c r="U22" s="63">
        <f t="shared" si="30"/>
        <v>1.760507231040237</v>
      </c>
      <c r="V22" s="2">
        <f t="shared" si="31"/>
        <v>163.72717248674203</v>
      </c>
      <c r="W22" s="2">
        <f t="shared" si="32"/>
        <v>1.760507231040237</v>
      </c>
      <c r="X22" s="63">
        <f t="shared" si="33"/>
        <v>11.474836104690338</v>
      </c>
      <c r="Y22" s="63">
        <f t="shared" si="34"/>
        <v>-84.312323932455001</v>
      </c>
      <c r="Z22" s="63">
        <f t="shared" si="35"/>
        <v>248.84842598920093</v>
      </c>
      <c r="AA22" s="63">
        <f t="shared" si="36"/>
        <v>27.37372469881613</v>
      </c>
      <c r="AB22" s="63">
        <f t="shared" si="37"/>
        <v>221.47470129038481</v>
      </c>
      <c r="AC22" s="63">
        <f t="shared" si="38"/>
        <v>1023.0611825194692</v>
      </c>
      <c r="AD22" s="63">
        <f t="shared" si="39"/>
        <v>900.26580315441265</v>
      </c>
      <c r="AE22" s="63">
        <f t="shared" si="40"/>
        <v>24447.151463628888</v>
      </c>
      <c r="AF22" s="63">
        <f t="shared" si="41"/>
        <v>122.79537936505653</v>
      </c>
      <c r="AG22" s="46">
        <v>0</v>
      </c>
      <c r="AH22" s="46">
        <f t="shared" si="8"/>
        <v>0</v>
      </c>
      <c r="AI22" s="46">
        <f t="shared" si="9"/>
        <v>0</v>
      </c>
      <c r="AJ22" s="2">
        <f t="shared" si="42"/>
        <v>0</v>
      </c>
      <c r="AK22" s="2">
        <f t="shared" si="16"/>
        <v>0</v>
      </c>
      <c r="AL22" s="64">
        <f t="shared" si="17"/>
        <v>20019.735434807102</v>
      </c>
      <c r="AM22" s="64">
        <f t="shared" si="18"/>
        <v>278.16757063893897</v>
      </c>
      <c r="AN22" s="64">
        <f t="shared" si="19"/>
        <v>3.4434542626901914</v>
      </c>
      <c r="AO22" s="64">
        <f t="shared" si="20"/>
        <v>0.13337010546631511</v>
      </c>
      <c r="AP22" s="2">
        <f t="shared" si="10"/>
        <v>250.01769410172142</v>
      </c>
      <c r="AQ22" s="2">
        <f t="shared" si="11"/>
        <v>3.0294854900840518</v>
      </c>
      <c r="AR22" s="3">
        <f t="shared" si="12"/>
        <v>3.2459412537597525</v>
      </c>
      <c r="AT22" s="28"/>
      <c r="AU22" s="28"/>
      <c r="AW22" s="24" t="s">
        <v>5</v>
      </c>
      <c r="AX22" s="26">
        <f>AX21*(AX12+AX13*AX11)</f>
        <v>71.516767792439637</v>
      </c>
      <c r="AY22" s="26">
        <f t="shared" ref="AY22:AZ22" si="47">AY21*(AY12+AY13*AY11)</f>
        <v>103.18153419387444</v>
      </c>
      <c r="AZ22" s="26">
        <f t="shared" si="47"/>
        <v>31.649658270616527</v>
      </c>
    </row>
    <row r="23" spans="1:52">
      <c r="A23" s="62">
        <f t="shared" si="21"/>
        <v>6790.6040362386775</v>
      </c>
      <c r="B23" s="62">
        <f t="shared" si="13"/>
        <v>4364.3710644453458</v>
      </c>
      <c r="C23" s="62">
        <f t="shared" si="0"/>
        <v>0.76214064910543911</v>
      </c>
      <c r="D23" s="65">
        <f t="shared" si="1"/>
        <v>124.20948883192705</v>
      </c>
      <c r="E23" s="62">
        <f t="shared" si="22"/>
        <v>1.82661012988128</v>
      </c>
      <c r="F23" s="2">
        <f t="shared" si="14"/>
        <v>91.347778271877445</v>
      </c>
      <c r="G23" s="2">
        <f t="shared" si="23"/>
        <v>1.3433496804687859</v>
      </c>
      <c r="H23" s="62">
        <f t="shared" si="2"/>
        <v>3.4714034411261223</v>
      </c>
      <c r="I23" s="62">
        <f t="shared" si="15"/>
        <v>24.524531751826316</v>
      </c>
      <c r="J23" s="62">
        <f t="shared" si="3"/>
        <v>96.231669999045025</v>
      </c>
      <c r="K23" s="62">
        <f t="shared" si="4"/>
        <v>10.585637547795857</v>
      </c>
      <c r="L23" s="62">
        <f t="shared" si="24"/>
        <v>85.64603245124917</v>
      </c>
      <c r="M23" s="62">
        <f t="shared" si="5"/>
        <v>452.75469400807219</v>
      </c>
      <c r="N23" s="62">
        <f t="shared" si="6"/>
        <v>336.30829822814059</v>
      </c>
      <c r="O23" s="62">
        <f t="shared" si="7"/>
        <v>7537.95581007899</v>
      </c>
      <c r="P23" s="62">
        <f t="shared" si="25"/>
        <v>116.44639577993161</v>
      </c>
      <c r="Q23" s="63">
        <f t="shared" si="26"/>
        <v>24447.151463628888</v>
      </c>
      <c r="R23" s="63">
        <f t="shared" si="27"/>
        <v>17521.204711663253</v>
      </c>
      <c r="S23" s="63">
        <f t="shared" si="28"/>
        <v>0.21434454351787607</v>
      </c>
      <c r="T23" s="63">
        <f t="shared" si="29"/>
        <v>157.20340562351731</v>
      </c>
      <c r="U23" s="63">
        <f t="shared" si="30"/>
        <v>1.6903592002528742</v>
      </c>
      <c r="V23" s="2">
        <f t="shared" si="31"/>
        <v>157.20340562351731</v>
      </c>
      <c r="W23" s="2">
        <f t="shared" si="32"/>
        <v>1.6903592002528742</v>
      </c>
      <c r="X23" s="63">
        <f t="shared" si="33"/>
        <v>12.497551803002809</v>
      </c>
      <c r="Y23" s="63">
        <f t="shared" si="34"/>
        <v>-97.916774801559967</v>
      </c>
      <c r="Z23" s="63">
        <f t="shared" si="35"/>
        <v>238.93297279486058</v>
      </c>
      <c r="AA23" s="63">
        <f t="shared" si="36"/>
        <v>26.283008995363588</v>
      </c>
      <c r="AB23" s="63">
        <f t="shared" si="37"/>
        <v>212.64996379949699</v>
      </c>
      <c r="AC23" s="63">
        <f t="shared" si="38"/>
        <v>965.33304419592491</v>
      </c>
      <c r="AD23" s="63">
        <f t="shared" si="39"/>
        <v>847.43048997828691</v>
      </c>
      <c r="AE23" s="63">
        <f t="shared" si="40"/>
        <v>26330.330330247303</v>
      </c>
      <c r="AF23" s="63">
        <f t="shared" si="41"/>
        <v>117.902554217638</v>
      </c>
      <c r="AG23" s="46">
        <v>0</v>
      </c>
      <c r="AH23" s="46">
        <f t="shared" si="8"/>
        <v>0</v>
      </c>
      <c r="AI23" s="46">
        <f t="shared" si="9"/>
        <v>0</v>
      </c>
      <c r="AJ23" s="2">
        <f t="shared" si="42"/>
        <v>0</v>
      </c>
      <c r="AK23" s="2">
        <f t="shared" si="16"/>
        <v>0</v>
      </c>
      <c r="AL23" s="64">
        <f t="shared" si="17"/>
        <v>21885.575776108599</v>
      </c>
      <c r="AM23" s="64">
        <f t="shared" si="18"/>
        <v>281.41289445544436</v>
      </c>
      <c r="AN23" s="64">
        <f t="shared" si="19"/>
        <v>3.5169693301341542</v>
      </c>
      <c r="AO23" s="64">
        <f t="shared" si="20"/>
        <v>0.13076784602448688</v>
      </c>
      <c r="AP23" s="2">
        <f t="shared" si="10"/>
        <v>248.55118389539476</v>
      </c>
      <c r="AQ23" s="2">
        <f t="shared" si="11"/>
        <v>3.0337088807216599</v>
      </c>
      <c r="AR23" s="3">
        <f t="shared" si="12"/>
        <v>3.2459412537597525</v>
      </c>
      <c r="AT23" s="26" t="s">
        <v>9</v>
      </c>
      <c r="AU23" s="26">
        <f>1-AU12*POWER(AU11,AU13)</f>
        <v>0.94952466060066887</v>
      </c>
      <c r="AW23" s="24" t="s">
        <v>13</v>
      </c>
      <c r="AX23" s="26">
        <f>$AU$24*AX22</f>
        <v>7.4490082874380645</v>
      </c>
      <c r="AY23" s="26">
        <f t="shared" ref="AY23:AZ23" si="48">$AU$24*AY22</f>
        <v>10.74713143568545</v>
      </c>
      <c r="AZ23" s="26">
        <f t="shared" si="48"/>
        <v>3.2965495229963158</v>
      </c>
    </row>
    <row r="24" spans="1:52">
      <c r="A24" s="62">
        <f t="shared" si="21"/>
        <v>7537.95581007899</v>
      </c>
      <c r="B24" s="62">
        <f t="shared" si="13"/>
        <v>4840.2599386216407</v>
      </c>
      <c r="C24" s="62">
        <f t="shared" si="0"/>
        <v>0.73969433982627542</v>
      </c>
      <c r="D24" s="65">
        <f t="shared" si="1"/>
        <v>133.81879791782438</v>
      </c>
      <c r="E24" s="62">
        <f t="shared" si="22"/>
        <v>1.9679234987915351</v>
      </c>
      <c r="F24" s="2">
        <f t="shared" si="14"/>
        <v>96.901622029441597</v>
      </c>
      <c r="G24" s="2">
        <f t="shared" si="23"/>
        <v>1.4250238533741411</v>
      </c>
      <c r="H24" s="62">
        <f t="shared" si="2"/>
        <v>3.8534548029189666</v>
      </c>
      <c r="I24" s="62">
        <f t="shared" si="15"/>
        <v>26.599208231655282</v>
      </c>
      <c r="J24" s="62">
        <f t="shared" si="3"/>
        <v>102.08244896504762</v>
      </c>
      <c r="K24" s="62">
        <f t="shared" si="4"/>
        <v>11.22923258783814</v>
      </c>
      <c r="L24" s="62">
        <f t="shared" si="24"/>
        <v>90.853216377209478</v>
      </c>
      <c r="M24" s="62">
        <f t="shared" si="5"/>
        <v>480.86529011770267</v>
      </c>
      <c r="N24" s="62">
        <f t="shared" si="6"/>
        <v>355.41016706974233</v>
      </c>
      <c r="O24" s="62">
        <f t="shared" si="7"/>
        <v>8327.7561813450848</v>
      </c>
      <c r="P24" s="62">
        <f t="shared" si="25"/>
        <v>125.45512304796034</v>
      </c>
      <c r="Q24" s="63">
        <f t="shared" si="26"/>
        <v>26330.330330247303</v>
      </c>
      <c r="R24" s="63">
        <f t="shared" si="27"/>
        <v>18851.737940099101</v>
      </c>
      <c r="S24" s="63">
        <f t="shared" si="28"/>
        <v>0.19036522581991455</v>
      </c>
      <c r="T24" s="63">
        <f t="shared" si="29"/>
        <v>150.37137837691421</v>
      </c>
      <c r="U24" s="63">
        <f t="shared" si="30"/>
        <v>1.6168965416872496</v>
      </c>
      <c r="V24" s="2">
        <f t="shared" si="31"/>
        <v>150.37137837691421</v>
      </c>
      <c r="W24" s="2">
        <f t="shared" si="32"/>
        <v>1.6168965416872496</v>
      </c>
      <c r="X24" s="63">
        <f t="shared" si="33"/>
        <v>13.460245778818276</v>
      </c>
      <c r="Y24" s="63">
        <f t="shared" si="34"/>
        <v>-111.28751539779272</v>
      </c>
      <c r="Z24" s="63">
        <f t="shared" si="35"/>
        <v>228.54899559174734</v>
      </c>
      <c r="AA24" s="63">
        <f t="shared" si="36"/>
        <v>25.14075490190535</v>
      </c>
      <c r="AB24" s="63">
        <f t="shared" si="37"/>
        <v>203.40824068984199</v>
      </c>
      <c r="AC24" s="63">
        <f t="shared" si="38"/>
        <v>905.75368805141716</v>
      </c>
      <c r="AD24" s="63">
        <f t="shared" si="39"/>
        <v>792.97515426873156</v>
      </c>
      <c r="AE24" s="63">
        <f t="shared" si="40"/>
        <v>28092.497339733374</v>
      </c>
      <c r="AF24" s="63">
        <f t="shared" si="41"/>
        <v>112.7785337826856</v>
      </c>
      <c r="AG24" s="46">
        <v>0</v>
      </c>
      <c r="AH24" s="46">
        <f t="shared" si="8"/>
        <v>0</v>
      </c>
      <c r="AI24" s="46">
        <f t="shared" si="9"/>
        <v>0</v>
      </c>
      <c r="AJ24" s="2">
        <f t="shared" si="42"/>
        <v>0</v>
      </c>
      <c r="AK24" s="2">
        <f t="shared" si="16"/>
        <v>0</v>
      </c>
      <c r="AL24" s="64">
        <f t="shared" si="17"/>
        <v>23691.997878720744</v>
      </c>
      <c r="AM24" s="64">
        <f t="shared" si="18"/>
        <v>284.19017629473859</v>
      </c>
      <c r="AN24" s="64">
        <f t="shared" si="19"/>
        <v>3.5848200404787844</v>
      </c>
      <c r="AO24" s="64">
        <f t="shared" si="20"/>
        <v>0.12570828782686416</v>
      </c>
      <c r="AP24" s="2">
        <f t="shared" si="10"/>
        <v>247.27300040635581</v>
      </c>
      <c r="AQ24" s="2">
        <f t="shared" si="11"/>
        <v>3.0419203950613909</v>
      </c>
      <c r="AR24" s="3">
        <f t="shared" si="12"/>
        <v>3.2459412537597525</v>
      </c>
      <c r="AT24" s="26" t="s">
        <v>358</v>
      </c>
      <c r="AU24" s="26">
        <f>0.138071-0.0024519*AU15</f>
        <v>0.10415750763593</v>
      </c>
      <c r="AW24" s="24" t="s">
        <v>352</v>
      </c>
      <c r="AX24" s="26">
        <f>AX22*AX15</f>
        <v>53.637575844329731</v>
      </c>
      <c r="AY24" s="26">
        <f t="shared" ref="AY24:AZ24" si="49">AY22*AY15</f>
        <v>77.386150645405834</v>
      </c>
      <c r="AZ24" s="26">
        <f t="shared" si="49"/>
        <v>23.737243702962395</v>
      </c>
    </row>
    <row r="25" spans="1:52">
      <c r="A25" s="62">
        <f t="shared" si="21"/>
        <v>8327.7561813450848</v>
      </c>
      <c r="B25" s="62">
        <f t="shared" si="13"/>
        <v>5343.3880162768446</v>
      </c>
      <c r="C25" s="62">
        <f t="shared" si="0"/>
        <v>0.71669117656600134</v>
      </c>
      <c r="D25" s="65">
        <f t="shared" si="1"/>
        <v>143.24230501831198</v>
      </c>
      <c r="E25" s="62">
        <f t="shared" si="22"/>
        <v>2.1065044855634114</v>
      </c>
      <c r="F25" s="2">
        <f t="shared" si="14"/>
        <v>102.72702994469998</v>
      </c>
      <c r="G25" s="2">
        <f t="shared" si="23"/>
        <v>1.5106916168338231</v>
      </c>
      <c r="H25" s="62">
        <f t="shared" si="2"/>
        <v>4.2572061793774374</v>
      </c>
      <c r="I25" s="62">
        <f t="shared" si="15"/>
        <v>28.141485420316101</v>
      </c>
      <c r="J25" s="62">
        <f t="shared" si="3"/>
        <v>108.21931121518899</v>
      </c>
      <c r="K25" s="62">
        <f t="shared" si="4"/>
        <v>11.904297246503965</v>
      </c>
      <c r="L25" s="62">
        <f t="shared" si="24"/>
        <v>96.315013968685037</v>
      </c>
      <c r="M25" s="62">
        <f t="shared" si="5"/>
        <v>509.71655526374127</v>
      </c>
      <c r="N25" s="62">
        <f t="shared" si="6"/>
        <v>375.42689430907376</v>
      </c>
      <c r="O25" s="62">
        <f t="shared" si="7"/>
        <v>9162.038168698582</v>
      </c>
      <c r="P25" s="62">
        <f t="shared" si="25"/>
        <v>134.28966095466751</v>
      </c>
      <c r="Q25" s="63">
        <f t="shared" si="26"/>
        <v>28092.497339733374</v>
      </c>
      <c r="R25" s="63">
        <f t="shared" si="27"/>
        <v>20096.044489587606</v>
      </c>
      <c r="S25" s="63">
        <f t="shared" si="28"/>
        <v>0.17036240235255368</v>
      </c>
      <c r="T25" s="63">
        <f t="shared" si="29"/>
        <v>143.57716004639101</v>
      </c>
      <c r="U25" s="63">
        <f t="shared" si="30"/>
        <v>1.5438404306063549</v>
      </c>
      <c r="V25" s="2">
        <f t="shared" si="31"/>
        <v>143.57716004639101</v>
      </c>
      <c r="W25" s="2">
        <f t="shared" si="32"/>
        <v>1.5438404306063549</v>
      </c>
      <c r="X25" s="63">
        <f t="shared" si="33"/>
        <v>14.361077661803046</v>
      </c>
      <c r="Y25" s="63">
        <f t="shared" si="34"/>
        <v>-124.16412017982692</v>
      </c>
      <c r="Z25" s="63">
        <f t="shared" si="35"/>
        <v>218.22248404391871</v>
      </c>
      <c r="AA25" s="63">
        <f t="shared" si="36"/>
        <v>24.004822122400149</v>
      </c>
      <c r="AB25" s="63">
        <f t="shared" si="37"/>
        <v>194.21766192151856</v>
      </c>
      <c r="AC25" s="63">
        <f t="shared" si="38"/>
        <v>846.9241894277659</v>
      </c>
      <c r="AD25" s="63">
        <f t="shared" si="39"/>
        <v>739.24131939297263</v>
      </c>
      <c r="AE25" s="63">
        <f t="shared" si="40"/>
        <v>29735.255827273315</v>
      </c>
      <c r="AF25" s="63">
        <f t="shared" si="41"/>
        <v>107.68287003479327</v>
      </c>
      <c r="AG25" s="46">
        <v>0</v>
      </c>
      <c r="AH25" s="46">
        <f t="shared" si="8"/>
        <v>0</v>
      </c>
      <c r="AI25" s="46">
        <f t="shared" si="9"/>
        <v>0</v>
      </c>
      <c r="AJ25" s="2">
        <f t="shared" si="42"/>
        <v>0</v>
      </c>
      <c r="AK25" s="2">
        <f t="shared" si="16"/>
        <v>0</v>
      </c>
      <c r="AL25" s="64">
        <f t="shared" si="17"/>
        <v>25439.43250586445</v>
      </c>
      <c r="AM25" s="64">
        <f t="shared" si="18"/>
        <v>286.81946506470297</v>
      </c>
      <c r="AN25" s="64">
        <f t="shared" si="19"/>
        <v>3.6503449161697663</v>
      </c>
      <c r="AO25" s="64">
        <f t="shared" si="20"/>
        <v>0.1179375665519925</v>
      </c>
      <c r="AP25" s="2">
        <f t="shared" si="10"/>
        <v>246.30418999109099</v>
      </c>
      <c r="AQ25" s="2">
        <f t="shared" si="11"/>
        <v>3.054532047440178</v>
      </c>
      <c r="AR25" s="3">
        <f t="shared" si="12"/>
        <v>3.2459412537597525</v>
      </c>
      <c r="AT25" s="26" t="s">
        <v>331</v>
      </c>
      <c r="AU25" s="26"/>
      <c r="AW25" s="24" t="s">
        <v>55</v>
      </c>
      <c r="AX25" s="26">
        <f>AX24+AX23</f>
        <v>61.086584131767793</v>
      </c>
      <c r="AY25" s="26">
        <f t="shared" ref="AY25:AZ25" si="50">AY24+AY23</f>
        <v>88.133282081091281</v>
      </c>
      <c r="AZ25" s="26">
        <f t="shared" si="50"/>
        <v>27.033793225958711</v>
      </c>
    </row>
    <row r="26" spans="1:52">
      <c r="A26" s="62">
        <f t="shared" si="21"/>
        <v>9162.038168698582</v>
      </c>
      <c r="B26" s="62">
        <f t="shared" si="13"/>
        <v>5874.811076224807</v>
      </c>
      <c r="C26" s="62">
        <f t="shared" si="0"/>
        <v>0.6931689414488531</v>
      </c>
      <c r="D26" s="65">
        <f t="shared" si="1"/>
        <v>152.42016717385883</v>
      </c>
      <c r="E26" s="62">
        <f t="shared" si="22"/>
        <v>2.2414730466743946</v>
      </c>
      <c r="F26" s="2">
        <f t="shared" si="14"/>
        <v>108.5877176238412</v>
      </c>
      <c r="G26" s="2">
        <f t="shared" si="23"/>
        <v>1.5968782003506059</v>
      </c>
      <c r="H26" s="62">
        <f t="shared" si="2"/>
        <v>4.683696863610094</v>
      </c>
      <c r="I26" s="62">
        <f t="shared" si="15"/>
        <v>29.220825660617848</v>
      </c>
      <c r="J26" s="62">
        <f t="shared" si="3"/>
        <v>114.39333945513161</v>
      </c>
      <c r="K26" s="62">
        <f t="shared" si="4"/>
        <v>12.583450223466091</v>
      </c>
      <c r="L26" s="62">
        <f t="shared" si="24"/>
        <v>101.80988923166552</v>
      </c>
      <c r="M26" s="62">
        <f t="shared" si="5"/>
        <v>538.2702718189455</v>
      </c>
      <c r="N26" s="62">
        <f t="shared" si="6"/>
        <v>395.37636509345282</v>
      </c>
      <c r="O26" s="62">
        <f t="shared" si="7"/>
        <v>10040.6523133507</v>
      </c>
      <c r="P26" s="62">
        <f t="shared" si="25"/>
        <v>142.89390672549268</v>
      </c>
      <c r="Q26" s="63">
        <f t="shared" si="26"/>
        <v>29735.255827273315</v>
      </c>
      <c r="R26" s="63">
        <f t="shared" si="27"/>
        <v>21255.608797410445</v>
      </c>
      <c r="S26" s="63">
        <f t="shared" si="28"/>
        <v>0.15361264812141648</v>
      </c>
      <c r="T26" s="63">
        <f t="shared" si="29"/>
        <v>137.03134170585705</v>
      </c>
      <c r="U26" s="63">
        <f t="shared" si="30"/>
        <v>1.4734552871597533</v>
      </c>
      <c r="V26" s="2">
        <f t="shared" si="31"/>
        <v>137.03134170585705</v>
      </c>
      <c r="W26" s="2">
        <f t="shared" si="32"/>
        <v>1.4734552871597533</v>
      </c>
      <c r="X26" s="63">
        <f t="shared" si="33"/>
        <v>15.200867087920729</v>
      </c>
      <c r="Y26" s="63">
        <f t="shared" si="34"/>
        <v>-136.39163878789117</v>
      </c>
      <c r="Z26" s="63">
        <f t="shared" si="35"/>
        <v>208.273514877026</v>
      </c>
      <c r="AA26" s="63">
        <f t="shared" si="36"/>
        <v>22.91041960838405</v>
      </c>
      <c r="AB26" s="63">
        <f t="shared" si="37"/>
        <v>185.36309526864196</v>
      </c>
      <c r="AC26" s="63">
        <f t="shared" si="38"/>
        <v>790.42383755531864</v>
      </c>
      <c r="AD26" s="63">
        <f t="shared" si="39"/>
        <v>687.65033127592585</v>
      </c>
      <c r="AE26" s="63">
        <f t="shared" si="40"/>
        <v>31263.367674553148</v>
      </c>
      <c r="AF26" s="63">
        <f t="shared" si="41"/>
        <v>102.77350627939279</v>
      </c>
      <c r="AG26" s="46">
        <v>0</v>
      </c>
      <c r="AH26" s="46">
        <f t="shared" si="8"/>
        <v>0</v>
      </c>
      <c r="AI26" s="46">
        <f t="shared" si="9"/>
        <v>0</v>
      </c>
      <c r="AJ26" s="2">
        <f t="shared" si="42"/>
        <v>0</v>
      </c>
      <c r="AK26" s="2">
        <f t="shared" si="16"/>
        <v>0</v>
      </c>
      <c r="AL26" s="64">
        <f t="shared" si="17"/>
        <v>27130.419873635252</v>
      </c>
      <c r="AM26" s="64">
        <f t="shared" si="18"/>
        <v>289.4515088797159</v>
      </c>
      <c r="AN26" s="64">
        <f t="shared" si="19"/>
        <v>3.7149283338341479</v>
      </c>
      <c r="AO26" s="64">
        <f t="shared" si="20"/>
        <v>0.10820144452459712</v>
      </c>
      <c r="AP26" s="2">
        <f t="shared" si="10"/>
        <v>245.61905932969825</v>
      </c>
      <c r="AQ26" s="2">
        <f t="shared" si="11"/>
        <v>3.0703334875103589</v>
      </c>
      <c r="AR26" s="3">
        <f t="shared" si="12"/>
        <v>3.2459412537597525</v>
      </c>
      <c r="AT26" s="28" t="s">
        <v>339</v>
      </c>
      <c r="AU26" s="28">
        <v>0</v>
      </c>
      <c r="AW26" s="24" t="s">
        <v>353</v>
      </c>
      <c r="AX26" s="26">
        <f>$AU$16*(AX25*$AU$23*$AU$17*12)/1000000000</f>
        <v>1.115414432965653</v>
      </c>
      <c r="AY26" s="26">
        <f t="shared" ref="AY26:AZ26" si="51">$AU$16*(AY25*$AU$23*$AU$17*12)/1000000000</f>
        <v>1.6092753630786054</v>
      </c>
      <c r="AZ26" s="26">
        <f t="shared" si="51"/>
        <v>0.49362529548222134</v>
      </c>
    </row>
    <row r="27" spans="1:52">
      <c r="A27" s="62">
        <f t="shared" si="21"/>
        <v>10040.6523133507</v>
      </c>
      <c r="B27" s="62">
        <f t="shared" si="13"/>
        <v>6434.1986750347814</v>
      </c>
      <c r="C27" s="62">
        <f t="shared" si="0"/>
        <v>0.66923092935560724</v>
      </c>
      <c r="D27" s="65">
        <f t="shared" si="1"/>
        <v>161.26836189600522</v>
      </c>
      <c r="E27" s="62">
        <f t="shared" si="22"/>
        <v>2.3715935572941942</v>
      </c>
      <c r="F27" s="2">
        <f t="shared" si="14"/>
        <v>114.28783943257579</v>
      </c>
      <c r="G27" s="2">
        <f t="shared" si="23"/>
        <v>1.6807035210672912</v>
      </c>
      <c r="H27" s="62">
        <f t="shared" si="2"/>
        <v>5.1328504512571884</v>
      </c>
      <c r="I27" s="62">
        <f t="shared" si="15"/>
        <v>29.870173565747308</v>
      </c>
      <c r="J27" s="62">
        <f t="shared" si="3"/>
        <v>120.39821720070651</v>
      </c>
      <c r="K27" s="62">
        <f t="shared" si="4"/>
        <v>13.24399637562278</v>
      </c>
      <c r="L27" s="62">
        <f t="shared" si="24"/>
        <v>107.15422082508373</v>
      </c>
      <c r="M27" s="62">
        <f t="shared" si="5"/>
        <v>565.64127769116601</v>
      </c>
      <c r="N27" s="62">
        <f t="shared" si="6"/>
        <v>414.45218841366113</v>
      </c>
      <c r="O27" s="62">
        <f t="shared" si="7"/>
        <v>10961.657176492168</v>
      </c>
      <c r="P27" s="62">
        <f t="shared" si="25"/>
        <v>151.18908927750488</v>
      </c>
      <c r="Q27" s="63">
        <f t="shared" si="26"/>
        <v>31263.367674553148</v>
      </c>
      <c r="R27" s="63">
        <f t="shared" si="27"/>
        <v>22334.022390638591</v>
      </c>
      <c r="S27" s="63">
        <f t="shared" si="28"/>
        <v>0.13951374341117928</v>
      </c>
      <c r="T27" s="63">
        <f t="shared" si="29"/>
        <v>130.85008367750893</v>
      </c>
      <c r="U27" s="63">
        <f t="shared" si="30"/>
        <v>1.4069901470699886</v>
      </c>
      <c r="V27" s="2">
        <f t="shared" si="31"/>
        <v>130.85008367750893</v>
      </c>
      <c r="W27" s="2">
        <f t="shared" si="32"/>
        <v>1.4069901470699886</v>
      </c>
      <c r="X27" s="63">
        <f t="shared" si="33"/>
        <v>15.982048363807799</v>
      </c>
      <c r="Y27" s="63">
        <f t="shared" si="34"/>
        <v>-147.89361174117983</v>
      </c>
      <c r="Z27" s="63">
        <f t="shared" si="35"/>
        <v>198.87863980757413</v>
      </c>
      <c r="AA27" s="63">
        <f t="shared" si="36"/>
        <v>21.87696833093009</v>
      </c>
      <c r="AB27" s="63">
        <f t="shared" si="37"/>
        <v>177.00167147664405</v>
      </c>
      <c r="AC27" s="63">
        <f t="shared" si="38"/>
        <v>737.11474564204048</v>
      </c>
      <c r="AD27" s="63">
        <f t="shared" si="39"/>
        <v>638.97718288390877</v>
      </c>
      <c r="AE27" s="63">
        <f t="shared" si="40"/>
        <v>32683.316969850723</v>
      </c>
      <c r="AF27" s="63">
        <f t="shared" si="41"/>
        <v>98.137562758131708</v>
      </c>
      <c r="AG27" s="46">
        <v>0</v>
      </c>
      <c r="AH27" s="46">
        <f t="shared" si="8"/>
        <v>0</v>
      </c>
      <c r="AI27" s="46">
        <f t="shared" si="9"/>
        <v>0</v>
      </c>
      <c r="AJ27" s="2">
        <f t="shared" si="42"/>
        <v>0</v>
      </c>
      <c r="AK27" s="2">
        <f t="shared" si="16"/>
        <v>0</v>
      </c>
      <c r="AL27" s="64">
        <f t="shared" si="17"/>
        <v>28768.221065673373</v>
      </c>
      <c r="AM27" s="64">
        <f t="shared" si="18"/>
        <v>292.11844557351412</v>
      </c>
      <c r="AN27" s="64">
        <f t="shared" si="19"/>
        <v>3.7785837043641828</v>
      </c>
      <c r="AO27" s="64">
        <f t="shared" si="20"/>
        <v>9.7504898118027095E-2</v>
      </c>
      <c r="AP27" s="2">
        <f t="shared" si="10"/>
        <v>245.13792311008473</v>
      </c>
      <c r="AQ27" s="2">
        <f t="shared" si="11"/>
        <v>3.0876936681372795</v>
      </c>
      <c r="AR27" s="3">
        <f t="shared" si="12"/>
        <v>3.2459412537597525</v>
      </c>
      <c r="AW27" s="24" t="s">
        <v>360</v>
      </c>
      <c r="AX27" s="26">
        <f>3.22-0.046*(AVERAGE($AU$15,AX17))</f>
        <v>2.3924251481000001</v>
      </c>
      <c r="AY27" s="26">
        <f t="shared" ref="AY27:AZ27" si="52">3.22-0.046*(AVERAGE($AU$15,AY17))</f>
        <v>2.3924251481000001</v>
      </c>
      <c r="AZ27" s="26">
        <f t="shared" si="52"/>
        <v>2.3924251481000001</v>
      </c>
    </row>
    <row r="28" spans="1:52">
      <c r="A28" s="62">
        <f t="shared" si="21"/>
        <v>10961.657176492168</v>
      </c>
      <c r="B28" s="62">
        <f t="shared" si="13"/>
        <v>7020.1318606226423</v>
      </c>
      <c r="C28" s="62">
        <f t="shared" si="0"/>
        <v>0.64502494593909776</v>
      </c>
      <c r="D28" s="65">
        <f t="shared" si="1"/>
        <v>169.69301586407479</v>
      </c>
      <c r="E28" s="62">
        <f t="shared" si="22"/>
        <v>2.4954855274128644</v>
      </c>
      <c r="F28" s="2">
        <f t="shared" si="14"/>
        <v>119.69011551574042</v>
      </c>
      <c r="G28" s="2">
        <f t="shared" si="23"/>
        <v>1.7601487575844179</v>
      </c>
      <c r="H28" s="62">
        <f t="shared" si="2"/>
        <v>5.6036744654599229</v>
      </c>
      <c r="I28" s="62">
        <f t="shared" si="15"/>
        <v>30.084443709902622</v>
      </c>
      <c r="J28" s="62">
        <f t="shared" si="3"/>
        <v>126.08932495519997</v>
      </c>
      <c r="K28" s="62">
        <f t="shared" si="4"/>
        <v>13.870027327128827</v>
      </c>
      <c r="L28" s="62">
        <f t="shared" si="24"/>
        <v>112.21929762807115</v>
      </c>
      <c r="M28" s="62">
        <f t="shared" si="5"/>
        <v>591.18093185025839</v>
      </c>
      <c r="N28" s="62">
        <f t="shared" si="6"/>
        <v>432.09372947768827</v>
      </c>
      <c r="O28" s="62">
        <f t="shared" si="7"/>
        <v>11921.865464220364</v>
      </c>
      <c r="P28" s="62">
        <f t="shared" si="25"/>
        <v>159.08720237257012</v>
      </c>
      <c r="Q28" s="63">
        <f t="shared" si="26"/>
        <v>32683.316969850723</v>
      </c>
      <c r="R28" s="63">
        <f t="shared" si="27"/>
        <v>23336.005132271523</v>
      </c>
      <c r="S28" s="63">
        <f t="shared" si="28"/>
        <v>0.12757524021521308</v>
      </c>
      <c r="T28" s="63">
        <f t="shared" si="29"/>
        <v>125.08746040375966</v>
      </c>
      <c r="U28" s="63">
        <f t="shared" si="30"/>
        <v>1.345026455954405</v>
      </c>
      <c r="V28" s="2">
        <f t="shared" si="31"/>
        <v>125.08746040375966</v>
      </c>
      <c r="W28" s="2">
        <f t="shared" si="32"/>
        <v>1.345026455954405</v>
      </c>
      <c r="X28" s="63">
        <f t="shared" si="33"/>
        <v>16.707936199943639</v>
      </c>
      <c r="Y28" s="63">
        <f t="shared" si="34"/>
        <v>-158.64702882288381</v>
      </c>
      <c r="Z28" s="63">
        <f t="shared" si="35"/>
        <v>190.1200464143036</v>
      </c>
      <c r="AA28" s="63">
        <f t="shared" si="36"/>
        <v>20.913509055095002</v>
      </c>
      <c r="AB28" s="63">
        <f t="shared" si="37"/>
        <v>169.2065373592086</v>
      </c>
      <c r="AC28" s="63">
        <f t="shared" si="38"/>
        <v>687.38565797315914</v>
      </c>
      <c r="AD28" s="63">
        <f t="shared" si="39"/>
        <v>593.57006267033933</v>
      </c>
      <c r="AE28" s="63">
        <f t="shared" si="40"/>
        <v>34002.361553562587</v>
      </c>
      <c r="AF28" s="63">
        <f t="shared" si="41"/>
        <v>93.815595302819816</v>
      </c>
      <c r="AG28" s="46">
        <v>0</v>
      </c>
      <c r="AH28" s="46">
        <f t="shared" si="8"/>
        <v>0</v>
      </c>
      <c r="AI28" s="46">
        <f t="shared" si="9"/>
        <v>0</v>
      </c>
      <c r="AJ28" s="2">
        <f t="shared" si="42"/>
        <v>0</v>
      </c>
      <c r="AK28" s="2">
        <f t="shared" si="16"/>
        <v>0</v>
      </c>
      <c r="AL28" s="64">
        <f t="shared" si="17"/>
        <v>30356.136992894164</v>
      </c>
      <c r="AM28" s="64">
        <f t="shared" si="18"/>
        <v>294.78047626783444</v>
      </c>
      <c r="AN28" s="64">
        <f t="shared" si="19"/>
        <v>3.8405119833672696</v>
      </c>
      <c r="AO28" s="64">
        <f t="shared" si="20"/>
        <v>8.6733572308421159E-2</v>
      </c>
      <c r="AP28" s="2">
        <f t="shared" si="10"/>
        <v>244.77757591950007</v>
      </c>
      <c r="AQ28" s="2">
        <f t="shared" si="11"/>
        <v>3.1051752135388231</v>
      </c>
      <c r="AR28" s="3">
        <f t="shared" si="12"/>
        <v>3.2459412537597525</v>
      </c>
      <c r="AW28" s="24" t="s">
        <v>15</v>
      </c>
      <c r="AX28" s="26">
        <f>POWER(AX27,($AU$15-AX17)/10)</f>
        <v>0.48402065027357977</v>
      </c>
      <c r="AY28" s="26">
        <f t="shared" ref="AY28:AZ28" si="53">POWER(AY27,($AU$15-AY17)/10)</f>
        <v>0.48402065027357977</v>
      </c>
      <c r="AZ28" s="26">
        <f t="shared" si="53"/>
        <v>0.48402065027357977</v>
      </c>
    </row>
    <row r="29" spans="1:52">
      <c r="A29" s="62">
        <f t="shared" si="21"/>
        <v>11921.865464220364</v>
      </c>
      <c r="B29" s="62">
        <f t="shared" si="13"/>
        <v>7630.4653579745691</v>
      </c>
      <c r="C29" s="62">
        <f t="shared" si="0"/>
        <v>0.62072035122062497</v>
      </c>
      <c r="D29" s="65">
        <f t="shared" si="1"/>
        <v>177.60346843574169</v>
      </c>
      <c r="E29" s="62">
        <f t="shared" si="22"/>
        <v>2.6118157122903192</v>
      </c>
      <c r="F29" s="2">
        <f t="shared" si="14"/>
        <v>124.71314749885046</v>
      </c>
      <c r="G29" s="2">
        <f t="shared" si="23"/>
        <v>1.834016874983095</v>
      </c>
      <c r="H29" s="62">
        <f t="shared" si="2"/>
        <v>6.0945395396755861</v>
      </c>
      <c r="I29" s="62">
        <f t="shared" si="15"/>
        <v>29.831811521980377</v>
      </c>
      <c r="J29" s="62">
        <f t="shared" si="3"/>
        <v>131.38091239539617</v>
      </c>
      <c r="K29" s="62">
        <f t="shared" si="4"/>
        <v>14.452110405339377</v>
      </c>
      <c r="L29" s="62">
        <f t="shared" si="24"/>
        <v>116.92880199005678</v>
      </c>
      <c r="M29" s="62">
        <f t="shared" si="5"/>
        <v>614.47582147226433</v>
      </c>
      <c r="N29" s="62">
        <f t="shared" si="6"/>
        <v>447.97256981375654</v>
      </c>
      <c r="O29" s="62">
        <f t="shared" si="7"/>
        <v>12917.360063806489</v>
      </c>
      <c r="P29" s="62">
        <f t="shared" si="25"/>
        <v>166.50325165850779</v>
      </c>
      <c r="Q29" s="63">
        <f t="shared" si="26"/>
        <v>34002.361553562587</v>
      </c>
      <c r="R29" s="63">
        <f t="shared" si="27"/>
        <v>24266.764163433196</v>
      </c>
      <c r="S29" s="63">
        <f t="shared" si="28"/>
        <v>0.11740230032452405</v>
      </c>
      <c r="T29" s="63">
        <f t="shared" si="29"/>
        <v>119.75866388563215</v>
      </c>
      <c r="U29" s="63">
        <f t="shared" si="30"/>
        <v>1.2877275686627112</v>
      </c>
      <c r="V29" s="2">
        <f t="shared" si="31"/>
        <v>119.75866388563215</v>
      </c>
      <c r="W29" s="2">
        <f t="shared" si="32"/>
        <v>1.2877275686627112</v>
      </c>
      <c r="X29" s="63">
        <f t="shared" si="33"/>
        <v>17.382240854207122</v>
      </c>
      <c r="Y29" s="63">
        <f t="shared" si="34"/>
        <v>-168.66269369620011</v>
      </c>
      <c r="Z29" s="63">
        <f t="shared" si="35"/>
        <v>182.02082497285261</v>
      </c>
      <c r="AA29" s="63">
        <f t="shared" si="36"/>
        <v>20.022581748113964</v>
      </c>
      <c r="AB29" s="63">
        <f t="shared" si="37"/>
        <v>161.99824322473864</v>
      </c>
      <c r="AC29" s="63">
        <f t="shared" si="38"/>
        <v>641.32852242749311</v>
      </c>
      <c r="AD29" s="63">
        <f t="shared" si="39"/>
        <v>551.50952451326896</v>
      </c>
      <c r="AE29" s="63">
        <f t="shared" si="40"/>
        <v>35227.938274703185</v>
      </c>
      <c r="AF29" s="63">
        <f t="shared" si="41"/>
        <v>89.818997914224155</v>
      </c>
      <c r="AG29" s="46">
        <v>0</v>
      </c>
      <c r="AH29" s="46">
        <f t="shared" si="8"/>
        <v>0</v>
      </c>
      <c r="AI29" s="46">
        <f t="shared" si="9"/>
        <v>0</v>
      </c>
      <c r="AJ29" s="2">
        <f t="shared" si="42"/>
        <v>0</v>
      </c>
      <c r="AK29" s="2">
        <f t="shared" si="16"/>
        <v>0</v>
      </c>
      <c r="AL29" s="64">
        <f t="shared" si="17"/>
        <v>31897.229521407764</v>
      </c>
      <c r="AM29" s="64">
        <f t="shared" si="18"/>
        <v>297.36213232137385</v>
      </c>
      <c r="AN29" s="64">
        <f t="shared" si="19"/>
        <v>3.8995432809530302</v>
      </c>
      <c r="AO29" s="64">
        <f t="shared" si="20"/>
        <v>7.6524373304717175E-2</v>
      </c>
      <c r="AP29" s="2">
        <f t="shared" si="10"/>
        <v>244.47181138448261</v>
      </c>
      <c r="AQ29" s="2">
        <f t="shared" si="11"/>
        <v>3.1217444436458059</v>
      </c>
      <c r="AR29" s="3">
        <f t="shared" si="12"/>
        <v>3.2459412537597525</v>
      </c>
      <c r="AW29" s="24" t="s">
        <v>356</v>
      </c>
      <c r="AX29" s="26">
        <f>AX23*AX28*$AU$16*3600*24*12/1000000000</f>
        <v>0.11588281344172305</v>
      </c>
      <c r="AY29" s="26">
        <f t="shared" ref="AY29:AZ29" si="54">AY23*AY28*$AU$16*3600*24*12/1000000000</f>
        <v>0.16719109163772278</v>
      </c>
      <c r="AZ29" s="26">
        <f t="shared" si="54"/>
        <v>5.1283797605515734E-2</v>
      </c>
    </row>
    <row r="30" spans="1:52">
      <c r="A30" s="62">
        <f t="shared" si="21"/>
        <v>12917.360063806489</v>
      </c>
      <c r="B30" s="62">
        <f t="shared" si="13"/>
        <v>8262.6499876969392</v>
      </c>
      <c r="C30" s="62">
        <f t="shared" si="0"/>
        <v>0.59648904531361457</v>
      </c>
      <c r="D30" s="65">
        <f t="shared" si="1"/>
        <v>184.92153053837146</v>
      </c>
      <c r="E30" s="62">
        <f t="shared" si="22"/>
        <v>2.7194342726231095</v>
      </c>
      <c r="F30" s="2">
        <f t="shared" si="14"/>
        <v>129.32055627864017</v>
      </c>
      <c r="G30" s="2">
        <f t="shared" si="23"/>
        <v>1.9017728864505907</v>
      </c>
      <c r="H30" s="62">
        <f t="shared" si="2"/>
        <v>6.6034432189629886</v>
      </c>
      <c r="I30" s="62">
        <f t="shared" si="15"/>
        <v>29.067682705563847</v>
      </c>
      <c r="J30" s="62">
        <f t="shared" si="3"/>
        <v>136.23465541613831</v>
      </c>
      <c r="K30" s="62">
        <f t="shared" si="4"/>
        <v>14.986029897417504</v>
      </c>
      <c r="L30" s="62">
        <f t="shared" si="24"/>
        <v>121.2486255187208</v>
      </c>
      <c r="M30" s="62">
        <f t="shared" si="5"/>
        <v>635.31081029916777</v>
      </c>
      <c r="N30" s="62">
        <f t="shared" si="6"/>
        <v>461.9468754194445</v>
      </c>
      <c r="O30" s="62">
        <f t="shared" si="7"/>
        <v>13943.9086758497</v>
      </c>
      <c r="P30" s="62">
        <f t="shared" si="25"/>
        <v>173.36393487972327</v>
      </c>
      <c r="Q30" s="63">
        <f t="shared" si="26"/>
        <v>35227.938274703185</v>
      </c>
      <c r="R30" s="63">
        <f t="shared" si="27"/>
        <v>25131.594838924895</v>
      </c>
      <c r="S30" s="63">
        <f t="shared" si="28"/>
        <v>0.1086786288058806</v>
      </c>
      <c r="T30" s="63">
        <f t="shared" si="29"/>
        <v>114.85572082058823</v>
      </c>
      <c r="U30" s="63">
        <f t="shared" si="30"/>
        <v>1.2350077507590131</v>
      </c>
      <c r="V30" s="2">
        <f t="shared" si="31"/>
        <v>114.85572082058823</v>
      </c>
      <c r="W30" s="2">
        <f t="shared" si="32"/>
        <v>1.2350077507590131</v>
      </c>
      <c r="X30" s="63">
        <f t="shared" si="33"/>
        <v>18.008764094912539</v>
      </c>
      <c r="Y30" s="63">
        <f t="shared" si="34"/>
        <v>-177.97124559399103</v>
      </c>
      <c r="Z30" s="63">
        <f t="shared" si="35"/>
        <v>174.56885688521191</v>
      </c>
      <c r="AA30" s="63">
        <f t="shared" si="36"/>
        <v>19.20285334483167</v>
      </c>
      <c r="AB30" s="63">
        <f t="shared" si="37"/>
        <v>155.36600354038023</v>
      </c>
      <c r="AC30" s="63">
        <f t="shared" si="38"/>
        <v>598.85877210791011</v>
      </c>
      <c r="AD30" s="63">
        <f t="shared" si="39"/>
        <v>512.7169814924689</v>
      </c>
      <c r="AE30" s="63">
        <f t="shared" si="40"/>
        <v>36367.309344686451</v>
      </c>
      <c r="AF30" s="63">
        <f t="shared" si="41"/>
        <v>86.141790615441209</v>
      </c>
      <c r="AG30" s="46">
        <v>0</v>
      </c>
      <c r="AH30" s="46">
        <f t="shared" si="8"/>
        <v>0</v>
      </c>
      <c r="AI30" s="46">
        <f t="shared" si="9"/>
        <v>0</v>
      </c>
      <c r="AJ30" s="2">
        <f t="shared" si="42"/>
        <v>0</v>
      </c>
      <c r="AK30" s="2">
        <f t="shared" si="16"/>
        <v>0</v>
      </c>
      <c r="AL30" s="64">
        <f t="shared" si="17"/>
        <v>33394.244826621834</v>
      </c>
      <c r="AM30" s="64">
        <f t="shared" si="18"/>
        <v>299.77725135895969</v>
      </c>
      <c r="AN30" s="64">
        <f t="shared" si="19"/>
        <v>3.9544420233821227</v>
      </c>
      <c r="AO30" s="64">
        <f t="shared" si="20"/>
        <v>6.7259761046943423E-2</v>
      </c>
      <c r="AP30" s="2">
        <f t="shared" si="10"/>
        <v>244.1762770992284</v>
      </c>
      <c r="AQ30" s="2">
        <f t="shared" si="11"/>
        <v>3.1367806372096041</v>
      </c>
      <c r="AR30" s="3">
        <f t="shared" si="12"/>
        <v>3.2459412537597525</v>
      </c>
      <c r="AW30" s="24" t="s">
        <v>367</v>
      </c>
      <c r="AX30" s="26">
        <f>AX18*AX33</f>
        <v>1.136015268745088E-3</v>
      </c>
      <c r="AY30" s="26">
        <f t="shared" ref="AY30:AZ30" si="55">AY18*AY33</f>
        <v>1.136015268745088E-3</v>
      </c>
      <c r="AZ30" s="26">
        <f t="shared" si="55"/>
        <v>1.136015268745088E-3</v>
      </c>
    </row>
    <row r="31" spans="1:52">
      <c r="A31" s="62">
        <f t="shared" si="21"/>
        <v>13943.9086758497</v>
      </c>
      <c r="B31" s="62">
        <f t="shared" si="13"/>
        <v>8913.9830220639524</v>
      </c>
      <c r="C31" s="62">
        <f t="shared" si="0"/>
        <v>0.57249209756210007</v>
      </c>
      <c r="D31" s="65">
        <f t="shared" si="1"/>
        <v>191.58666062523744</v>
      </c>
      <c r="E31" s="62">
        <f t="shared" si="22"/>
        <v>2.8174508915476095</v>
      </c>
      <c r="F31" s="2">
        <f t="shared" si="14"/>
        <v>133.50855957831635</v>
      </c>
      <c r="G31" s="2">
        <f t="shared" si="23"/>
        <v>1.9633611702693581</v>
      </c>
      <c r="H31" s="62">
        <f t="shared" si="2"/>
        <v>7.1282219227885628</v>
      </c>
      <c r="I31" s="62">
        <f t="shared" si="15"/>
        <v>27.746419996018155</v>
      </c>
      <c r="J31" s="62">
        <f t="shared" si="3"/>
        <v>140.64656952191822</v>
      </c>
      <c r="K31" s="62">
        <f t="shared" si="4"/>
        <v>15.4713475024872</v>
      </c>
      <c r="L31" s="62">
        <f t="shared" si="24"/>
        <v>125.17522201943102</v>
      </c>
      <c r="M31" s="62">
        <f t="shared" si="5"/>
        <v>653.62253009317328</v>
      </c>
      <c r="N31" s="62">
        <f t="shared" si="6"/>
        <v>474.01003575701316</v>
      </c>
      <c r="O31" s="62">
        <f t="shared" si="7"/>
        <v>14997.264310865285</v>
      </c>
      <c r="P31" s="62">
        <f t="shared" si="25"/>
        <v>179.61249433616013</v>
      </c>
      <c r="Q31" s="63">
        <f t="shared" si="26"/>
        <v>36367.309344686451</v>
      </c>
      <c r="R31" s="63">
        <f t="shared" si="27"/>
        <v>25935.645355547967</v>
      </c>
      <c r="S31" s="63">
        <f t="shared" si="28"/>
        <v>0.10115103443125409</v>
      </c>
      <c r="T31" s="63">
        <f t="shared" si="29"/>
        <v>110.35772879089343</v>
      </c>
      <c r="U31" s="63">
        <f t="shared" si="30"/>
        <v>1.1866422450633702</v>
      </c>
      <c r="V31" s="2">
        <f t="shared" si="31"/>
        <v>110.35772879089343</v>
      </c>
      <c r="W31" s="2">
        <f t="shared" si="32"/>
        <v>1.1866422450633702</v>
      </c>
      <c r="X31" s="63">
        <f t="shared" si="33"/>
        <v>18.59121841443288</v>
      </c>
      <c r="Y31" s="63">
        <f t="shared" si="34"/>
        <v>-186.6138083136554</v>
      </c>
      <c r="Z31" s="63">
        <f t="shared" si="35"/>
        <v>167.73237263094336</v>
      </c>
      <c r="AA31" s="63">
        <f t="shared" si="36"/>
        <v>18.45082914720922</v>
      </c>
      <c r="AB31" s="63">
        <f t="shared" si="37"/>
        <v>149.28154348373414</v>
      </c>
      <c r="AC31" s="63">
        <f t="shared" si="38"/>
        <v>559.79390910501525</v>
      </c>
      <c r="AD31" s="63">
        <f t="shared" si="39"/>
        <v>477.02561251184517</v>
      </c>
      <c r="AE31" s="63">
        <f t="shared" si="40"/>
        <v>37427.366261379444</v>
      </c>
      <c r="AF31" s="63">
        <f t="shared" si="41"/>
        <v>82.768296593170078</v>
      </c>
      <c r="AG31" s="46">
        <v>0</v>
      </c>
      <c r="AH31" s="46">
        <f t="shared" si="8"/>
        <v>0</v>
      </c>
      <c r="AI31" s="46">
        <f t="shared" si="9"/>
        <v>0</v>
      </c>
      <c r="AJ31" s="2">
        <f t="shared" si="42"/>
        <v>0</v>
      </c>
      <c r="AK31" s="2">
        <f t="shared" si="16"/>
        <v>0</v>
      </c>
      <c r="AL31" s="64">
        <f t="shared" si="17"/>
        <v>34849.628377611923</v>
      </c>
      <c r="AM31" s="64">
        <f t="shared" si="18"/>
        <v>301.94438941613089</v>
      </c>
      <c r="AN31" s="64">
        <f t="shared" si="19"/>
        <v>4.0040931366109795</v>
      </c>
      <c r="AO31" s="64">
        <f t="shared" si="20"/>
        <v>5.9112492141316642E-2</v>
      </c>
      <c r="AP31" s="2">
        <f t="shared" si="10"/>
        <v>243.86628836920977</v>
      </c>
      <c r="AQ31" s="2">
        <f t="shared" si="11"/>
        <v>3.1500034153327281</v>
      </c>
      <c r="AR31" s="3">
        <f t="shared" si="12"/>
        <v>3.2459412537597525</v>
      </c>
      <c r="AW31" s="24" t="s">
        <v>368</v>
      </c>
      <c r="AX31" s="26">
        <f>POWER($AU$14,($AU$19-AX17)/10)</f>
        <v>0.71917652749025207</v>
      </c>
      <c r="AY31" s="26">
        <f t="shared" ref="AY31:AZ31" si="56">POWER($AU$14,($AU$19-AY17)/10)</f>
        <v>0.71917652749025207</v>
      </c>
      <c r="AZ31" s="26">
        <f t="shared" si="56"/>
        <v>0.71917652749025207</v>
      </c>
    </row>
    <row r="32" spans="1:52">
      <c r="A32" s="62">
        <f t="shared" si="21"/>
        <v>14997.264310865285</v>
      </c>
      <c r="B32" s="62">
        <f t="shared" si="13"/>
        <v>9581.785075423446</v>
      </c>
      <c r="C32" s="62">
        <f t="shared" si="0"/>
        <v>0.54887169450118378</v>
      </c>
      <c r="D32" s="65">
        <f t="shared" si="1"/>
        <v>197.55777300448219</v>
      </c>
      <c r="E32" s="62">
        <f t="shared" si="22"/>
        <v>2.9052613677129733</v>
      </c>
      <c r="F32" s="2">
        <f t="shared" si="14"/>
        <v>137.29466820362808</v>
      </c>
      <c r="G32" s="2">
        <f t="shared" si="23"/>
        <v>2.0190392382886482</v>
      </c>
      <c r="H32" s="62">
        <f t="shared" si="2"/>
        <v>7.6667045609469344</v>
      </c>
      <c r="I32" s="62">
        <f t="shared" si="15"/>
        <v>25.829438913164267</v>
      </c>
      <c r="J32" s="62">
        <f t="shared" si="3"/>
        <v>144.63510173040984</v>
      </c>
      <c r="K32" s="62">
        <f t="shared" si="4"/>
        <v>15.910092421984297</v>
      </c>
      <c r="L32" s="62">
        <f t="shared" si="24"/>
        <v>128.72500930842554</v>
      </c>
      <c r="M32" s="62">
        <f t="shared" si="5"/>
        <v>669.454485455292</v>
      </c>
      <c r="N32" s="62">
        <f t="shared" si="6"/>
        <v>484.24407326358994</v>
      </c>
      <c r="O32" s="62">
        <f t="shared" si="7"/>
        <v>16073.362251451041</v>
      </c>
      <c r="P32" s="62">
        <f t="shared" si="25"/>
        <v>185.21041219170206</v>
      </c>
      <c r="Q32" s="63">
        <f t="shared" si="26"/>
        <v>37427.366261379444</v>
      </c>
      <c r="R32" s="63">
        <f t="shared" si="27"/>
        <v>26683.787774370296</v>
      </c>
      <c r="S32" s="63">
        <f t="shared" si="28"/>
        <v>9.4616436139741272E-2</v>
      </c>
      <c r="T32" s="63">
        <f t="shared" si="29"/>
        <v>106.23732029245546</v>
      </c>
      <c r="U32" s="63">
        <f t="shared" si="30"/>
        <v>1.1423367773382309</v>
      </c>
      <c r="V32" s="2">
        <f t="shared" si="31"/>
        <v>106.23732029245546</v>
      </c>
      <c r="W32" s="2">
        <f t="shared" si="32"/>
        <v>1.1423367773382309</v>
      </c>
      <c r="X32" s="63">
        <f t="shared" si="33"/>
        <v>19.133126793828815</v>
      </c>
      <c r="Y32" s="63">
        <f t="shared" si="34"/>
        <v>-194.63601906438066</v>
      </c>
      <c r="Z32" s="63">
        <f t="shared" si="35"/>
        <v>161.46977642473425</v>
      </c>
      <c r="AA32" s="63">
        <f t="shared" si="36"/>
        <v>17.761933552362027</v>
      </c>
      <c r="AB32" s="63">
        <f t="shared" si="37"/>
        <v>143.70784287237223</v>
      </c>
      <c r="AC32" s="63">
        <f t="shared" si="38"/>
        <v>523.90319529748047</v>
      </c>
      <c r="AD32" s="63">
        <f t="shared" si="39"/>
        <v>444.22520507813886</v>
      </c>
      <c r="AE32" s="63">
        <f t="shared" si="40"/>
        <v>38414.533383775306</v>
      </c>
      <c r="AF32" s="63">
        <f t="shared" si="41"/>
        <v>79.677990219341609</v>
      </c>
      <c r="AG32" s="46">
        <v>0</v>
      </c>
      <c r="AH32" s="46">
        <f t="shared" si="8"/>
        <v>0</v>
      </c>
      <c r="AI32" s="46">
        <f t="shared" si="9"/>
        <v>0</v>
      </c>
      <c r="AJ32" s="2">
        <f t="shared" si="42"/>
        <v>0</v>
      </c>
      <c r="AK32" s="2">
        <f t="shared" si="16"/>
        <v>0</v>
      </c>
      <c r="AL32" s="64">
        <f t="shared" si="17"/>
        <v>36265.572849793738</v>
      </c>
      <c r="AM32" s="64">
        <f t="shared" si="18"/>
        <v>303.79509329693764</v>
      </c>
      <c r="AN32" s="64">
        <f t="shared" si="19"/>
        <v>4.0475981450512037</v>
      </c>
      <c r="AO32" s="64">
        <f t="shared" si="20"/>
        <v>5.2105217883978705E-2</v>
      </c>
      <c r="AP32" s="2">
        <f t="shared" si="10"/>
        <v>243.53198849608356</v>
      </c>
      <c r="AQ32" s="2">
        <f t="shared" si="11"/>
        <v>3.1613760156268791</v>
      </c>
      <c r="AR32" s="3">
        <f t="shared" si="12"/>
        <v>3.2459412537597525</v>
      </c>
      <c r="AW32" s="24" t="s">
        <v>369</v>
      </c>
      <c r="AX32" s="26">
        <f>POWER($AU$14,($AU$21-AX17)/10)</f>
        <v>0.34284271521670917</v>
      </c>
      <c r="AY32" s="26">
        <f t="shared" ref="AY32:AZ32" si="57">POWER($AU$14,($AU$21-AY17)/10)</f>
        <v>0.34284271521670917</v>
      </c>
      <c r="AZ32" s="26">
        <f t="shared" si="57"/>
        <v>0.34284271521670917</v>
      </c>
    </row>
    <row r="33" spans="1:53">
      <c r="A33" s="62">
        <f t="shared" si="21"/>
        <v>16073.362251451041</v>
      </c>
      <c r="B33" s="62">
        <f t="shared" si="13"/>
        <v>10263.512886617784</v>
      </c>
      <c r="C33" s="62">
        <f t="shared" si="0"/>
        <v>0.52574735776657067</v>
      </c>
      <c r="D33" s="65">
        <f t="shared" si="1"/>
        <v>202.81266561900776</v>
      </c>
      <c r="E33" s="62">
        <f t="shared" si="22"/>
        <v>2.9825392002795259</v>
      </c>
      <c r="F33" s="2">
        <f t="shared" si="14"/>
        <v>140.70849773427838</v>
      </c>
      <c r="G33" s="2">
        <f t="shared" si="23"/>
        <v>2.0692426137393878</v>
      </c>
      <c r="H33" s="62">
        <f t="shared" si="2"/>
        <v>8.2168132219736876</v>
      </c>
      <c r="I33" s="62">
        <f t="shared" si="15"/>
        <v>23.289829547592539</v>
      </c>
      <c r="J33" s="62">
        <f t="shared" si="3"/>
        <v>148.23145101269637</v>
      </c>
      <c r="K33" s="62">
        <f t="shared" si="4"/>
        <v>16.305696592606491</v>
      </c>
      <c r="L33" s="62">
        <f t="shared" si="24"/>
        <v>131.92575442008987</v>
      </c>
      <c r="M33" s="62">
        <f t="shared" si="5"/>
        <v>682.91860164804189</v>
      </c>
      <c r="N33" s="62">
        <f t="shared" si="6"/>
        <v>492.78172763022212</v>
      </c>
      <c r="O33" s="62">
        <f t="shared" si="7"/>
        <v>17168.432757295977</v>
      </c>
      <c r="P33" s="62">
        <f t="shared" si="25"/>
        <v>190.13687401781976</v>
      </c>
      <c r="Q33" s="63">
        <f t="shared" si="26"/>
        <v>38414.533383775306</v>
      </c>
      <c r="R33" s="63">
        <f t="shared" si="27"/>
        <v>27380.556022772918</v>
      </c>
      <c r="S33" s="63">
        <f t="shared" si="28"/>
        <v>8.8911338431984552E-2</v>
      </c>
      <c r="T33" s="63">
        <f t="shared" si="29"/>
        <v>102.46462735174843</v>
      </c>
      <c r="U33" s="63">
        <f t="shared" si="30"/>
        <v>1.1017701865779401</v>
      </c>
      <c r="V33" s="2">
        <f t="shared" si="31"/>
        <v>102.46462735174843</v>
      </c>
      <c r="W33" s="2">
        <f t="shared" si="32"/>
        <v>1.1017701865779401</v>
      </c>
      <c r="X33" s="63">
        <f t="shared" si="33"/>
        <v>19.637773409558999</v>
      </c>
      <c r="Y33" s="63">
        <f t="shared" si="34"/>
        <v>-202.08437300365316</v>
      </c>
      <c r="Z33" s="63">
        <f t="shared" si="35"/>
        <v>155.73567202546883</v>
      </c>
      <c r="AA33" s="63">
        <f t="shared" si="36"/>
        <v>17.131172901191288</v>
      </c>
      <c r="AB33" s="63">
        <f t="shared" si="37"/>
        <v>138.60449912427754</v>
      </c>
      <c r="AC33" s="63">
        <f t="shared" si="38"/>
        <v>490.93812261773451</v>
      </c>
      <c r="AD33" s="63">
        <f t="shared" si="39"/>
        <v>414.08965210392319</v>
      </c>
      <c r="AE33" s="63">
        <f t="shared" si="40"/>
        <v>39334.732610672916</v>
      </c>
      <c r="AF33" s="63">
        <f t="shared" si="41"/>
        <v>76.848470513811321</v>
      </c>
      <c r="AG33" s="46">
        <v>0</v>
      </c>
      <c r="AH33" s="46">
        <f t="shared" si="8"/>
        <v>0</v>
      </c>
      <c r="AI33" s="46">
        <f t="shared" si="9"/>
        <v>0</v>
      </c>
      <c r="AJ33" s="2">
        <f t="shared" si="42"/>
        <v>0</v>
      </c>
      <c r="AK33" s="2">
        <f t="shared" si="16"/>
        <v>0</v>
      </c>
      <c r="AL33" s="64">
        <f t="shared" si="17"/>
        <v>37644.068909390699</v>
      </c>
      <c r="AM33" s="64">
        <f t="shared" si="18"/>
        <v>305.27729297075621</v>
      </c>
      <c r="AN33" s="64">
        <f t="shared" si="19"/>
        <v>4.0843093868574663</v>
      </c>
      <c r="AO33" s="64">
        <f t="shared" si="20"/>
        <v>4.6167473521361635E-2</v>
      </c>
      <c r="AP33" s="2">
        <f t="shared" si="10"/>
        <v>243.1731250860268</v>
      </c>
      <c r="AQ33" s="2">
        <f t="shared" si="11"/>
        <v>3.1710128003173281</v>
      </c>
      <c r="AR33" s="3">
        <f t="shared" si="12"/>
        <v>3.2459412537597525</v>
      </c>
      <c r="AW33" s="24" t="s">
        <v>371</v>
      </c>
      <c r="AX33" s="26">
        <f>(AX31*$AU$17+AX32*$AU$18)/($AU$17+$AU$18)</f>
        <v>0.56800763437254398</v>
      </c>
      <c r="AY33" s="26">
        <f t="shared" ref="AY33:AZ33" si="58">(AY31*$AU$17+AY32*$AU$18)/($AU$17+$AU$18)</f>
        <v>0.56800763437254398</v>
      </c>
      <c r="AZ33" s="26">
        <f t="shared" si="58"/>
        <v>0.56800763437254398</v>
      </c>
    </row>
    <row r="34" spans="1:53">
      <c r="AW34" s="24" t="s">
        <v>330</v>
      </c>
      <c r="AX34" s="26">
        <f>1.5234*(AX4^-0.959)</f>
        <v>25144.234571270994</v>
      </c>
      <c r="AY34" s="26">
        <f t="shared" ref="AY34:AZ34" si="59">1.5234*(AY4^-0.959)</f>
        <v>16264.711502566108</v>
      </c>
      <c r="AZ34" s="26">
        <f t="shared" si="59"/>
        <v>22947.893966599444</v>
      </c>
      <c r="BA34" s="24" t="s">
        <v>335</v>
      </c>
    </row>
    <row r="35" spans="1:53">
      <c r="AW35" s="24" t="s">
        <v>342</v>
      </c>
      <c r="AX35" s="26">
        <f>(AX34*AX3*EXP(-AX4*AX34))/AX6</f>
        <v>3.2459412537597525</v>
      </c>
      <c r="AY35" s="26">
        <f t="shared" ref="AY35:AZ35" si="60">(AY34*AY3*EXP(-AY4*AY34))/AY6</f>
        <v>1.8830991173732523</v>
      </c>
      <c r="AZ35" s="26">
        <f t="shared" si="60"/>
        <v>3.5202126302884333</v>
      </c>
      <c r="BA35" s="26">
        <f>MAX(AX35:AZ35)</f>
        <v>3.5202126302884333</v>
      </c>
    </row>
    <row r="36" spans="1:53">
      <c r="AX36" s="24" t="s">
        <v>332</v>
      </c>
      <c r="AY36" s="24" t="s">
        <v>333</v>
      </c>
      <c r="AZ36" s="24" t="s">
        <v>334</v>
      </c>
    </row>
    <row r="40" spans="1:53">
      <c r="AU40" s="24" t="s">
        <v>307</v>
      </c>
      <c r="AV40" s="24" t="s">
        <v>321</v>
      </c>
    </row>
    <row r="41" spans="1:53">
      <c r="AU41" s="24">
        <v>0</v>
      </c>
      <c r="AV41" s="24">
        <f t="shared" ref="AV41:AV53" si="61">IF(AU41&lt;($AU$3/2),1,1-(((AU41-($AU$3/2))/($AU$3/2))^$AU$4))</f>
        <v>1</v>
      </c>
    </row>
    <row r="42" spans="1:53">
      <c r="AU42" s="24">
        <f>AU41+0.5</f>
        <v>0.5</v>
      </c>
      <c r="AV42" s="24">
        <f t="shared" si="61"/>
        <v>1</v>
      </c>
    </row>
    <row r="43" spans="1:53">
      <c r="AU43" s="24">
        <f t="shared" ref="AU43:AU53" si="62">AU42+0.5</f>
        <v>1</v>
      </c>
      <c r="AV43" s="24">
        <f t="shared" si="61"/>
        <v>1</v>
      </c>
    </row>
    <row r="44" spans="1:53">
      <c r="AU44" s="24">
        <f t="shared" si="62"/>
        <v>1.5</v>
      </c>
      <c r="AV44" s="24">
        <f t="shared" si="61"/>
        <v>1</v>
      </c>
    </row>
    <row r="45" spans="1:53">
      <c r="AU45" s="24">
        <f t="shared" si="62"/>
        <v>2</v>
      </c>
      <c r="AV45" s="24">
        <f t="shared" si="61"/>
        <v>0.86370500304913267</v>
      </c>
    </row>
    <row r="46" spans="1:53">
      <c r="AU46" s="24">
        <f t="shared" si="62"/>
        <v>2.5</v>
      </c>
      <c r="AV46" s="24">
        <f t="shared" si="61"/>
        <v>0.57963125381141589</v>
      </c>
    </row>
    <row r="47" spans="1:53">
      <c r="AU47" s="24">
        <f t="shared" si="62"/>
        <v>3</v>
      </c>
      <c r="AV47" s="24">
        <f t="shared" si="61"/>
        <v>0.295557504573699</v>
      </c>
    </row>
    <row r="48" spans="1:53">
      <c r="AU48" s="24">
        <f t="shared" si="62"/>
        <v>3.5</v>
      </c>
      <c r="AV48" s="24">
        <f t="shared" si="61"/>
        <v>1.1483755335982226E-2</v>
      </c>
    </row>
    <row r="49" spans="47:48">
      <c r="AU49" s="24">
        <f t="shared" si="62"/>
        <v>4</v>
      </c>
      <c r="AV49" s="24">
        <f t="shared" si="61"/>
        <v>-0.27258999390173444</v>
      </c>
    </row>
    <row r="50" spans="47:48">
      <c r="AU50" s="24">
        <f t="shared" si="62"/>
        <v>4.5</v>
      </c>
      <c r="AV50" s="24">
        <f t="shared" si="61"/>
        <v>-0.55666374313945144</v>
      </c>
    </row>
    <row r="51" spans="47:48">
      <c r="AU51" s="24">
        <f t="shared" si="62"/>
        <v>5</v>
      </c>
      <c r="AV51" s="24">
        <f t="shared" si="61"/>
        <v>-0.84073749237716822</v>
      </c>
    </row>
    <row r="52" spans="47:48">
      <c r="AU52" s="24">
        <f t="shared" si="62"/>
        <v>5.5</v>
      </c>
      <c r="AV52" s="24">
        <f t="shared" si="61"/>
        <v>-1.1248112416148852</v>
      </c>
    </row>
    <row r="53" spans="47:48">
      <c r="AU53" s="24">
        <f t="shared" si="62"/>
        <v>6</v>
      </c>
      <c r="AV53" s="24">
        <f t="shared" si="61"/>
        <v>-1.4088849908526018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9"/>
  <sheetViews>
    <sheetView workbookViewId="0">
      <selection activeCell="A2" sqref="A2"/>
    </sheetView>
  </sheetViews>
  <sheetFormatPr defaultRowHeight="14.4"/>
  <sheetData>
    <row r="1" spans="1:10">
      <c r="A1" t="s">
        <v>8</v>
      </c>
      <c r="B1" t="s">
        <v>279</v>
      </c>
      <c r="C1" s="24" t="s">
        <v>280</v>
      </c>
      <c r="D1" s="28" t="s">
        <v>178</v>
      </c>
      <c r="E1" s="28">
        <v>-46</v>
      </c>
      <c r="F1" s="28">
        <v>5.3</v>
      </c>
      <c r="H1" s="26" t="s">
        <v>86</v>
      </c>
      <c r="I1" s="26"/>
      <c r="J1" s="26"/>
    </row>
    <row r="2" spans="1:10">
      <c r="A2">
        <v>0</v>
      </c>
      <c r="B2" s="24">
        <f>A2*$E$2+$E$1</f>
        <v>-46</v>
      </c>
      <c r="C2" s="24">
        <f>A2*$F$2+$F$1</f>
        <v>5.3</v>
      </c>
      <c r="D2" s="28" t="s">
        <v>179</v>
      </c>
      <c r="E2" s="28">
        <v>71.900000000000006</v>
      </c>
      <c r="F2" s="28">
        <v>21.5</v>
      </c>
      <c r="H2" s="28" t="s">
        <v>298</v>
      </c>
      <c r="I2" s="28"/>
      <c r="J2" s="28"/>
    </row>
    <row r="3" spans="1:10">
      <c r="A3">
        <v>0.5</v>
      </c>
      <c r="B3" s="24">
        <f t="shared" ref="B3:B9" si="0">A3*$E$2+$E$1</f>
        <v>-10.049999999999997</v>
      </c>
      <c r="C3" s="24">
        <f t="shared" ref="C3:C9" si="1">A3*$F$2+$F$1</f>
        <v>16.05</v>
      </c>
      <c r="E3" t="s">
        <v>226</v>
      </c>
      <c r="F3" t="s">
        <v>227</v>
      </c>
    </row>
    <row r="4" spans="1:10">
      <c r="A4">
        <v>1</v>
      </c>
      <c r="B4" s="24">
        <f t="shared" si="0"/>
        <v>25.900000000000006</v>
      </c>
      <c r="C4" s="24">
        <f t="shared" si="1"/>
        <v>26.8</v>
      </c>
      <c r="D4" s="26" t="s">
        <v>178</v>
      </c>
      <c r="E4" s="26">
        <v>-46</v>
      </c>
      <c r="F4" s="26">
        <v>5.3</v>
      </c>
      <c r="G4" s="24" t="s">
        <v>250</v>
      </c>
    </row>
    <row r="5" spans="1:10">
      <c r="A5">
        <v>1.5</v>
      </c>
      <c r="B5" s="24">
        <f t="shared" si="0"/>
        <v>61.850000000000009</v>
      </c>
      <c r="C5" s="24">
        <f t="shared" si="1"/>
        <v>37.549999999999997</v>
      </c>
      <c r="D5" s="26" t="s">
        <v>179</v>
      </c>
      <c r="E5" s="26">
        <v>71.900000000000006</v>
      </c>
      <c r="F5" s="26">
        <v>21.5</v>
      </c>
      <c r="G5" s="24"/>
    </row>
    <row r="6" spans="1:10">
      <c r="A6">
        <v>2</v>
      </c>
      <c r="B6" s="24">
        <f t="shared" si="0"/>
        <v>97.800000000000011</v>
      </c>
      <c r="C6" s="24">
        <f t="shared" si="1"/>
        <v>48.3</v>
      </c>
    </row>
    <row r="7" spans="1:10">
      <c r="A7">
        <v>2.5</v>
      </c>
      <c r="B7" s="24">
        <f t="shared" si="0"/>
        <v>133.75</v>
      </c>
      <c r="C7" s="24">
        <f t="shared" si="1"/>
        <v>59.05</v>
      </c>
    </row>
    <row r="8" spans="1:10">
      <c r="A8">
        <v>3</v>
      </c>
      <c r="B8" s="24">
        <f t="shared" si="0"/>
        <v>169.70000000000002</v>
      </c>
      <c r="C8" s="24">
        <f t="shared" si="1"/>
        <v>69.8</v>
      </c>
    </row>
    <row r="9" spans="1:10">
      <c r="A9">
        <v>3.5</v>
      </c>
      <c r="B9" s="24">
        <f t="shared" si="0"/>
        <v>205.65000000000003</v>
      </c>
      <c r="C9" s="24">
        <f t="shared" si="1"/>
        <v>80.55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D20"/>
  <sheetViews>
    <sheetView workbookViewId="0">
      <selection activeCell="AA15" sqref="AA15"/>
    </sheetView>
  </sheetViews>
  <sheetFormatPr defaultRowHeight="14.4"/>
  <cols>
    <col min="6" max="7" width="0" hidden="1" customWidth="1"/>
    <col min="10" max="10" width="9.109375" style="24"/>
    <col min="12" max="12" width="9.109375" style="24"/>
    <col min="15" max="15" width="9.109375" style="24"/>
    <col min="19" max="19" width="12.6640625" bestFit="1" customWidth="1"/>
    <col min="26" max="26" width="6.88671875" customWidth="1"/>
    <col min="27" max="27" width="11.664062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26</v>
      </c>
      <c r="G1" t="s">
        <v>27</v>
      </c>
      <c r="H1" t="s">
        <v>28</v>
      </c>
      <c r="I1" t="s">
        <v>9</v>
      </c>
      <c r="J1" s="24" t="s">
        <v>251</v>
      </c>
      <c r="K1" t="s">
        <v>4</v>
      </c>
      <c r="L1" s="24" t="s">
        <v>34</v>
      </c>
      <c r="M1" s="4" t="s">
        <v>31</v>
      </c>
      <c r="N1" t="s">
        <v>60</v>
      </c>
      <c r="O1" s="24" t="s">
        <v>148</v>
      </c>
      <c r="P1" t="s">
        <v>146</v>
      </c>
      <c r="Q1" s="24" t="s">
        <v>147</v>
      </c>
      <c r="R1" t="s">
        <v>15</v>
      </c>
      <c r="S1" t="s">
        <v>12</v>
      </c>
      <c r="T1" t="s">
        <v>149</v>
      </c>
      <c r="U1" s="24" t="s">
        <v>150</v>
      </c>
      <c r="V1" t="s">
        <v>23</v>
      </c>
      <c r="W1" t="s">
        <v>22</v>
      </c>
      <c r="X1" t="s">
        <v>33</v>
      </c>
      <c r="Y1" t="s">
        <v>25</v>
      </c>
      <c r="AA1" s="28" t="s">
        <v>1</v>
      </c>
      <c r="AB1" s="28">
        <v>4.5</v>
      </c>
    </row>
    <row r="2" spans="1:30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AB$2)/2</f>
        <v>12.5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AB$8 * H2^ AB$9)</f>
        <v>0.99116670419529562</v>
      </c>
      <c r="J2" s="24">
        <f>MAX(0,(($AB$2+($AB$2-$AB$1)) - D2) * (D2 - $AB$1) / (((($AB$2+($AB$2-$AB$1)) - $AB$1) / 2)*(($AB$2+($AB$2-$AB$1)) - $AB$1) / 2))</f>
        <v>0</v>
      </c>
      <c r="K2">
        <f>MAX(0,IF(D2&lt;$AB$2,((($AB$19-D2)*(D2-$AB$1))/(($AB$19-$AB$1)/2)^2),($AB$3-D2)*(D2-($AB$2+($AB$2-$AB$3)))/((($AB$3-($AB$2+($AB$2-$AB$3)))/2)^2)))</f>
        <v>0</v>
      </c>
      <c r="L2" s="24">
        <f>IF(D2&gt;AB$2,1,MAX(0,((($AB$2+($AB$2-$AB$1))-D2)*(D2-AB$1))/(((($AB$2+($AB$2-$AB$1))-AB$1)/2)^2)))</f>
        <v>0</v>
      </c>
      <c r="M2">
        <f t="shared" ref="M2:M13" si="2">AB$10*(AB$7*I2*AB$11*12)/1000000000</f>
        <v>2.1725371888189602</v>
      </c>
      <c r="N2">
        <f>L2*M2</f>
        <v>0</v>
      </c>
      <c r="O2" s="24">
        <f>K2*M2</f>
        <v>0</v>
      </c>
      <c r="P2" s="24">
        <f xml:space="preserve"> AB$12*AB$13* N2 * AB$14</f>
        <v>0</v>
      </c>
      <c r="Q2" s="24">
        <f xml:space="preserve"> AB$12*AB$13* O2 * AB$14</f>
        <v>0</v>
      </c>
      <c r="R2">
        <f t="shared" ref="R2:R13" si="3">AB$18^((D2-AB$2)/10)</f>
        <v>0.125</v>
      </c>
      <c r="S2">
        <f t="shared" ref="S2:S13" si="4">AB$17*R2</f>
        <v>1.2500000000000001E-2</v>
      </c>
      <c r="T2">
        <f>P2+W2</f>
        <v>0.54797472000000014</v>
      </c>
      <c r="U2" s="24">
        <f>Q2+W2</f>
        <v>0.54797472000000014</v>
      </c>
      <c r="V2">
        <f>AB$17*R2*AB$10*86400*12/1000000000*AB$7</f>
        <v>5.4797472000000014E-2</v>
      </c>
      <c r="W2">
        <f>AB$12*V2*AB$14</f>
        <v>0.54797472000000014</v>
      </c>
      <c r="X2">
        <f t="shared" ref="X2:X13" si="5">AB$16/H2</f>
        <v>25.932841941192954</v>
      </c>
      <c r="Y2">
        <f t="shared" ref="Y2:Y13" si="6">U2*(44/12)/X2</f>
        <v>7.7478613587985787E-2</v>
      </c>
      <c r="AA2" s="28" t="s">
        <v>2</v>
      </c>
      <c r="AB2" s="28">
        <v>30</v>
      </c>
    </row>
    <row r="3" spans="1:30">
      <c r="A3">
        <v>-10</v>
      </c>
      <c r="B3">
        <v>10</v>
      </c>
      <c r="C3">
        <f t="shared" ref="C3:C10" si="7">(A3+B3)/2</f>
        <v>0</v>
      </c>
      <c r="D3">
        <f t="shared" ref="D3:D13" si="8">(C3+B3)/2</f>
        <v>5</v>
      </c>
      <c r="E3">
        <f t="shared" si="0"/>
        <v>15</v>
      </c>
      <c r="F3">
        <f t="shared" ref="F3:F13" si="9">0.61078 * EXP(17.26939 * D3 / (D3 + 237.3))</f>
        <v>0.87227141748882542</v>
      </c>
      <c r="G3">
        <f t="shared" ref="G3:G13" si="10">0.61078 * EXP(17.26939 * A3 / (A3 + 237.3))</f>
        <v>0.28570929427727804</v>
      </c>
      <c r="H3">
        <f t="shared" ref="H3:H13" si="11">F3-G3</f>
        <v>0.58656212321154744</v>
      </c>
      <c r="I3">
        <f t="shared" si="1"/>
        <v>0.98279724378067812</v>
      </c>
      <c r="J3" s="24">
        <f t="shared" ref="J3:J13" si="12">MAX(0,(($AB$2+($AB$2-$AB$1)) - D3) * (D3 - $AB$1) / (((($AB$2+($AB$2-$AB$1)) - $AB$1) / 2)*(($AB$2+($AB$2-$AB$1)) - $AB$1) / 2))</f>
        <v>3.8831218762014612E-2</v>
      </c>
      <c r="K3" s="24">
        <f t="shared" ref="K3:K13" si="13">MAX(0,IF(D3&lt;$AB$2,((($AB$19-D3)*(D3-$AB$1))/(($AB$19-$AB$1)/2)^2),($AB$3-D3)*(D3-($AB$2+($AB$2-$AB$3)))/((($AB$3-($AB$2+($AB$2-$AB$3)))/2)^2)))</f>
        <v>3.8831218762014612E-2</v>
      </c>
      <c r="L3" s="24">
        <f t="shared" ref="L3:L13" si="14">IF(D3&gt;AB$2,1,MAX(0,((($AB$2+($AB$2-$AB$1))-D3)*(D3-AB$1))/(((($AB$2+($AB$2-$AB$1))-AB$1)/2)^2)))</f>
        <v>3.8831218762014612E-2</v>
      </c>
      <c r="M3" s="24">
        <f t="shared" si="2"/>
        <v>2.1541921779099553</v>
      </c>
      <c r="N3" s="24">
        <f t="shared" ref="N3:N13" si="15">L3*M3</f>
        <v>8.3649907715842173E-2</v>
      </c>
      <c r="O3" s="24">
        <f t="shared" ref="O3:O13" si="16">K3*M3</f>
        <v>8.3649907715842173E-2</v>
      </c>
      <c r="P3" s="24">
        <f t="shared" ref="P3:P13" si="17" xml:space="preserve"> AB$12*AB$13* N3 * AB$14</f>
        <v>0.83649907715842176</v>
      </c>
      <c r="Q3" s="24">
        <f t="shared" ref="Q3:Q13" si="18" xml:space="preserve"> AB$12*AB$13* O3 * AB$14</f>
        <v>0.83649907715842176</v>
      </c>
      <c r="R3" s="24">
        <f t="shared" si="3"/>
        <v>0.17677669529663687</v>
      </c>
      <c r="S3" s="24">
        <f t="shared" si="4"/>
        <v>1.7677669529663688E-2</v>
      </c>
      <c r="T3" s="24">
        <f t="shared" ref="T3:T13" si="19">P3+W3</f>
        <v>1.6114523580200211</v>
      </c>
      <c r="U3" s="24">
        <f t="shared" ref="U3:U13" si="20">Q3+W3</f>
        <v>1.6114523580200211</v>
      </c>
      <c r="V3" s="24">
        <f t="shared" ref="V3:V13" si="21">AB$17*R3*AB$10*86400*12/1000000000*AB$7</f>
        <v>7.7495328086159929E-2</v>
      </c>
      <c r="W3" s="24">
        <f t="shared" ref="W3:W13" si="22">AB$12*V3*AB$14</f>
        <v>0.77495328086159931</v>
      </c>
      <c r="X3">
        <f t="shared" si="5"/>
        <v>18.582856902386187</v>
      </c>
      <c r="Y3">
        <f t="shared" si="6"/>
        <v>0.31796287713514554</v>
      </c>
      <c r="AA3" s="28" t="s">
        <v>3</v>
      </c>
      <c r="AB3" s="28">
        <v>39</v>
      </c>
      <c r="AC3" t="s">
        <v>252</v>
      </c>
    </row>
    <row r="4" spans="1:30">
      <c r="A4">
        <v>-5</v>
      </c>
      <c r="B4">
        <v>15</v>
      </c>
      <c r="C4">
        <f t="shared" si="7"/>
        <v>5</v>
      </c>
      <c r="D4">
        <f t="shared" si="8"/>
        <v>10</v>
      </c>
      <c r="E4">
        <f t="shared" si="0"/>
        <v>17.5</v>
      </c>
      <c r="F4">
        <f t="shared" si="9"/>
        <v>1.2278921229539039</v>
      </c>
      <c r="G4">
        <f t="shared" si="10"/>
        <v>0.42116823077156701</v>
      </c>
      <c r="H4">
        <f t="shared" si="11"/>
        <v>0.80672389218233698</v>
      </c>
      <c r="I4">
        <f t="shared" si="1"/>
        <v>0.96745982808910902</v>
      </c>
      <c r="J4" s="24">
        <f t="shared" si="12"/>
        <v>0.38485198000768933</v>
      </c>
      <c r="K4" s="24">
        <f t="shared" si="13"/>
        <v>0.38485198000768933</v>
      </c>
      <c r="L4" s="24">
        <f t="shared" si="14"/>
        <v>0.38485198000768933</v>
      </c>
      <c r="M4" s="24">
        <f t="shared" si="2"/>
        <v>2.1205741136335114</v>
      </c>
      <c r="N4" s="24">
        <f t="shared" si="15"/>
        <v>0.81610714638490767</v>
      </c>
      <c r="O4" s="24">
        <f t="shared" si="16"/>
        <v>0.81610714638490767</v>
      </c>
      <c r="P4" s="24">
        <f t="shared" si="17"/>
        <v>8.1610714638490762</v>
      </c>
      <c r="Q4" s="24">
        <f t="shared" si="18"/>
        <v>8.1610714638490762</v>
      </c>
      <c r="R4" s="24">
        <f t="shared" si="3"/>
        <v>0.25</v>
      </c>
      <c r="S4" s="24">
        <f t="shared" si="4"/>
        <v>2.5000000000000001E-2</v>
      </c>
      <c r="T4" s="24">
        <f t="shared" si="19"/>
        <v>9.2570209038490763</v>
      </c>
      <c r="U4" s="24">
        <f t="shared" si="20"/>
        <v>9.2570209038490763</v>
      </c>
      <c r="V4" s="24">
        <f t="shared" si="21"/>
        <v>0.10959494400000003</v>
      </c>
      <c r="W4" s="24">
        <f t="shared" si="22"/>
        <v>1.0959494400000003</v>
      </c>
      <c r="X4">
        <f t="shared" si="5"/>
        <v>13.511438183036192</v>
      </c>
      <c r="Y4">
        <f t="shared" si="6"/>
        <v>2.5121241366737062</v>
      </c>
      <c r="AA4" s="28" t="s">
        <v>6</v>
      </c>
      <c r="AB4" s="28">
        <v>-46</v>
      </c>
    </row>
    <row r="5" spans="1:30">
      <c r="A5">
        <v>0</v>
      </c>
      <c r="B5">
        <v>20</v>
      </c>
      <c r="C5">
        <f t="shared" si="7"/>
        <v>10</v>
      </c>
      <c r="D5">
        <f t="shared" si="8"/>
        <v>15</v>
      </c>
      <c r="E5">
        <f t="shared" si="0"/>
        <v>20</v>
      </c>
      <c r="F5">
        <f t="shared" si="9"/>
        <v>1.7052285488209411</v>
      </c>
      <c r="G5">
        <f t="shared" si="10"/>
        <v>0.61077999999999999</v>
      </c>
      <c r="H5">
        <f t="shared" si="11"/>
        <v>1.094448548820941</v>
      </c>
      <c r="I5">
        <f t="shared" si="1"/>
        <v>0.94010911869918679</v>
      </c>
      <c r="J5" s="24">
        <f t="shared" si="12"/>
        <v>0.65397923875432529</v>
      </c>
      <c r="K5" s="24">
        <f t="shared" si="13"/>
        <v>0.65397923875432529</v>
      </c>
      <c r="L5" s="24">
        <f t="shared" si="14"/>
        <v>0.65397923875432529</v>
      </c>
      <c r="M5" s="24">
        <f t="shared" si="2"/>
        <v>2.0606241243545345</v>
      </c>
      <c r="N5" s="24">
        <f t="shared" si="15"/>
        <v>1.3476053962041765</v>
      </c>
      <c r="O5" s="24">
        <f t="shared" si="16"/>
        <v>1.3476053962041765</v>
      </c>
      <c r="P5" s="24">
        <f t="shared" si="17"/>
        <v>13.476053962041766</v>
      </c>
      <c r="Q5" s="24">
        <f t="shared" si="18"/>
        <v>13.476053962041766</v>
      </c>
      <c r="R5" s="24">
        <f t="shared" si="3"/>
        <v>0.35355339059327379</v>
      </c>
      <c r="S5" s="24">
        <f t="shared" si="4"/>
        <v>3.5355339059327383E-2</v>
      </c>
      <c r="T5" s="24">
        <f t="shared" si="19"/>
        <v>15.025960523764965</v>
      </c>
      <c r="U5" s="24">
        <f t="shared" si="20"/>
        <v>15.025960523764965</v>
      </c>
      <c r="V5" s="24">
        <f t="shared" si="21"/>
        <v>0.15499065617231989</v>
      </c>
      <c r="W5" s="24">
        <f t="shared" si="22"/>
        <v>1.5499065617231989</v>
      </c>
      <c r="X5">
        <f t="shared" si="5"/>
        <v>9.9593535134590532</v>
      </c>
      <c r="Y5">
        <f t="shared" si="6"/>
        <v>5.532004513413713</v>
      </c>
      <c r="AA5" s="28" t="s">
        <v>7</v>
      </c>
      <c r="AB5" s="28">
        <v>71.900000000000006</v>
      </c>
    </row>
    <row r="6" spans="1:30">
      <c r="A6">
        <v>5</v>
      </c>
      <c r="B6">
        <v>25</v>
      </c>
      <c r="C6">
        <f t="shared" si="7"/>
        <v>15</v>
      </c>
      <c r="D6">
        <f t="shared" si="8"/>
        <v>20</v>
      </c>
      <c r="E6">
        <f t="shared" si="0"/>
        <v>22.5</v>
      </c>
      <c r="F6">
        <f t="shared" si="9"/>
        <v>2.3380938419374377</v>
      </c>
      <c r="G6">
        <f t="shared" si="10"/>
        <v>0.87227141748882542</v>
      </c>
      <c r="H6">
        <f t="shared" si="11"/>
        <v>1.4658224244486124</v>
      </c>
      <c r="I6">
        <f t="shared" si="1"/>
        <v>0.89256823099917959</v>
      </c>
      <c r="J6" s="24">
        <f t="shared" si="12"/>
        <v>0.84621299500192237</v>
      </c>
      <c r="K6" s="24">
        <f t="shared" si="13"/>
        <v>0.84621299500192237</v>
      </c>
      <c r="L6" s="24">
        <f t="shared" si="14"/>
        <v>0.84621299500192237</v>
      </c>
      <c r="M6" s="24">
        <f t="shared" si="2"/>
        <v>1.9564193058506831</v>
      </c>
      <c r="N6" s="24">
        <f t="shared" si="15"/>
        <v>1.6555474402834887</v>
      </c>
      <c r="O6" s="24">
        <f t="shared" si="16"/>
        <v>1.6555474402834887</v>
      </c>
      <c r="P6" s="24">
        <f t="shared" si="17"/>
        <v>16.555474402834886</v>
      </c>
      <c r="Q6" s="24">
        <f t="shared" si="18"/>
        <v>16.555474402834886</v>
      </c>
      <c r="R6" s="24">
        <f t="shared" si="3"/>
        <v>0.5</v>
      </c>
      <c r="S6" s="24">
        <f t="shared" si="4"/>
        <v>0.05</v>
      </c>
      <c r="T6" s="24">
        <f t="shared" si="19"/>
        <v>18.747373282834886</v>
      </c>
      <c r="U6" s="24">
        <f t="shared" si="20"/>
        <v>18.747373282834886</v>
      </c>
      <c r="V6" s="24">
        <f t="shared" si="21"/>
        <v>0.21918988800000005</v>
      </c>
      <c r="W6" s="24">
        <f t="shared" si="22"/>
        <v>2.1918988800000005</v>
      </c>
      <c r="X6">
        <f t="shared" si="5"/>
        <v>7.4360985465890748</v>
      </c>
      <c r="Y6">
        <f t="shared" si="6"/>
        <v>9.2441443954853177</v>
      </c>
      <c r="AA6" s="28" t="s">
        <v>8</v>
      </c>
      <c r="AB6" s="28">
        <v>2.6</v>
      </c>
    </row>
    <row r="7" spans="1:30">
      <c r="A7">
        <v>10</v>
      </c>
      <c r="B7">
        <v>30</v>
      </c>
      <c r="C7">
        <f t="shared" si="7"/>
        <v>20</v>
      </c>
      <c r="D7">
        <f t="shared" si="8"/>
        <v>25</v>
      </c>
      <c r="E7">
        <f t="shared" si="0"/>
        <v>25</v>
      </c>
      <c r="F7">
        <f t="shared" si="9"/>
        <v>3.1674898302368564</v>
      </c>
      <c r="G7">
        <f t="shared" si="10"/>
        <v>1.2278921229539039</v>
      </c>
      <c r="H7">
        <f t="shared" si="11"/>
        <v>1.9395977072829524</v>
      </c>
      <c r="I7">
        <f t="shared" si="1"/>
        <v>0.81189803669513572</v>
      </c>
      <c r="J7" s="24">
        <f t="shared" si="12"/>
        <v>0.96155324875048054</v>
      </c>
      <c r="K7" s="24">
        <f t="shared" si="13"/>
        <v>0.96155324875048054</v>
      </c>
      <c r="L7" s="24">
        <f t="shared" si="14"/>
        <v>0.96155324875048054</v>
      </c>
      <c r="M7" s="24">
        <f t="shared" si="2"/>
        <v>1.7795983973062672</v>
      </c>
      <c r="N7" s="24">
        <f t="shared" si="15"/>
        <v>1.7111786204009898</v>
      </c>
      <c r="O7" s="24">
        <f t="shared" si="16"/>
        <v>1.7111786204009898</v>
      </c>
      <c r="P7" s="24">
        <f t="shared" si="17"/>
        <v>17.111786204009899</v>
      </c>
      <c r="Q7" s="24">
        <f t="shared" si="18"/>
        <v>17.111786204009899</v>
      </c>
      <c r="R7" s="24">
        <f t="shared" si="3"/>
        <v>0.70710678118654746</v>
      </c>
      <c r="S7" s="24">
        <f t="shared" si="4"/>
        <v>7.0710678118654752E-2</v>
      </c>
      <c r="T7" s="24">
        <f t="shared" si="19"/>
        <v>20.211599327456298</v>
      </c>
      <c r="U7" s="24">
        <f t="shared" si="20"/>
        <v>20.211599327456298</v>
      </c>
      <c r="V7" s="24">
        <f t="shared" si="21"/>
        <v>0.30998131234463971</v>
      </c>
      <c r="W7" s="24">
        <f t="shared" si="22"/>
        <v>3.0998131234463973</v>
      </c>
      <c r="X7">
        <f t="shared" si="5"/>
        <v>5.6197220480679224</v>
      </c>
      <c r="Y7">
        <f t="shared" si="6"/>
        <v>13.187342167480578</v>
      </c>
      <c r="AA7" s="28" t="s">
        <v>5</v>
      </c>
      <c r="AB7" s="26">
        <f>AB4+AB5*AB6</f>
        <v>140.94000000000003</v>
      </c>
    </row>
    <row r="8" spans="1:30">
      <c r="A8">
        <v>15</v>
      </c>
      <c r="B8">
        <v>35</v>
      </c>
      <c r="C8">
        <f t="shared" si="7"/>
        <v>25</v>
      </c>
      <c r="D8">
        <f t="shared" si="8"/>
        <v>30</v>
      </c>
      <c r="E8">
        <f t="shared" si="0"/>
        <v>27.5</v>
      </c>
      <c r="F8">
        <f t="shared" si="9"/>
        <v>4.2426356531114431</v>
      </c>
      <c r="G8">
        <f t="shared" si="10"/>
        <v>1.7052285488209411</v>
      </c>
      <c r="H8">
        <f t="shared" si="11"/>
        <v>2.537407104290502</v>
      </c>
      <c r="I8">
        <f t="shared" si="1"/>
        <v>0.67807825935480448</v>
      </c>
      <c r="J8" s="24">
        <f t="shared" si="12"/>
        <v>1</v>
      </c>
      <c r="K8" s="24">
        <f t="shared" si="13"/>
        <v>1</v>
      </c>
      <c r="L8" s="24">
        <f t="shared" si="14"/>
        <v>1</v>
      </c>
      <c r="M8" s="24">
        <f t="shared" si="2"/>
        <v>1.4862789772321459</v>
      </c>
      <c r="N8" s="24">
        <f t="shared" si="15"/>
        <v>1.4862789772321459</v>
      </c>
      <c r="O8" s="24">
        <f t="shared" si="16"/>
        <v>1.4862789772321459</v>
      </c>
      <c r="P8" s="24">
        <f t="shared" si="17"/>
        <v>14.862789772321459</v>
      </c>
      <c r="Q8" s="24">
        <f t="shared" si="18"/>
        <v>14.862789772321459</v>
      </c>
      <c r="R8" s="24">
        <f t="shared" si="3"/>
        <v>1</v>
      </c>
      <c r="S8" s="24">
        <f t="shared" si="4"/>
        <v>0.1</v>
      </c>
      <c r="T8" s="24">
        <f t="shared" si="19"/>
        <v>19.24658753232146</v>
      </c>
      <c r="U8" s="24">
        <f t="shared" si="20"/>
        <v>19.24658753232146</v>
      </c>
      <c r="V8" s="24">
        <f t="shared" si="21"/>
        <v>0.43837977600000011</v>
      </c>
      <c r="W8" s="24">
        <f t="shared" si="22"/>
        <v>4.3837977600000011</v>
      </c>
      <c r="X8">
        <f t="shared" si="5"/>
        <v>4.29572376524413</v>
      </c>
      <c r="Y8">
        <f t="shared" si="6"/>
        <v>16.428156187048202</v>
      </c>
      <c r="AA8" s="28" t="s">
        <v>29</v>
      </c>
      <c r="AB8" s="28">
        <v>0.05</v>
      </c>
    </row>
    <row r="9" spans="1:30">
      <c r="A9">
        <v>20</v>
      </c>
      <c r="B9">
        <v>40</v>
      </c>
      <c r="C9">
        <f t="shared" si="7"/>
        <v>30</v>
      </c>
      <c r="D9">
        <f t="shared" si="8"/>
        <v>35</v>
      </c>
      <c r="E9">
        <f t="shared" si="0"/>
        <v>30</v>
      </c>
      <c r="F9">
        <f t="shared" si="9"/>
        <v>5.6220563085635584</v>
      </c>
      <c r="G9">
        <f t="shared" si="10"/>
        <v>2.3380938419374377</v>
      </c>
      <c r="H9">
        <f t="shared" si="11"/>
        <v>3.2839624666261207</v>
      </c>
      <c r="I9">
        <f t="shared" si="1"/>
        <v>0.46077952588954418</v>
      </c>
      <c r="J9" s="24">
        <f t="shared" si="12"/>
        <v>0.96155324875048054</v>
      </c>
      <c r="K9" s="24">
        <f t="shared" si="13"/>
        <v>0.69135802469135799</v>
      </c>
      <c r="L9" s="24">
        <f t="shared" si="14"/>
        <v>1</v>
      </c>
      <c r="M9" s="24">
        <f t="shared" si="2"/>
        <v>1.0099821267242231</v>
      </c>
      <c r="N9" s="24">
        <f t="shared" si="15"/>
        <v>1.0099821267242231</v>
      </c>
      <c r="O9" s="24">
        <f t="shared" si="16"/>
        <v>0.69825924810563567</v>
      </c>
      <c r="P9" s="24">
        <f t="shared" si="17"/>
        <v>10.099821267242231</v>
      </c>
      <c r="Q9" s="24">
        <f t="shared" si="18"/>
        <v>6.9825924810563569</v>
      </c>
      <c r="R9" s="24">
        <f t="shared" si="3"/>
        <v>1.4142135623730951</v>
      </c>
      <c r="S9" s="24">
        <f t="shared" si="4"/>
        <v>0.14142135623730953</v>
      </c>
      <c r="T9" s="24">
        <f t="shared" si="19"/>
        <v>16.299447514135025</v>
      </c>
      <c r="U9" s="24">
        <f t="shared" si="20"/>
        <v>13.182218727949152</v>
      </c>
      <c r="V9" s="24">
        <f t="shared" si="21"/>
        <v>0.61996262468927954</v>
      </c>
      <c r="W9" s="24">
        <f t="shared" si="22"/>
        <v>6.1996262468927954</v>
      </c>
      <c r="X9">
        <f t="shared" si="5"/>
        <v>3.3191609559406592</v>
      </c>
      <c r="Y9">
        <f t="shared" si="6"/>
        <v>14.562355560362397</v>
      </c>
      <c r="AA9" s="28" t="s">
        <v>30</v>
      </c>
      <c r="AB9" s="28">
        <v>2</v>
      </c>
    </row>
    <row r="10" spans="1:30">
      <c r="A10">
        <v>25</v>
      </c>
      <c r="B10">
        <v>45</v>
      </c>
      <c r="C10">
        <f t="shared" si="7"/>
        <v>35</v>
      </c>
      <c r="D10">
        <f t="shared" si="8"/>
        <v>40</v>
      </c>
      <c r="E10">
        <f t="shared" si="0"/>
        <v>32.5</v>
      </c>
      <c r="F10">
        <f t="shared" si="9"/>
        <v>7.3747231460360023</v>
      </c>
      <c r="G10">
        <f t="shared" si="10"/>
        <v>3.1674898302368564</v>
      </c>
      <c r="H10">
        <f t="shared" si="11"/>
        <v>4.2072333157991455</v>
      </c>
      <c r="I10">
        <f t="shared" si="1"/>
        <v>0.11495939132148625</v>
      </c>
      <c r="J10" s="24">
        <f t="shared" si="12"/>
        <v>0.84621299500192237</v>
      </c>
      <c r="K10" s="24">
        <f t="shared" si="13"/>
        <v>0</v>
      </c>
      <c r="L10" s="24">
        <f t="shared" si="14"/>
        <v>1</v>
      </c>
      <c r="M10" s="24">
        <f t="shared" si="2"/>
        <v>0.25197936108304753</v>
      </c>
      <c r="N10" s="24">
        <f t="shared" si="15"/>
        <v>0.25197936108304753</v>
      </c>
      <c r="O10" s="24">
        <f t="shared" si="16"/>
        <v>0</v>
      </c>
      <c r="P10" s="24">
        <f t="shared" si="17"/>
        <v>2.519793610830475</v>
      </c>
      <c r="Q10" s="24">
        <f t="shared" si="18"/>
        <v>0</v>
      </c>
      <c r="R10" s="24">
        <f t="shared" si="3"/>
        <v>2</v>
      </c>
      <c r="S10" s="24">
        <f t="shared" si="4"/>
        <v>0.2</v>
      </c>
      <c r="T10" s="24">
        <f t="shared" si="19"/>
        <v>11.287389130830476</v>
      </c>
      <c r="U10" s="24">
        <f t="shared" si="20"/>
        <v>8.7675955200000022</v>
      </c>
      <c r="V10" s="24">
        <f t="shared" si="21"/>
        <v>0.87675955200000022</v>
      </c>
      <c r="W10" s="24">
        <f t="shared" si="22"/>
        <v>8.7675955200000022</v>
      </c>
      <c r="X10">
        <f t="shared" si="5"/>
        <v>2.5907762136860701</v>
      </c>
      <c r="Y10">
        <f t="shared" si="6"/>
        <v>12.408578583582528</v>
      </c>
      <c r="AA10" s="28" t="s">
        <v>10</v>
      </c>
      <c r="AB10" s="28">
        <v>30</v>
      </c>
      <c r="AD10" t="s">
        <v>151</v>
      </c>
    </row>
    <row r="11" spans="1:30">
      <c r="A11">
        <v>30</v>
      </c>
      <c r="B11">
        <v>50</v>
      </c>
      <c r="C11">
        <f>(A11+B11)/2</f>
        <v>40</v>
      </c>
      <c r="D11">
        <f t="shared" si="8"/>
        <v>45</v>
      </c>
      <c r="E11">
        <f t="shared" si="0"/>
        <v>35</v>
      </c>
      <c r="F11">
        <f t="shared" si="9"/>
        <v>9.5812372781996284</v>
      </c>
      <c r="G11">
        <f t="shared" si="10"/>
        <v>4.2426356531114431</v>
      </c>
      <c r="H11">
        <f t="shared" si="11"/>
        <v>5.3386016250881854</v>
      </c>
      <c r="I11">
        <f t="shared" si="1"/>
        <v>0</v>
      </c>
      <c r="J11" s="24">
        <f t="shared" si="12"/>
        <v>0.65397923875432529</v>
      </c>
      <c r="K11" s="24">
        <f t="shared" si="13"/>
        <v>0</v>
      </c>
      <c r="L11" s="24">
        <f t="shared" si="14"/>
        <v>1</v>
      </c>
      <c r="M11" s="24">
        <f t="shared" si="2"/>
        <v>0</v>
      </c>
      <c r="N11" s="24">
        <f t="shared" si="15"/>
        <v>0</v>
      </c>
      <c r="O11" s="24">
        <f t="shared" si="16"/>
        <v>0</v>
      </c>
      <c r="P11" s="24">
        <f t="shared" si="17"/>
        <v>0</v>
      </c>
      <c r="Q11" s="24">
        <f t="shared" si="18"/>
        <v>0</v>
      </c>
      <c r="R11" s="24">
        <f t="shared" si="3"/>
        <v>2.8284271247461898</v>
      </c>
      <c r="S11" s="24">
        <f t="shared" si="4"/>
        <v>0.28284271247461901</v>
      </c>
      <c r="T11" s="24">
        <f t="shared" si="19"/>
        <v>12.399252493785589</v>
      </c>
      <c r="U11" s="24">
        <f t="shared" si="20"/>
        <v>12.399252493785589</v>
      </c>
      <c r="V11" s="24">
        <f t="shared" si="21"/>
        <v>1.2399252493785589</v>
      </c>
      <c r="W11" s="24">
        <f t="shared" si="22"/>
        <v>12.399252493785589</v>
      </c>
      <c r="X11">
        <f t="shared" si="5"/>
        <v>2.0417331663738723</v>
      </c>
      <c r="Y11">
        <f t="shared" si="6"/>
        <v>22.26732001973172</v>
      </c>
      <c r="AA11" s="28" t="s">
        <v>11</v>
      </c>
      <c r="AB11" s="26">
        <f>AC11*60*60</f>
        <v>43200</v>
      </c>
      <c r="AC11">
        <v>12</v>
      </c>
      <c r="AD11" t="s">
        <v>117</v>
      </c>
    </row>
    <row r="12" spans="1:30">
      <c r="A12">
        <v>35</v>
      </c>
      <c r="B12">
        <v>55</v>
      </c>
      <c r="C12">
        <f>(A12+B12)/2</f>
        <v>45</v>
      </c>
      <c r="D12">
        <f t="shared" si="8"/>
        <v>50</v>
      </c>
      <c r="E12">
        <f t="shared" si="0"/>
        <v>37.5</v>
      </c>
      <c r="F12">
        <f t="shared" si="9"/>
        <v>12.335046017492973</v>
      </c>
      <c r="G12">
        <f t="shared" si="10"/>
        <v>5.6220563085635584</v>
      </c>
      <c r="H12">
        <f t="shared" si="11"/>
        <v>6.7129897089294142</v>
      </c>
      <c r="I12">
        <f t="shared" si="1"/>
        <v>0</v>
      </c>
      <c r="J12" s="24">
        <f t="shared" si="12"/>
        <v>0.38485198000768933</v>
      </c>
      <c r="K12" s="24">
        <f t="shared" si="13"/>
        <v>0</v>
      </c>
      <c r="L12" s="24">
        <f t="shared" si="14"/>
        <v>1</v>
      </c>
      <c r="M12" s="24">
        <f t="shared" si="2"/>
        <v>0</v>
      </c>
      <c r="N12" s="24">
        <f t="shared" si="15"/>
        <v>0</v>
      </c>
      <c r="O12" s="24">
        <f t="shared" si="16"/>
        <v>0</v>
      </c>
      <c r="P12" s="24">
        <f t="shared" si="17"/>
        <v>0</v>
      </c>
      <c r="Q12" s="24">
        <f t="shared" si="18"/>
        <v>0</v>
      </c>
      <c r="R12" s="24">
        <f t="shared" si="3"/>
        <v>4</v>
      </c>
      <c r="S12" s="24">
        <f t="shared" si="4"/>
        <v>0.4</v>
      </c>
      <c r="T12" s="24">
        <f t="shared" si="19"/>
        <v>17.535191040000004</v>
      </c>
      <c r="U12" s="24">
        <f t="shared" si="20"/>
        <v>17.535191040000004</v>
      </c>
      <c r="V12" s="24">
        <f t="shared" si="21"/>
        <v>1.7535191040000004</v>
      </c>
      <c r="W12" s="24">
        <f t="shared" si="22"/>
        <v>17.535191040000004</v>
      </c>
      <c r="X12">
        <f t="shared" si="5"/>
        <v>1.6237176686717028</v>
      </c>
      <c r="Y12">
        <f t="shared" si="6"/>
        <v>39.597832628499816</v>
      </c>
      <c r="AA12" s="28" t="s">
        <v>20</v>
      </c>
      <c r="AB12" s="28">
        <v>1</v>
      </c>
    </row>
    <row r="13" spans="1:30">
      <c r="A13">
        <v>40</v>
      </c>
      <c r="B13">
        <v>60</v>
      </c>
      <c r="C13">
        <f>(A13+B13)/2</f>
        <v>50</v>
      </c>
      <c r="D13">
        <f t="shared" si="8"/>
        <v>55</v>
      </c>
      <c r="E13">
        <f t="shared" si="0"/>
        <v>40</v>
      </c>
      <c r="F13">
        <f t="shared" si="9"/>
        <v>15.743681776119971</v>
      </c>
      <c r="G13">
        <f t="shared" si="10"/>
        <v>7.3747231460360023</v>
      </c>
      <c r="H13">
        <f t="shared" si="11"/>
        <v>8.3689586300839682</v>
      </c>
      <c r="I13">
        <f t="shared" si="1"/>
        <v>0</v>
      </c>
      <c r="J13" s="24">
        <f t="shared" si="12"/>
        <v>3.8831218762014612E-2</v>
      </c>
      <c r="K13" s="24">
        <f t="shared" si="13"/>
        <v>0</v>
      </c>
      <c r="L13" s="24">
        <f t="shared" si="14"/>
        <v>1</v>
      </c>
      <c r="M13" s="24">
        <f t="shared" si="2"/>
        <v>0</v>
      </c>
      <c r="N13" s="24">
        <f t="shared" si="15"/>
        <v>0</v>
      </c>
      <c r="O13" s="24">
        <f t="shared" si="16"/>
        <v>0</v>
      </c>
      <c r="P13" s="24">
        <f t="shared" si="17"/>
        <v>0</v>
      </c>
      <c r="Q13" s="24">
        <f t="shared" si="18"/>
        <v>0</v>
      </c>
      <c r="R13" s="24">
        <f t="shared" si="3"/>
        <v>5.6568542494923806</v>
      </c>
      <c r="S13" s="24">
        <f t="shared" si="4"/>
        <v>0.56568542494923812</v>
      </c>
      <c r="T13" s="24">
        <f t="shared" si="19"/>
        <v>24.798504987571182</v>
      </c>
      <c r="U13" s="24">
        <f t="shared" si="20"/>
        <v>24.798504987571182</v>
      </c>
      <c r="V13" s="24">
        <f t="shared" si="21"/>
        <v>2.4798504987571182</v>
      </c>
      <c r="W13" s="24">
        <f t="shared" si="22"/>
        <v>24.798504987571182</v>
      </c>
      <c r="X13">
        <f t="shared" si="5"/>
        <v>1.3024320565784224</v>
      </c>
      <c r="Y13">
        <f t="shared" si="6"/>
        <v>69.813892526546056</v>
      </c>
      <c r="AA13" s="28" t="s">
        <v>21</v>
      </c>
      <c r="AB13" s="28">
        <v>1</v>
      </c>
    </row>
    <row r="14" spans="1:30">
      <c r="AA14" s="28" t="s">
        <v>301</v>
      </c>
      <c r="AB14" s="28">
        <v>10</v>
      </c>
    </row>
    <row r="15" spans="1:30">
      <c r="A15" s="24"/>
      <c r="B15" s="24"/>
      <c r="C15" s="24"/>
      <c r="D15" s="24"/>
      <c r="E15" s="24"/>
      <c r="F15" s="24"/>
      <c r="G15" s="24"/>
      <c r="H15" s="24"/>
      <c r="I15" s="24"/>
      <c r="K15" s="24"/>
      <c r="AA15" s="28" t="s">
        <v>24</v>
      </c>
      <c r="AB15" s="28">
        <v>5</v>
      </c>
    </row>
    <row r="16" spans="1:30">
      <c r="A16" s="24"/>
      <c r="B16" s="24"/>
      <c r="C16" s="24"/>
      <c r="D16" s="24"/>
      <c r="E16" s="24"/>
      <c r="F16" s="24"/>
      <c r="G16" s="24"/>
      <c r="H16" s="24"/>
      <c r="I16" s="24"/>
      <c r="K16" s="24"/>
      <c r="AA16" s="28" t="s">
        <v>32</v>
      </c>
      <c r="AB16" s="28">
        <v>10.9</v>
      </c>
      <c r="AC16" t="s">
        <v>299</v>
      </c>
    </row>
    <row r="17" spans="1:28">
      <c r="A17" s="2" t="s">
        <v>230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AA17" s="28" t="s">
        <v>13</v>
      </c>
      <c r="AB17" s="28">
        <v>0.1</v>
      </c>
    </row>
    <row r="18" spans="1:28">
      <c r="A18" s="2" t="s">
        <v>281</v>
      </c>
      <c r="B18" s="2"/>
      <c r="C18" s="2"/>
      <c r="D18" s="2"/>
      <c r="E18" s="2"/>
      <c r="F18" s="2"/>
      <c r="G18" s="2"/>
      <c r="H18" s="2"/>
      <c r="I18" s="2"/>
      <c r="J18" s="2"/>
      <c r="K18" s="2"/>
      <c r="T18" s="2" t="s">
        <v>174</v>
      </c>
      <c r="U18" s="2"/>
      <c r="AA18" s="28" t="s">
        <v>145</v>
      </c>
      <c r="AB18" s="28">
        <v>2</v>
      </c>
    </row>
    <row r="19" spans="1:28">
      <c r="AA19" s="24" t="s">
        <v>228</v>
      </c>
      <c r="AB19">
        <f>$AB$2+($AB$2-$AB$1)</f>
        <v>55.5</v>
      </c>
    </row>
    <row r="20" spans="1:28">
      <c r="AA20" s="24" t="s">
        <v>229</v>
      </c>
      <c r="AB20">
        <f>$AB$2+($AB$2-$AB$3)</f>
        <v>21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32"/>
  <sheetViews>
    <sheetView topLeftCell="D1" workbookViewId="0">
      <selection activeCell="S15" sqref="S15:S16"/>
    </sheetView>
  </sheetViews>
  <sheetFormatPr defaultRowHeight="14.4"/>
  <cols>
    <col min="8" max="8" width="9.109375" style="24"/>
    <col min="9" max="17" width="9.109375" style="4"/>
    <col min="18" max="18" width="12.5546875" customWidth="1"/>
    <col min="22" max="22" width="9.109375" style="4"/>
    <col min="25" max="25" width="10.44140625" style="4" customWidth="1"/>
    <col min="27" max="27" width="8.109375" customWidth="1"/>
  </cols>
  <sheetData>
    <row r="1" spans="1:25">
      <c r="A1" t="s">
        <v>171</v>
      </c>
      <c r="B1" s="4" t="s">
        <v>36</v>
      </c>
      <c r="C1" s="4" t="s">
        <v>50</v>
      </c>
      <c r="D1" s="4" t="s">
        <v>37</v>
      </c>
      <c r="E1" s="4" t="s">
        <v>41</v>
      </c>
      <c r="F1" s="4" t="s">
        <v>38</v>
      </c>
      <c r="G1" s="4" t="s">
        <v>39</v>
      </c>
      <c r="H1" s="49" t="s">
        <v>182</v>
      </c>
      <c r="I1" s="4" t="s">
        <v>40</v>
      </c>
      <c r="J1" s="4" t="s">
        <v>42</v>
      </c>
      <c r="K1" s="4" t="s">
        <v>5</v>
      </c>
      <c r="L1" s="49" t="s">
        <v>183</v>
      </c>
      <c r="M1" s="4" t="s">
        <v>9</v>
      </c>
      <c r="N1" s="4" t="s">
        <v>44</v>
      </c>
      <c r="O1" s="4" t="s">
        <v>172</v>
      </c>
      <c r="R1" s="29" t="s">
        <v>152</v>
      </c>
      <c r="S1" s="28"/>
      <c r="T1" s="28"/>
      <c r="U1" s="28"/>
      <c r="V1" s="2" t="s">
        <v>192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0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0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28"/>
      <c r="S2" s="28"/>
      <c r="T2" s="28"/>
      <c r="U2" s="28"/>
      <c r="V2" s="2" t="s">
        <v>193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0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0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28" t="s">
        <v>8</v>
      </c>
      <c r="S3" s="28">
        <v>2.9</v>
      </c>
      <c r="T3" s="28" t="s">
        <v>49</v>
      </c>
      <c r="U3" s="28"/>
      <c r="V3" s="2" t="s">
        <v>278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0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0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28" t="s">
        <v>6</v>
      </c>
      <c r="S4" s="28">
        <v>-46</v>
      </c>
      <c r="T4" s="28"/>
      <c r="U4" s="28"/>
      <c r="V4" s="26" t="s">
        <v>86</v>
      </c>
      <c r="W4" s="26"/>
      <c r="X4" s="26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0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0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28" t="s">
        <v>7</v>
      </c>
      <c r="S5" s="28">
        <v>71.900000000000006</v>
      </c>
      <c r="T5" s="28"/>
      <c r="U5" s="28"/>
      <c r="V5" s="28" t="s">
        <v>298</v>
      </c>
      <c r="W5" s="28"/>
      <c r="X5" s="28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0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0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28" t="s">
        <v>28</v>
      </c>
      <c r="S6" s="28">
        <v>1.9</v>
      </c>
      <c r="T6" s="28"/>
      <c r="U6" s="28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0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0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28" t="s">
        <v>43</v>
      </c>
      <c r="S7" s="28">
        <v>10.9</v>
      </c>
      <c r="T7" s="28" t="s">
        <v>292</v>
      </c>
      <c r="U7" s="28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0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0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28" t="s">
        <v>29</v>
      </c>
      <c r="S8" s="28">
        <v>0.05</v>
      </c>
      <c r="T8" s="28"/>
      <c r="U8" s="28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0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0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28" t="s">
        <v>30</v>
      </c>
      <c r="S9" s="28">
        <v>2</v>
      </c>
      <c r="T9" s="28"/>
      <c r="U9" s="28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0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0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28" t="s">
        <v>45</v>
      </c>
      <c r="S10" s="28">
        <v>30</v>
      </c>
      <c r="T10" s="28" t="s">
        <v>47</v>
      </c>
      <c r="U10" s="28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0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0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28" t="s">
        <v>173</v>
      </c>
      <c r="S11" s="26">
        <f>T11*60*60</f>
        <v>46800</v>
      </c>
      <c r="T11" s="28">
        <v>13</v>
      </c>
      <c r="U11" s="28" t="s">
        <v>117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0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0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28"/>
      <c r="S12" s="28"/>
      <c r="T12" s="28"/>
      <c r="U12" s="28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0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0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28"/>
      <c r="S13" s="28"/>
      <c r="T13" s="28"/>
      <c r="U13" s="28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0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0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29" t="s">
        <v>35</v>
      </c>
      <c r="S14" s="28"/>
      <c r="T14" s="28"/>
      <c r="U14" s="28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0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0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28" t="s">
        <v>46</v>
      </c>
      <c r="S15" s="26">
        <v>12</v>
      </c>
      <c r="T15" s="28" t="s">
        <v>48</v>
      </c>
      <c r="U15" s="28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0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0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28" t="s">
        <v>51</v>
      </c>
      <c r="S16" s="26">
        <v>44</v>
      </c>
      <c r="T16" s="28" t="s">
        <v>52</v>
      </c>
      <c r="U16" s="28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 xr:uid="{00000000-0004-0000-0300-00000000000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19"/>
  <sheetViews>
    <sheetView topLeftCell="A7" workbookViewId="0">
      <selection activeCell="K10" sqref="K10"/>
    </sheetView>
  </sheetViews>
  <sheetFormatPr defaultColWidth="9.109375" defaultRowHeight="14.4"/>
  <cols>
    <col min="1" max="1" width="12.44140625" style="24" customWidth="1"/>
    <col min="2" max="2" width="9.109375" style="24"/>
    <col min="3" max="3" width="10.33203125" style="24" customWidth="1"/>
    <col min="4" max="4" width="11" style="24" customWidth="1"/>
    <col min="5" max="5" width="11.5546875" style="24" customWidth="1"/>
    <col min="6" max="6" width="12.44140625" style="24" customWidth="1"/>
    <col min="7" max="7" width="13.33203125" style="24" customWidth="1"/>
    <col min="8" max="8" width="9.109375" style="24"/>
    <col min="9" max="9" width="10.109375" style="24" customWidth="1"/>
    <col min="10" max="16384" width="9.109375" style="24"/>
  </cols>
  <sheetData>
    <row r="1" spans="1:13">
      <c r="A1" s="29" t="s">
        <v>166</v>
      </c>
      <c r="B1" s="28"/>
      <c r="C1" s="24" t="s">
        <v>225</v>
      </c>
    </row>
    <row r="2" spans="1:13">
      <c r="A2" s="28" t="s">
        <v>8</v>
      </c>
      <c r="B2" s="28">
        <v>2.5</v>
      </c>
      <c r="C2" s="26" t="s">
        <v>86</v>
      </c>
      <c r="D2" s="26"/>
      <c r="E2" s="26"/>
    </row>
    <row r="3" spans="1:13">
      <c r="A3" s="28" t="s">
        <v>2</v>
      </c>
      <c r="B3" s="28">
        <v>25</v>
      </c>
      <c r="C3" s="28" t="s">
        <v>298</v>
      </c>
      <c r="D3" s="28"/>
      <c r="E3" s="28"/>
    </row>
    <row r="4" spans="1:13">
      <c r="A4" s="28" t="s">
        <v>157</v>
      </c>
      <c r="B4" s="28">
        <v>0.1</v>
      </c>
    </row>
    <row r="5" spans="1:13">
      <c r="A5" s="28" t="s">
        <v>6</v>
      </c>
      <c r="B5" s="28">
        <v>-46</v>
      </c>
    </row>
    <row r="6" spans="1:13">
      <c r="A6" s="28" t="s">
        <v>7</v>
      </c>
      <c r="B6" s="28">
        <v>72</v>
      </c>
    </row>
    <row r="7" spans="1:13">
      <c r="A7" s="28" t="s">
        <v>5</v>
      </c>
      <c r="B7" s="26">
        <f>B5+B6*B2</f>
        <v>134</v>
      </c>
      <c r="C7" s="24" t="s">
        <v>277</v>
      </c>
    </row>
    <row r="9" spans="1:13">
      <c r="A9" s="24" t="s">
        <v>158</v>
      </c>
      <c r="B9" s="24" t="s">
        <v>19</v>
      </c>
      <c r="C9" s="24" t="s">
        <v>159</v>
      </c>
      <c r="D9" s="24" t="s">
        <v>167</v>
      </c>
      <c r="E9" s="24" t="s">
        <v>168</v>
      </c>
      <c r="F9" s="24" t="s">
        <v>160</v>
      </c>
      <c r="G9" s="24" t="s">
        <v>161</v>
      </c>
      <c r="H9" s="24" t="s">
        <v>162</v>
      </c>
      <c r="I9" s="24" t="s">
        <v>163</v>
      </c>
      <c r="J9" s="24" t="s">
        <v>164</v>
      </c>
      <c r="K9" s="24" t="s">
        <v>165</v>
      </c>
      <c r="L9" s="24" t="s">
        <v>169</v>
      </c>
      <c r="M9" s="24" t="s">
        <v>170</v>
      </c>
    </row>
    <row r="10" spans="1:13">
      <c r="A10" s="24">
        <f>$B$3</f>
        <v>25</v>
      </c>
      <c r="B10" s="24">
        <v>0</v>
      </c>
      <c r="C10" s="24">
        <f>(B10+A10)/2</f>
        <v>12.5</v>
      </c>
      <c r="D10" s="24">
        <f>$B$4</f>
        <v>0.1</v>
      </c>
      <c r="E10" s="24">
        <f>0.14-0.002*B10</f>
        <v>0.14000000000000001</v>
      </c>
      <c r="F10" s="24">
        <f>$B$7*D10</f>
        <v>13.4</v>
      </c>
      <c r="G10" s="24">
        <f t="shared" ref="G10:G19" si="0">$B$7*(0.14-0.002*B10)</f>
        <v>18.760000000000002</v>
      </c>
      <c r="H10" s="24">
        <f>2^((B10-A10)/10)</f>
        <v>0.17677669529663687</v>
      </c>
      <c r="I10" s="24">
        <f>(3.22-0.046*C10)^((B10-A10)/10)</f>
        <v>8.7889260244402412E-2</v>
      </c>
      <c r="J10" s="24">
        <f>F10*H10</f>
        <v>2.368807716974934</v>
      </c>
      <c r="K10" s="24">
        <f>G10*I10</f>
        <v>1.6488025221849893</v>
      </c>
      <c r="L10" s="24">
        <f>3.22-0.046*C10</f>
        <v>2.6450000000000005</v>
      </c>
      <c r="M10" s="24">
        <v>2</v>
      </c>
    </row>
    <row r="11" spans="1:13">
      <c r="A11" s="24">
        <f t="shared" ref="A11:A19" si="1">$B$3</f>
        <v>25</v>
      </c>
      <c r="B11" s="24">
        <v>5</v>
      </c>
      <c r="C11" s="24">
        <f t="shared" ref="C11:C19" si="2">(B11+A11)/2</f>
        <v>15</v>
      </c>
      <c r="D11" s="24">
        <f t="shared" ref="D11:D19" si="3">$B$4</f>
        <v>0.1</v>
      </c>
      <c r="E11" s="24">
        <f t="shared" ref="E11:E19" si="4">0.14-0.002*B11</f>
        <v>0.13</v>
      </c>
      <c r="F11" s="24">
        <f t="shared" ref="F11:F19" si="5">$B$7*D11</f>
        <v>13.4</v>
      </c>
      <c r="G11" s="24">
        <f t="shared" si="0"/>
        <v>17.420000000000002</v>
      </c>
      <c r="H11" s="24">
        <f t="shared" ref="H11:H19" si="6">2^((B11-A11)/10)</f>
        <v>0.25</v>
      </c>
      <c r="I11" s="24">
        <f t="shared" ref="I11:I19" si="7">(3.22-0.046*C11)^((B11-A11)/10)</f>
        <v>0.15622803043322031</v>
      </c>
      <c r="J11" s="24">
        <f t="shared" ref="J11:K19" si="8">F11*H11</f>
        <v>3.35</v>
      </c>
      <c r="K11" s="24">
        <f t="shared" si="8"/>
        <v>2.7214922901466982</v>
      </c>
      <c r="L11" s="24">
        <f t="shared" ref="L11:L19" si="9">3.22-0.046*C11</f>
        <v>2.5300000000000002</v>
      </c>
      <c r="M11" s="24">
        <v>2</v>
      </c>
    </row>
    <row r="12" spans="1:13">
      <c r="A12" s="24">
        <f t="shared" si="1"/>
        <v>25</v>
      </c>
      <c r="B12" s="24">
        <v>10</v>
      </c>
      <c r="C12" s="24">
        <f t="shared" si="2"/>
        <v>17.5</v>
      </c>
      <c r="D12" s="24">
        <f t="shared" si="3"/>
        <v>0.1</v>
      </c>
      <c r="E12" s="24">
        <f t="shared" si="4"/>
        <v>0.12000000000000001</v>
      </c>
      <c r="F12" s="24">
        <f t="shared" si="5"/>
        <v>13.4</v>
      </c>
      <c r="G12" s="24">
        <f t="shared" si="0"/>
        <v>16.080000000000002</v>
      </c>
      <c r="H12" s="24">
        <f t="shared" si="6"/>
        <v>0.35355339059327379</v>
      </c>
      <c r="I12" s="24">
        <f t="shared" si="7"/>
        <v>0.26645525966367983</v>
      </c>
      <c r="J12" s="24">
        <f t="shared" si="8"/>
        <v>4.7376154339498688</v>
      </c>
      <c r="K12" s="24">
        <f t="shared" si="8"/>
        <v>4.2846005753919725</v>
      </c>
      <c r="L12" s="24">
        <f t="shared" si="9"/>
        <v>2.415</v>
      </c>
      <c r="M12" s="24">
        <v>2</v>
      </c>
    </row>
    <row r="13" spans="1:13">
      <c r="A13" s="24">
        <f t="shared" si="1"/>
        <v>25</v>
      </c>
      <c r="B13" s="24">
        <v>15</v>
      </c>
      <c r="C13" s="24">
        <f t="shared" si="2"/>
        <v>20</v>
      </c>
      <c r="D13" s="24">
        <f t="shared" si="3"/>
        <v>0.1</v>
      </c>
      <c r="E13" s="24">
        <f t="shared" si="4"/>
        <v>0.11000000000000001</v>
      </c>
      <c r="F13" s="24">
        <f t="shared" si="5"/>
        <v>13.4</v>
      </c>
      <c r="G13" s="24">
        <f t="shared" si="0"/>
        <v>14.740000000000002</v>
      </c>
      <c r="H13" s="24">
        <f t="shared" si="6"/>
        <v>0.5</v>
      </c>
      <c r="I13" s="24">
        <f t="shared" si="7"/>
        <v>0.43478260869565211</v>
      </c>
      <c r="J13" s="24">
        <f t="shared" si="8"/>
        <v>6.7</v>
      </c>
      <c r="K13" s="24">
        <f t="shared" si="8"/>
        <v>6.4086956521739129</v>
      </c>
      <c r="L13" s="24">
        <f t="shared" si="9"/>
        <v>2.3000000000000003</v>
      </c>
      <c r="M13" s="24">
        <v>2</v>
      </c>
    </row>
    <row r="14" spans="1:13">
      <c r="A14" s="24">
        <f t="shared" si="1"/>
        <v>25</v>
      </c>
      <c r="B14" s="24">
        <v>20</v>
      </c>
      <c r="C14" s="24">
        <f t="shared" si="2"/>
        <v>22.5</v>
      </c>
      <c r="D14" s="24">
        <f t="shared" si="3"/>
        <v>0.1</v>
      </c>
      <c r="E14" s="24">
        <f t="shared" si="4"/>
        <v>0.1</v>
      </c>
      <c r="F14" s="24">
        <f t="shared" si="5"/>
        <v>13.4</v>
      </c>
      <c r="G14" s="24">
        <f t="shared" si="0"/>
        <v>13.4</v>
      </c>
      <c r="H14" s="24">
        <f t="shared" si="6"/>
        <v>0.70710678118654746</v>
      </c>
      <c r="I14" s="24">
        <f t="shared" si="7"/>
        <v>0.67651009149173824</v>
      </c>
      <c r="J14" s="24">
        <f t="shared" si="8"/>
        <v>9.4752308678997359</v>
      </c>
      <c r="K14" s="24">
        <f t="shared" si="8"/>
        <v>9.0652352259892925</v>
      </c>
      <c r="L14" s="24">
        <f t="shared" si="9"/>
        <v>2.1850000000000005</v>
      </c>
      <c r="M14" s="24">
        <v>2</v>
      </c>
    </row>
    <row r="15" spans="1:13">
      <c r="A15" s="24">
        <f t="shared" si="1"/>
        <v>25</v>
      </c>
      <c r="B15" s="24">
        <v>25</v>
      </c>
      <c r="C15" s="24">
        <f t="shared" si="2"/>
        <v>25</v>
      </c>
      <c r="D15" s="24">
        <f t="shared" si="3"/>
        <v>0.1</v>
      </c>
      <c r="E15" s="24">
        <f t="shared" si="4"/>
        <v>9.0000000000000011E-2</v>
      </c>
      <c r="F15" s="24">
        <f t="shared" si="5"/>
        <v>13.4</v>
      </c>
      <c r="G15" s="24">
        <f t="shared" si="0"/>
        <v>12.060000000000002</v>
      </c>
      <c r="H15" s="24">
        <f t="shared" si="6"/>
        <v>1</v>
      </c>
      <c r="I15" s="24">
        <f t="shared" si="7"/>
        <v>1</v>
      </c>
      <c r="J15" s="24">
        <f t="shared" si="8"/>
        <v>13.4</v>
      </c>
      <c r="K15" s="24">
        <f t="shared" si="8"/>
        <v>12.060000000000002</v>
      </c>
      <c r="L15" s="24">
        <f t="shared" si="9"/>
        <v>2.0700000000000003</v>
      </c>
      <c r="M15" s="24">
        <v>2</v>
      </c>
    </row>
    <row r="16" spans="1:13">
      <c r="A16" s="24">
        <f t="shared" si="1"/>
        <v>25</v>
      </c>
      <c r="B16" s="24">
        <v>30</v>
      </c>
      <c r="C16" s="24">
        <f t="shared" si="2"/>
        <v>27.5</v>
      </c>
      <c r="D16" s="24">
        <f t="shared" si="3"/>
        <v>0.1</v>
      </c>
      <c r="E16" s="24">
        <f t="shared" si="4"/>
        <v>8.0000000000000016E-2</v>
      </c>
      <c r="F16" s="24">
        <f t="shared" si="5"/>
        <v>13.4</v>
      </c>
      <c r="G16" s="24">
        <f t="shared" si="0"/>
        <v>10.720000000000002</v>
      </c>
      <c r="H16" s="24">
        <f t="shared" si="6"/>
        <v>1.4142135623730951</v>
      </c>
      <c r="I16" s="24">
        <f t="shared" si="7"/>
        <v>1.3982131454109563</v>
      </c>
      <c r="J16" s="24">
        <f t="shared" si="8"/>
        <v>18.950461735799475</v>
      </c>
      <c r="K16" s="24">
        <f t="shared" si="8"/>
        <v>14.988844918805455</v>
      </c>
      <c r="L16" s="24">
        <f t="shared" si="9"/>
        <v>1.9550000000000003</v>
      </c>
      <c r="M16" s="24">
        <v>2</v>
      </c>
    </row>
    <row r="17" spans="1:13">
      <c r="A17" s="24">
        <f t="shared" si="1"/>
        <v>25</v>
      </c>
      <c r="B17" s="24">
        <v>35</v>
      </c>
      <c r="C17" s="24">
        <f t="shared" si="2"/>
        <v>30</v>
      </c>
      <c r="D17" s="24">
        <f t="shared" si="3"/>
        <v>0.1</v>
      </c>
      <c r="E17" s="24">
        <f t="shared" si="4"/>
        <v>7.0000000000000007E-2</v>
      </c>
      <c r="F17" s="24">
        <f t="shared" si="5"/>
        <v>13.4</v>
      </c>
      <c r="G17" s="24">
        <f t="shared" si="0"/>
        <v>9.3800000000000008</v>
      </c>
      <c r="H17" s="24">
        <f t="shared" si="6"/>
        <v>2</v>
      </c>
      <c r="I17" s="24">
        <f t="shared" si="7"/>
        <v>1.8400000000000003</v>
      </c>
      <c r="J17" s="24">
        <f t="shared" si="8"/>
        <v>26.8</v>
      </c>
      <c r="K17" s="24">
        <f t="shared" si="8"/>
        <v>17.259200000000003</v>
      </c>
      <c r="L17" s="24">
        <f t="shared" si="9"/>
        <v>1.8400000000000003</v>
      </c>
      <c r="M17" s="24">
        <v>2</v>
      </c>
    </row>
    <row r="18" spans="1:13">
      <c r="A18" s="24">
        <f t="shared" si="1"/>
        <v>25</v>
      </c>
      <c r="B18" s="24">
        <v>40</v>
      </c>
      <c r="C18" s="24">
        <f t="shared" si="2"/>
        <v>32.5</v>
      </c>
      <c r="D18" s="24">
        <f t="shared" si="3"/>
        <v>0.1</v>
      </c>
      <c r="E18" s="24">
        <f t="shared" si="4"/>
        <v>6.0000000000000012E-2</v>
      </c>
      <c r="F18" s="24">
        <f t="shared" si="5"/>
        <v>13.4</v>
      </c>
      <c r="G18" s="24">
        <f t="shared" si="0"/>
        <v>8.0400000000000009</v>
      </c>
      <c r="H18" s="24">
        <f t="shared" si="6"/>
        <v>2.8284271247461898</v>
      </c>
      <c r="I18" s="24">
        <f t="shared" si="7"/>
        <v>2.2656021550572381</v>
      </c>
      <c r="J18" s="24">
        <f t="shared" si="8"/>
        <v>37.900923471598944</v>
      </c>
      <c r="K18" s="24">
        <f t="shared" si="8"/>
        <v>18.215441326660198</v>
      </c>
      <c r="L18" s="24">
        <f t="shared" si="9"/>
        <v>1.7250000000000003</v>
      </c>
      <c r="M18" s="24">
        <v>2</v>
      </c>
    </row>
    <row r="19" spans="1:13">
      <c r="A19" s="24">
        <f t="shared" si="1"/>
        <v>25</v>
      </c>
      <c r="B19" s="24">
        <v>45</v>
      </c>
      <c r="C19" s="24">
        <f t="shared" si="2"/>
        <v>35</v>
      </c>
      <c r="D19" s="24">
        <f t="shared" si="3"/>
        <v>0.1</v>
      </c>
      <c r="E19" s="24">
        <f t="shared" si="4"/>
        <v>5.0000000000000017E-2</v>
      </c>
      <c r="F19" s="24">
        <f t="shared" si="5"/>
        <v>13.4</v>
      </c>
      <c r="G19" s="24">
        <f t="shared" si="0"/>
        <v>6.700000000000002</v>
      </c>
      <c r="H19" s="24">
        <f t="shared" si="6"/>
        <v>4</v>
      </c>
      <c r="I19" s="24">
        <f t="shared" si="7"/>
        <v>2.5921000000000012</v>
      </c>
      <c r="J19" s="24">
        <f t="shared" si="8"/>
        <v>53.6</v>
      </c>
      <c r="K19" s="24">
        <f t="shared" si="8"/>
        <v>17.367070000000012</v>
      </c>
      <c r="L19" s="24">
        <f t="shared" si="9"/>
        <v>1.6100000000000003</v>
      </c>
      <c r="M19" s="2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2"/>
  <sheetViews>
    <sheetView workbookViewId="0">
      <selection activeCell="C4" sqref="C4"/>
    </sheetView>
  </sheetViews>
  <sheetFormatPr defaultRowHeight="14.4"/>
  <cols>
    <col min="1" max="1" width="20.6640625" style="24" customWidth="1"/>
    <col min="3" max="3" width="11.44140625" customWidth="1"/>
    <col min="4" max="4" width="18" customWidth="1"/>
    <col min="5" max="5" width="13.5546875" customWidth="1"/>
    <col min="6" max="6" width="14" customWidth="1"/>
  </cols>
  <sheetData>
    <row r="1" spans="1:13" s="24" customFormat="1">
      <c r="A1" s="2" t="s">
        <v>256</v>
      </c>
      <c r="B1" s="2"/>
      <c r="C1" s="2"/>
      <c r="D1" s="2"/>
      <c r="E1" s="28" t="s">
        <v>272</v>
      </c>
      <c r="F1" s="28"/>
      <c r="I1" s="26" t="s">
        <v>86</v>
      </c>
      <c r="J1" s="26"/>
      <c r="K1" s="26"/>
    </row>
    <row r="2" spans="1:13">
      <c r="A2" s="24" t="s">
        <v>240</v>
      </c>
      <c r="B2" t="s">
        <v>186</v>
      </c>
      <c r="E2" s="28" t="s">
        <v>235</v>
      </c>
      <c r="F2" s="28" t="s">
        <v>236</v>
      </c>
      <c r="G2" s="26" t="s">
        <v>234</v>
      </c>
      <c r="I2" s="28" t="s">
        <v>298</v>
      </c>
      <c r="J2" s="28"/>
      <c r="K2" s="28"/>
    </row>
    <row r="3" spans="1:13">
      <c r="A3" s="24">
        <v>1</v>
      </c>
      <c r="B3" s="26">
        <f>$F$3-((A3-1)*$G$3/(5-1))</f>
        <v>333</v>
      </c>
      <c r="D3" s="56" t="s">
        <v>241</v>
      </c>
      <c r="E3" s="28">
        <v>85</v>
      </c>
      <c r="F3" s="28">
        <v>333</v>
      </c>
      <c r="G3" s="26">
        <f>F3-E3</f>
        <v>248</v>
      </c>
      <c r="H3" t="s">
        <v>242</v>
      </c>
      <c r="J3" s="2" t="s">
        <v>257</v>
      </c>
      <c r="K3" s="2"/>
      <c r="L3" s="2"/>
      <c r="M3" s="2"/>
    </row>
    <row r="4" spans="1:13">
      <c r="A4" s="24">
        <v>2</v>
      </c>
      <c r="B4" s="26">
        <f>$F$3-((A4-1)*$G$3/(5-1))</f>
        <v>271</v>
      </c>
      <c r="D4" s="56" t="s">
        <v>244</v>
      </c>
      <c r="E4">
        <v>85</v>
      </c>
      <c r="F4">
        <v>333</v>
      </c>
    </row>
    <row r="5" spans="1:13">
      <c r="A5" s="24">
        <v>3</v>
      </c>
      <c r="B5" s="26">
        <f>$F$3-((A5-1)*$G$3/(5-1))</f>
        <v>209</v>
      </c>
    </row>
    <row r="6" spans="1:13">
      <c r="A6" s="24">
        <v>4</v>
      </c>
      <c r="B6" s="26">
        <f>$F$3-((A6-1)*$G$3/(5-1))</f>
        <v>147</v>
      </c>
      <c r="E6" s="28" t="s">
        <v>237</v>
      </c>
      <c r="F6" s="28"/>
      <c r="G6" s="28"/>
    </row>
    <row r="7" spans="1:13">
      <c r="A7" s="24">
        <v>5</v>
      </c>
      <c r="B7" s="26">
        <f>$F$3-((A7-1)*$G$3/(5-1))</f>
        <v>85</v>
      </c>
      <c r="E7" t="s">
        <v>238</v>
      </c>
      <c r="G7" s="28">
        <v>4.83</v>
      </c>
      <c r="H7" s="24" t="s">
        <v>243</v>
      </c>
    </row>
    <row r="8" spans="1:13">
      <c r="B8" s="24" t="s">
        <v>273</v>
      </c>
      <c r="E8" t="s">
        <v>239</v>
      </c>
      <c r="G8" s="26">
        <f>$F$3-((G7-1)*$G$3/(5-1))</f>
        <v>95.539999999999992</v>
      </c>
      <c r="H8" s="24" t="s">
        <v>242</v>
      </c>
    </row>
    <row r="9" spans="1:13">
      <c r="B9" s="24"/>
    </row>
    <row r="10" spans="1:13">
      <c r="B10" s="24"/>
    </row>
    <row r="11" spans="1:13">
      <c r="B11" s="24"/>
    </row>
    <row r="12" spans="1:13">
      <c r="B1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Y34"/>
  <sheetViews>
    <sheetView topLeftCell="G1" zoomScaleNormal="100" workbookViewId="0">
      <selection activeCell="E3" sqref="E3"/>
    </sheetView>
  </sheetViews>
  <sheetFormatPr defaultRowHeight="14.4"/>
  <cols>
    <col min="1" max="1" width="13" customWidth="1"/>
    <col min="12" max="12" width="13.5546875" customWidth="1"/>
    <col min="22" max="22" width="15" customWidth="1"/>
  </cols>
  <sheetData>
    <row r="1" spans="1:25">
      <c r="A1" t="s">
        <v>214</v>
      </c>
      <c r="B1" s="24" t="s">
        <v>95</v>
      </c>
      <c r="D1" s="24" t="s">
        <v>215</v>
      </c>
      <c r="E1" s="24" t="s">
        <v>216</v>
      </c>
      <c r="F1" s="24" t="s">
        <v>217</v>
      </c>
      <c r="G1" s="24" t="s">
        <v>218</v>
      </c>
      <c r="L1" s="24" t="s">
        <v>214</v>
      </c>
      <c r="M1" s="24" t="s">
        <v>95</v>
      </c>
      <c r="N1" s="26" t="s">
        <v>86</v>
      </c>
      <c r="O1" s="26"/>
      <c r="P1" s="26"/>
      <c r="W1" s="28" t="s">
        <v>268</v>
      </c>
      <c r="X1" s="28"/>
      <c r="Y1" s="58" t="s">
        <v>269</v>
      </c>
    </row>
    <row r="2" spans="1:25">
      <c r="D2" s="28">
        <v>0</v>
      </c>
      <c r="E2" s="28">
        <v>4</v>
      </c>
      <c r="F2" s="28">
        <v>118</v>
      </c>
      <c r="G2" s="28">
        <v>160</v>
      </c>
      <c r="H2" t="s">
        <v>274</v>
      </c>
      <c r="N2" s="28" t="s">
        <v>298</v>
      </c>
      <c r="O2" s="28"/>
      <c r="P2" s="28"/>
      <c r="V2" s="2" t="s">
        <v>255</v>
      </c>
      <c r="W2" s="28" t="s">
        <v>267</v>
      </c>
      <c r="X2" s="28"/>
      <c r="Y2" s="58" t="s">
        <v>270</v>
      </c>
    </row>
    <row r="3" spans="1:25">
      <c r="V3" t="s">
        <v>233</v>
      </c>
      <c r="W3" t="s">
        <v>215</v>
      </c>
      <c r="X3" t="s">
        <v>216</v>
      </c>
      <c r="Y3" s="55" t="s">
        <v>245</v>
      </c>
    </row>
    <row r="4" spans="1:25">
      <c r="A4">
        <v>-100</v>
      </c>
      <c r="B4" s="24">
        <f>IF(A4&lt;=$D$2,0,IF(A4&lt;=$E$2,(1-($E$2-A4)/($E$2-$D$2)),IF(A4&gt;=$G$2,0,IF(A4&gt;=$F$2,(1-(A4-$F$2)/($G$2-$F$2)),1))))</f>
        <v>0</v>
      </c>
      <c r="L4" s="24">
        <v>-10</v>
      </c>
      <c r="M4" s="26">
        <f>IF(L4&lt;=$D$2,0,IF(L4&lt;=$E$2,(1-($E$2-L4)/($E$2-$D$2)),IF(L4&gt;=$G$2,0,IF(L4&gt;=$F$2,H22=(1-(L4-$F$2)/($G$2-$F$2)),1))))</f>
        <v>0</v>
      </c>
      <c r="V4" t="s">
        <v>231</v>
      </c>
      <c r="W4">
        <v>0</v>
      </c>
      <c r="X4">
        <v>4</v>
      </c>
      <c r="Y4">
        <v>0</v>
      </c>
    </row>
    <row r="5" spans="1:25">
      <c r="A5">
        <f>A4+10</f>
        <v>-90</v>
      </c>
      <c r="B5" s="24">
        <f t="shared" ref="B5:B34" si="0">IF(A5&lt;=$D$2,0,IF(A5&lt;=$E$2,(1-($E$2-A5)/($E$2-$D$2)),IF(A5&gt;=$G$2,0,IF(A5&gt;=$F$2,(1-(A5-$F$2)/($G$2-$F$2)),1))))</f>
        <v>0</v>
      </c>
      <c r="L5" s="24">
        <f>L4+1</f>
        <v>-9</v>
      </c>
      <c r="M5" s="26">
        <f t="shared" ref="M5:M24" si="1">IF(L5&lt;=$D$2,0,IF(L5&lt;=$E$2,(1-($E$2-L5)/($E$2-$D$2)),IF(L5&gt;=$G$2,0,IF(L5&gt;=$F$2,(1-(L5-$F$2)/($G$2-$F$2)),1))))</f>
        <v>0</v>
      </c>
      <c r="V5" t="s">
        <v>246</v>
      </c>
      <c r="W5" s="24">
        <v>-0.7</v>
      </c>
      <c r="X5" s="24">
        <v>3.5</v>
      </c>
      <c r="Y5">
        <v>0.16667000000000001</v>
      </c>
    </row>
    <row r="6" spans="1:25">
      <c r="A6" s="24">
        <f t="shared" ref="A6:A34" si="2">A5+10</f>
        <v>-80</v>
      </c>
      <c r="B6" s="24">
        <f t="shared" si="0"/>
        <v>0</v>
      </c>
      <c r="L6" s="24">
        <f t="shared" ref="L6:L24" si="3">L5+1</f>
        <v>-8</v>
      </c>
      <c r="M6" s="26">
        <f t="shared" si="1"/>
        <v>0</v>
      </c>
      <c r="V6" t="s">
        <v>247</v>
      </c>
      <c r="W6">
        <v>-1.25</v>
      </c>
      <c r="X6">
        <v>2.85</v>
      </c>
      <c r="Y6">
        <v>0.30487999999999998</v>
      </c>
    </row>
    <row r="7" spans="1:25">
      <c r="A7" s="24">
        <f t="shared" si="2"/>
        <v>-70</v>
      </c>
      <c r="B7" s="24">
        <f t="shared" si="0"/>
        <v>0</v>
      </c>
      <c r="L7" s="24">
        <f t="shared" si="3"/>
        <v>-7</v>
      </c>
      <c r="M7" s="26">
        <f t="shared" si="1"/>
        <v>0</v>
      </c>
      <c r="V7" t="s">
        <v>232</v>
      </c>
      <c r="W7" s="24">
        <v>-2.25</v>
      </c>
      <c r="X7" s="24">
        <v>2.5</v>
      </c>
      <c r="Y7">
        <v>0.47367999999999999</v>
      </c>
    </row>
    <row r="8" spans="1:25">
      <c r="A8" s="24">
        <f t="shared" si="2"/>
        <v>-60</v>
      </c>
      <c r="B8" s="24">
        <f t="shared" si="0"/>
        <v>0</v>
      </c>
      <c r="L8" s="24">
        <f t="shared" si="3"/>
        <v>-6</v>
      </c>
      <c r="M8" s="26">
        <f t="shared" si="1"/>
        <v>0</v>
      </c>
      <c r="V8" t="s">
        <v>210</v>
      </c>
      <c r="W8">
        <v>-3.3</v>
      </c>
      <c r="X8">
        <v>2</v>
      </c>
      <c r="Y8">
        <v>0.62264200000000003</v>
      </c>
    </row>
    <row r="9" spans="1:25">
      <c r="A9" s="24">
        <f t="shared" si="2"/>
        <v>-50</v>
      </c>
      <c r="B9" s="24">
        <f t="shared" si="0"/>
        <v>0</v>
      </c>
      <c r="L9" s="24">
        <f t="shared" si="3"/>
        <v>-5</v>
      </c>
      <c r="M9" s="26">
        <f t="shared" si="1"/>
        <v>0</v>
      </c>
      <c r="V9" t="s">
        <v>248</v>
      </c>
      <c r="W9">
        <v>-5</v>
      </c>
      <c r="X9">
        <v>1</v>
      </c>
      <c r="Y9">
        <v>0.83333000000000002</v>
      </c>
    </row>
    <row r="10" spans="1:25">
      <c r="A10" s="24">
        <f t="shared" si="2"/>
        <v>-40</v>
      </c>
      <c r="B10" s="24">
        <f t="shared" si="0"/>
        <v>0</v>
      </c>
      <c r="L10" s="24">
        <f t="shared" si="3"/>
        <v>-4</v>
      </c>
      <c r="M10" s="26">
        <f t="shared" si="1"/>
        <v>0</v>
      </c>
      <c r="Y10" t="s">
        <v>271</v>
      </c>
    </row>
    <row r="11" spans="1:25">
      <c r="A11" s="24">
        <f t="shared" si="2"/>
        <v>-30</v>
      </c>
      <c r="B11" s="24">
        <f t="shared" si="0"/>
        <v>0</v>
      </c>
      <c r="L11" s="24">
        <f t="shared" si="3"/>
        <v>-3</v>
      </c>
      <c r="M11" s="26">
        <f t="shared" si="1"/>
        <v>0</v>
      </c>
    </row>
    <row r="12" spans="1:25">
      <c r="A12" s="24">
        <f t="shared" si="2"/>
        <v>-20</v>
      </c>
      <c r="B12" s="24">
        <f t="shared" si="0"/>
        <v>0</v>
      </c>
      <c r="L12" s="24">
        <f t="shared" si="3"/>
        <v>-2</v>
      </c>
      <c r="M12" s="26">
        <f t="shared" si="1"/>
        <v>0</v>
      </c>
    </row>
    <row r="13" spans="1:25">
      <c r="A13" s="24">
        <f t="shared" si="2"/>
        <v>-10</v>
      </c>
      <c r="B13" s="24">
        <f t="shared" si="0"/>
        <v>0</v>
      </c>
      <c r="L13" s="24">
        <f t="shared" si="3"/>
        <v>-1</v>
      </c>
      <c r="M13" s="26">
        <f t="shared" si="1"/>
        <v>0</v>
      </c>
    </row>
    <row r="14" spans="1:25">
      <c r="A14" s="24">
        <f t="shared" si="2"/>
        <v>0</v>
      </c>
      <c r="B14" s="24">
        <f t="shared" si="0"/>
        <v>0</v>
      </c>
      <c r="L14" s="58">
        <f t="shared" si="3"/>
        <v>0</v>
      </c>
      <c r="M14" s="58">
        <f>IF(L14&lt;=$D$2,0,IF(L14&lt;=$E$2,(1-($E$2-L14)/($E$2-$D$2)),IF(L14&gt;=$G$2,0,IF(L14&gt;=$F$2,(1-(L14-$F$2)/($G$2-$F$2)),1))))</f>
        <v>0</v>
      </c>
    </row>
    <row r="15" spans="1:25">
      <c r="A15" s="24">
        <f t="shared" si="2"/>
        <v>10</v>
      </c>
      <c r="B15" s="24">
        <f t="shared" si="0"/>
        <v>1</v>
      </c>
      <c r="L15" s="24">
        <f t="shared" si="3"/>
        <v>1</v>
      </c>
      <c r="M15" s="26">
        <f t="shared" si="1"/>
        <v>0.25</v>
      </c>
    </row>
    <row r="16" spans="1:25">
      <c r="A16" s="24">
        <f t="shared" si="2"/>
        <v>20</v>
      </c>
      <c r="B16" s="24">
        <f t="shared" si="0"/>
        <v>1</v>
      </c>
      <c r="L16" s="24">
        <f t="shared" si="3"/>
        <v>2</v>
      </c>
      <c r="M16" s="26">
        <f t="shared" si="1"/>
        <v>0.5</v>
      </c>
    </row>
    <row r="17" spans="1:13">
      <c r="A17" s="24">
        <f t="shared" si="2"/>
        <v>30</v>
      </c>
      <c r="B17" s="24">
        <f t="shared" si="0"/>
        <v>1</v>
      </c>
      <c r="L17" s="24">
        <f t="shared" si="3"/>
        <v>3</v>
      </c>
      <c r="M17" s="26">
        <f t="shared" si="1"/>
        <v>0.75</v>
      </c>
    </row>
    <row r="18" spans="1:13">
      <c r="A18" s="24">
        <f t="shared" si="2"/>
        <v>40</v>
      </c>
      <c r="B18" s="24">
        <f t="shared" si="0"/>
        <v>1</v>
      </c>
      <c r="L18" s="24">
        <f t="shared" si="3"/>
        <v>4</v>
      </c>
      <c r="M18" s="26">
        <f t="shared" si="1"/>
        <v>1</v>
      </c>
    </row>
    <row r="19" spans="1:13">
      <c r="A19" s="24">
        <f t="shared" si="2"/>
        <v>50</v>
      </c>
      <c r="B19" s="24">
        <f t="shared" si="0"/>
        <v>1</v>
      </c>
      <c r="L19" s="24">
        <f t="shared" si="3"/>
        <v>5</v>
      </c>
      <c r="M19" s="26">
        <f t="shared" si="1"/>
        <v>1</v>
      </c>
    </row>
    <row r="20" spans="1:13">
      <c r="A20" s="24">
        <f t="shared" si="2"/>
        <v>60</v>
      </c>
      <c r="B20" s="24">
        <f t="shared" si="0"/>
        <v>1</v>
      </c>
      <c r="G20" s="28" t="s">
        <v>303</v>
      </c>
      <c r="H20" s="28"/>
      <c r="L20" s="24">
        <f t="shared" si="3"/>
        <v>6</v>
      </c>
      <c r="M20" s="26">
        <f t="shared" si="1"/>
        <v>1</v>
      </c>
    </row>
    <row r="21" spans="1:13">
      <c r="A21" s="24">
        <f t="shared" si="2"/>
        <v>70</v>
      </c>
      <c r="B21" s="24">
        <f t="shared" si="0"/>
        <v>1</v>
      </c>
      <c r="G21" t="s">
        <v>302</v>
      </c>
      <c r="H21" t="s">
        <v>95</v>
      </c>
      <c r="L21" s="24">
        <f t="shared" si="3"/>
        <v>7</v>
      </c>
      <c r="M21" s="26">
        <f t="shared" si="1"/>
        <v>1</v>
      </c>
    </row>
    <row r="22" spans="1:13">
      <c r="A22" s="24">
        <f t="shared" si="2"/>
        <v>80</v>
      </c>
      <c r="B22" s="24">
        <f t="shared" si="0"/>
        <v>1</v>
      </c>
      <c r="G22">
        <v>2</v>
      </c>
      <c r="H22">
        <f>IF(G22&lt;$E$2,(1-($E$2-G22)/($E$2-D2)),IF(AND(G22&gt;=$E$2, G22&lt;=$F$2),1, IF(G22&lt;$G$2,(1-(G22-$F$2)/($G$2-$F$2)),0)))</f>
        <v>0.5</v>
      </c>
      <c r="L22" s="24">
        <f t="shared" si="3"/>
        <v>8</v>
      </c>
      <c r="M22" s="26">
        <f t="shared" si="1"/>
        <v>1</v>
      </c>
    </row>
    <row r="23" spans="1:13">
      <c r="A23" s="24">
        <f t="shared" si="2"/>
        <v>90</v>
      </c>
      <c r="B23" s="24">
        <f t="shared" si="0"/>
        <v>1</v>
      </c>
      <c r="L23" s="24">
        <f t="shared" si="3"/>
        <v>9</v>
      </c>
      <c r="M23" s="26">
        <f t="shared" si="1"/>
        <v>1</v>
      </c>
    </row>
    <row r="24" spans="1:13">
      <c r="A24" s="24">
        <f t="shared" si="2"/>
        <v>100</v>
      </c>
      <c r="B24" s="24">
        <f t="shared" si="0"/>
        <v>1</v>
      </c>
      <c r="L24" s="24">
        <f t="shared" si="3"/>
        <v>10</v>
      </c>
      <c r="M24" s="26">
        <f t="shared" si="1"/>
        <v>1</v>
      </c>
    </row>
    <row r="25" spans="1:13">
      <c r="A25" s="24">
        <f t="shared" si="2"/>
        <v>110</v>
      </c>
      <c r="B25" s="24">
        <f t="shared" si="0"/>
        <v>1</v>
      </c>
    </row>
    <row r="26" spans="1:13">
      <c r="A26" s="24">
        <f t="shared" si="2"/>
        <v>120</v>
      </c>
      <c r="B26" s="24">
        <f t="shared" si="0"/>
        <v>0.95238095238095233</v>
      </c>
    </row>
    <row r="27" spans="1:13">
      <c r="A27" s="24">
        <f t="shared" si="2"/>
        <v>130</v>
      </c>
      <c r="B27" s="24">
        <f t="shared" si="0"/>
        <v>0.7142857142857143</v>
      </c>
    </row>
    <row r="28" spans="1:13">
      <c r="A28" s="24">
        <f t="shared" si="2"/>
        <v>140</v>
      </c>
      <c r="B28" s="24">
        <f t="shared" si="0"/>
        <v>0.47619047619047616</v>
      </c>
    </row>
    <row r="29" spans="1:13">
      <c r="A29" s="24">
        <f t="shared" si="2"/>
        <v>150</v>
      </c>
      <c r="B29" s="24">
        <f t="shared" si="0"/>
        <v>0.23809523809523814</v>
      </c>
    </row>
    <row r="30" spans="1:13">
      <c r="A30" s="24">
        <f t="shared" si="2"/>
        <v>160</v>
      </c>
      <c r="B30" s="24">
        <f t="shared" si="0"/>
        <v>0</v>
      </c>
    </row>
    <row r="31" spans="1:13">
      <c r="A31" s="24">
        <f t="shared" si="2"/>
        <v>170</v>
      </c>
      <c r="B31" s="24">
        <f t="shared" si="0"/>
        <v>0</v>
      </c>
    </row>
    <row r="32" spans="1:13">
      <c r="A32" s="24">
        <f t="shared" si="2"/>
        <v>180</v>
      </c>
      <c r="B32" s="24">
        <f t="shared" si="0"/>
        <v>0</v>
      </c>
    </row>
    <row r="33" spans="1:2">
      <c r="A33" s="24">
        <f t="shared" si="2"/>
        <v>190</v>
      </c>
      <c r="B33" s="24">
        <f t="shared" si="0"/>
        <v>0</v>
      </c>
    </row>
    <row r="34" spans="1:2">
      <c r="A34" s="24">
        <f t="shared" si="2"/>
        <v>200</v>
      </c>
      <c r="B34" s="24">
        <f t="shared" si="0"/>
        <v>0</v>
      </c>
    </row>
  </sheetData>
  <hyperlinks>
    <hyperlink ref="Y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J32"/>
  <sheetViews>
    <sheetView workbookViewId="0">
      <selection activeCell="F4" sqref="F4"/>
    </sheetView>
  </sheetViews>
  <sheetFormatPr defaultColWidth="9.109375" defaultRowHeight="14.4"/>
  <cols>
    <col min="1" max="1" width="9.109375" style="24"/>
    <col min="2" max="2" width="12.44140625" style="24" customWidth="1"/>
    <col min="3" max="3" width="11.5546875" style="24" customWidth="1"/>
    <col min="4" max="4" width="9.109375" style="24"/>
    <col min="5" max="5" width="14.33203125" style="24" customWidth="1"/>
    <col min="6" max="16384" width="9.109375" style="24"/>
  </cols>
  <sheetData>
    <row r="1" spans="1:10">
      <c r="A1" s="24" t="s">
        <v>180</v>
      </c>
      <c r="B1" s="24" t="s">
        <v>96</v>
      </c>
      <c r="H1" s="26" t="s">
        <v>86</v>
      </c>
      <c r="I1" s="26"/>
      <c r="J1" s="26"/>
    </row>
    <row r="2" spans="1:10">
      <c r="A2" s="24">
        <v>0</v>
      </c>
      <c r="B2" s="24">
        <f>MAX(0,1-(A2/$F$2)^$F$3)</f>
        <v>1</v>
      </c>
      <c r="E2" s="28" t="s">
        <v>181</v>
      </c>
      <c r="F2" s="28">
        <v>250</v>
      </c>
      <c r="G2" s="24" t="s">
        <v>275</v>
      </c>
      <c r="H2" s="28" t="s">
        <v>298</v>
      </c>
      <c r="I2" s="28"/>
      <c r="J2" s="28"/>
    </row>
    <row r="3" spans="1:10">
      <c r="A3" s="24">
        <v>10</v>
      </c>
      <c r="B3" s="24">
        <f>MAX(0,1-(A3/$F$2)^$F$3)</f>
        <v>0.99999989759999997</v>
      </c>
      <c r="E3" s="28" t="s">
        <v>0</v>
      </c>
      <c r="F3" s="28">
        <v>5</v>
      </c>
      <c r="G3" s="24" t="s">
        <v>275</v>
      </c>
    </row>
    <row r="4" spans="1:10" ht="15.6">
      <c r="A4" s="24">
        <v>20</v>
      </c>
      <c r="B4" s="24">
        <f t="shared" ref="B4:B32" si="0">MAX(0,1-(A4/$F$2)^$F$3)</f>
        <v>0.99999672319999999</v>
      </c>
      <c r="E4" s="1"/>
    </row>
    <row r="5" spans="1:10">
      <c r="A5" s="24">
        <v>30</v>
      </c>
      <c r="B5" s="24">
        <f t="shared" si="0"/>
        <v>0.99997511679999995</v>
      </c>
    </row>
    <row r="6" spans="1:10">
      <c r="A6" s="24">
        <v>40</v>
      </c>
      <c r="B6" s="24">
        <f t="shared" si="0"/>
        <v>0.99989514239999999</v>
      </c>
    </row>
    <row r="7" spans="1:10">
      <c r="A7" s="24">
        <v>50</v>
      </c>
      <c r="B7" s="24">
        <f t="shared" si="0"/>
        <v>0.99968000000000001</v>
      </c>
    </row>
    <row r="8" spans="1:10">
      <c r="A8" s="24">
        <v>60</v>
      </c>
      <c r="B8" s="24">
        <f t="shared" si="0"/>
        <v>0.99920373760000003</v>
      </c>
    </row>
    <row r="9" spans="1:10">
      <c r="A9" s="24">
        <v>70</v>
      </c>
      <c r="B9" s="24">
        <f t="shared" si="0"/>
        <v>0.99827896319999998</v>
      </c>
    </row>
    <row r="10" spans="1:10">
      <c r="A10" s="24">
        <v>80</v>
      </c>
      <c r="B10" s="24">
        <f t="shared" si="0"/>
        <v>0.99664455679999997</v>
      </c>
    </row>
    <row r="11" spans="1:10">
      <c r="A11" s="24">
        <v>90</v>
      </c>
      <c r="B11" s="24">
        <f t="shared" si="0"/>
        <v>0.99395338239999997</v>
      </c>
    </row>
    <row r="12" spans="1:10">
      <c r="A12" s="24">
        <v>100</v>
      </c>
      <c r="B12" s="24">
        <f t="shared" si="0"/>
        <v>0.98975999999999997</v>
      </c>
    </row>
    <row r="13" spans="1:10">
      <c r="A13" s="24">
        <f>A12+10</f>
        <v>110</v>
      </c>
      <c r="B13" s="24">
        <f t="shared" si="0"/>
        <v>0.98350837759999998</v>
      </c>
    </row>
    <row r="14" spans="1:10">
      <c r="A14" s="24">
        <f t="shared" ref="A14:A32" si="1">A13+10</f>
        <v>120</v>
      </c>
      <c r="B14" s="24">
        <f t="shared" si="0"/>
        <v>0.97451960319999997</v>
      </c>
    </row>
    <row r="15" spans="1:10">
      <c r="A15" s="24">
        <f t="shared" si="1"/>
        <v>130</v>
      </c>
      <c r="B15" s="24">
        <f t="shared" si="0"/>
        <v>0.9619795968</v>
      </c>
    </row>
    <row r="16" spans="1:10">
      <c r="A16" s="24">
        <f t="shared" si="1"/>
        <v>140</v>
      </c>
      <c r="B16" s="24">
        <f t="shared" si="0"/>
        <v>0.94492682240000003</v>
      </c>
    </row>
    <row r="17" spans="1:2">
      <c r="A17" s="24">
        <f t="shared" si="1"/>
        <v>150</v>
      </c>
      <c r="B17" s="24">
        <f t="shared" si="0"/>
        <v>0.92223999999999995</v>
      </c>
    </row>
    <row r="18" spans="1:2">
      <c r="A18" s="24">
        <f t="shared" si="1"/>
        <v>160</v>
      </c>
      <c r="B18" s="24">
        <f t="shared" si="0"/>
        <v>0.89262581760000004</v>
      </c>
    </row>
    <row r="19" spans="1:2">
      <c r="A19" s="24">
        <f t="shared" si="1"/>
        <v>170</v>
      </c>
      <c r="B19" s="24">
        <f t="shared" si="0"/>
        <v>0.8546066431999999</v>
      </c>
    </row>
    <row r="20" spans="1:2">
      <c r="A20" s="24">
        <f t="shared" si="1"/>
        <v>180</v>
      </c>
      <c r="B20" s="24">
        <f t="shared" si="0"/>
        <v>0.80650823680000006</v>
      </c>
    </row>
    <row r="21" spans="1:2">
      <c r="A21" s="24">
        <f t="shared" si="1"/>
        <v>190</v>
      </c>
      <c r="B21" s="24">
        <f t="shared" si="0"/>
        <v>0.74644746239999993</v>
      </c>
    </row>
    <row r="22" spans="1:2">
      <c r="A22" s="24">
        <f t="shared" si="1"/>
        <v>200</v>
      </c>
      <c r="B22" s="24">
        <f t="shared" si="0"/>
        <v>0.67231999999999981</v>
      </c>
    </row>
    <row r="23" spans="1:2">
      <c r="A23" s="24">
        <f t="shared" si="1"/>
        <v>210</v>
      </c>
      <c r="B23" s="24">
        <f t="shared" si="0"/>
        <v>0.58178805760000007</v>
      </c>
    </row>
    <row r="24" spans="1:2">
      <c r="A24" s="24">
        <f t="shared" si="1"/>
        <v>220</v>
      </c>
      <c r="B24" s="24">
        <f t="shared" si="0"/>
        <v>0.47226808320000002</v>
      </c>
    </row>
    <row r="25" spans="1:2">
      <c r="A25" s="24">
        <f t="shared" si="1"/>
        <v>230</v>
      </c>
      <c r="B25" s="24">
        <f t="shared" si="0"/>
        <v>0.34091847679999987</v>
      </c>
    </row>
    <row r="26" spans="1:2">
      <c r="A26" s="24">
        <f t="shared" si="1"/>
        <v>240</v>
      </c>
      <c r="B26" s="24">
        <f t="shared" si="0"/>
        <v>0.18462730240000003</v>
      </c>
    </row>
    <row r="27" spans="1:2">
      <c r="A27" s="24">
        <f t="shared" si="1"/>
        <v>250</v>
      </c>
      <c r="B27" s="24">
        <f t="shared" si="0"/>
        <v>0</v>
      </c>
    </row>
    <row r="28" spans="1:2">
      <c r="A28" s="24">
        <f t="shared" si="1"/>
        <v>260</v>
      </c>
      <c r="B28" s="24">
        <f t="shared" si="0"/>
        <v>0</v>
      </c>
    </row>
    <row r="29" spans="1:2">
      <c r="A29" s="24">
        <f t="shared" si="1"/>
        <v>270</v>
      </c>
      <c r="B29" s="24">
        <f t="shared" si="0"/>
        <v>0</v>
      </c>
    </row>
    <row r="30" spans="1:2">
      <c r="A30" s="24">
        <f t="shared" si="1"/>
        <v>280</v>
      </c>
      <c r="B30" s="24">
        <f t="shared" si="0"/>
        <v>0</v>
      </c>
    </row>
    <row r="31" spans="1:2">
      <c r="A31" s="24">
        <f t="shared" si="1"/>
        <v>290</v>
      </c>
      <c r="B31" s="24">
        <f t="shared" si="0"/>
        <v>0</v>
      </c>
    </row>
    <row r="32" spans="1:2">
      <c r="A32" s="24">
        <f t="shared" si="1"/>
        <v>300</v>
      </c>
      <c r="B32" s="2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R144"/>
  <sheetViews>
    <sheetView topLeftCell="F1" workbookViewId="0">
      <selection activeCell="M11" sqref="M11"/>
    </sheetView>
  </sheetViews>
  <sheetFormatPr defaultRowHeight="14.4"/>
  <cols>
    <col min="1" max="1" width="12.88671875" customWidth="1"/>
    <col min="12" max="12" width="8.88671875" style="24"/>
    <col min="15" max="15" width="8.88671875" style="24"/>
  </cols>
  <sheetData>
    <row r="1" spans="1:18">
      <c r="A1" t="s">
        <v>191</v>
      </c>
      <c r="B1" t="s">
        <v>194</v>
      </c>
      <c r="C1" t="s">
        <v>327</v>
      </c>
      <c r="D1" s="28" t="s">
        <v>190</v>
      </c>
      <c r="F1" s="26" t="s">
        <v>86</v>
      </c>
      <c r="G1" s="26"/>
      <c r="H1" s="26"/>
      <c r="M1" s="24" t="s">
        <v>190</v>
      </c>
      <c r="N1" s="24" t="s">
        <v>329</v>
      </c>
      <c r="O1" s="24" t="s">
        <v>389</v>
      </c>
      <c r="P1" s="24" t="s">
        <v>328</v>
      </c>
      <c r="Q1" t="s">
        <v>336</v>
      </c>
    </row>
    <row r="2" spans="1:18">
      <c r="A2">
        <v>0</v>
      </c>
      <c r="B2">
        <f>EXP(-$D$2*A2)</f>
        <v>1</v>
      </c>
      <c r="C2">
        <f t="shared" ref="C2:C33" si="0">A2*B2</f>
        <v>0</v>
      </c>
      <c r="D2" s="28">
        <v>2.0000000000000001E-4</v>
      </c>
      <c r="E2" t="s">
        <v>275</v>
      </c>
      <c r="F2" s="28" t="s">
        <v>298</v>
      </c>
      <c r="G2" s="28"/>
      <c r="H2" s="28"/>
      <c r="M2" s="24">
        <v>1.0000000000000001E-5</v>
      </c>
      <c r="N2" s="24">
        <v>100000</v>
      </c>
      <c r="O2" s="24">
        <f t="shared" ref="O2:O8" si="1">EXP(-$D$2*N2)</f>
        <v>2.0611536224385579E-9</v>
      </c>
      <c r="P2" s="24">
        <f t="shared" ref="P2:P8" si="2">N2*O2</f>
        <v>2.0611536224385578E-4</v>
      </c>
      <c r="Q2" s="24">
        <f>1*(M2^-1)</f>
        <v>99999.999999999985</v>
      </c>
      <c r="R2" s="24"/>
    </row>
    <row r="3" spans="1:18">
      <c r="A3">
        <v>1000</v>
      </c>
      <c r="B3" s="24">
        <f>EXP(-$D$2*A3)</f>
        <v>0.81873075307798182</v>
      </c>
      <c r="C3" s="24">
        <f t="shared" si="0"/>
        <v>818.73075307798183</v>
      </c>
      <c r="D3" t="s">
        <v>329</v>
      </c>
      <c r="E3" t="s">
        <v>388</v>
      </c>
      <c r="M3" s="24">
        <v>2.0000000000000002E-5</v>
      </c>
      <c r="N3" s="24">
        <v>50000</v>
      </c>
      <c r="O3" s="24">
        <f t="shared" si="1"/>
        <v>4.5399929762484854E-5</v>
      </c>
      <c r="P3" s="24">
        <f t="shared" si="2"/>
        <v>2.2699964881242427</v>
      </c>
      <c r="Q3" s="24">
        <f t="shared" ref="Q3:Q10" si="3">1*(M3^-1)</f>
        <v>49999.999999999993</v>
      </c>
    </row>
    <row r="4" spans="1:18">
      <c r="A4" s="24">
        <v>2000</v>
      </c>
      <c r="B4" s="24">
        <f t="shared" ref="B4:B35" si="4">EXP(-$D$2*A4)</f>
        <v>0.67032004603563933</v>
      </c>
      <c r="C4" s="24">
        <f t="shared" si="0"/>
        <v>1340.6400920712786</v>
      </c>
      <c r="D4">
        <f>MAX(C:C)</f>
        <v>1839.3972058572117</v>
      </c>
      <c r="E4">
        <f>MATCH(D4,C:C,0)</f>
        <v>7</v>
      </c>
      <c r="M4" s="24">
        <v>3.0000000000000001E-5</v>
      </c>
      <c r="N4" s="24">
        <v>33333</v>
      </c>
      <c r="O4" s="24">
        <f t="shared" si="1"/>
        <v>1.272718646421368E-3</v>
      </c>
      <c r="P4" s="24">
        <f t="shared" si="2"/>
        <v>42.42353064116346</v>
      </c>
      <c r="Q4" s="24">
        <f t="shared" si="3"/>
        <v>33333.333333333336</v>
      </c>
    </row>
    <row r="5" spans="1:18" ht="15.6">
      <c r="A5" s="24">
        <v>3000</v>
      </c>
      <c r="B5" s="24">
        <f t="shared" si="4"/>
        <v>0.54881163609402639</v>
      </c>
      <c r="C5" s="24">
        <f t="shared" si="0"/>
        <v>1646.4349082820793</v>
      </c>
      <c r="H5" s="52"/>
      <c r="M5" s="24">
        <v>4.0000000000000003E-5</v>
      </c>
      <c r="N5" s="24">
        <v>25000</v>
      </c>
      <c r="O5" s="24">
        <f t="shared" si="1"/>
        <v>6.737946999085467E-3</v>
      </c>
      <c r="P5" s="24">
        <f t="shared" si="2"/>
        <v>168.44867497713668</v>
      </c>
      <c r="Q5" s="24">
        <f t="shared" si="3"/>
        <v>24999.999999999996</v>
      </c>
    </row>
    <row r="6" spans="1:18">
      <c r="A6" s="24">
        <v>4000</v>
      </c>
      <c r="B6" s="24">
        <f t="shared" si="4"/>
        <v>0.44932896411722156</v>
      </c>
      <c r="C6" s="24">
        <f t="shared" si="0"/>
        <v>1797.3158564688863</v>
      </c>
      <c r="M6">
        <v>5.0000000000000002E-5</v>
      </c>
      <c r="N6" s="24">
        <v>20000</v>
      </c>
      <c r="O6" s="24">
        <f t="shared" si="1"/>
        <v>1.8315638888734179E-2</v>
      </c>
      <c r="P6" s="24">
        <f t="shared" si="2"/>
        <v>366.31277777468358</v>
      </c>
      <c r="Q6" s="24">
        <f t="shared" si="3"/>
        <v>20000</v>
      </c>
    </row>
    <row r="7" spans="1:18">
      <c r="A7" s="24">
        <v>5000</v>
      </c>
      <c r="B7" s="24">
        <f t="shared" si="4"/>
        <v>0.36787944117144233</v>
      </c>
      <c r="C7" s="24">
        <f t="shared" si="0"/>
        <v>1839.3972058572117</v>
      </c>
      <c r="M7">
        <v>1E-4</v>
      </c>
      <c r="N7" s="24">
        <v>10000</v>
      </c>
      <c r="O7" s="24">
        <f t="shared" si="1"/>
        <v>0.1353352832366127</v>
      </c>
      <c r="P7" s="24">
        <f t="shared" si="2"/>
        <v>1353.3528323661271</v>
      </c>
      <c r="Q7" s="24">
        <f t="shared" si="3"/>
        <v>10000</v>
      </c>
    </row>
    <row r="8" spans="1:18">
      <c r="A8" s="24">
        <v>6000</v>
      </c>
      <c r="B8" s="24">
        <f t="shared" si="4"/>
        <v>0.30119421191220214</v>
      </c>
      <c r="C8" s="24">
        <f t="shared" si="0"/>
        <v>1807.1652714732129</v>
      </c>
      <c r="M8">
        <v>2.0000000000000001E-4</v>
      </c>
      <c r="N8" s="24">
        <v>5000</v>
      </c>
      <c r="O8" s="24">
        <f t="shared" si="1"/>
        <v>0.36787944117144233</v>
      </c>
      <c r="P8" s="24">
        <f t="shared" si="2"/>
        <v>1839.3972058572117</v>
      </c>
      <c r="Q8" s="24">
        <f t="shared" si="3"/>
        <v>5000</v>
      </c>
    </row>
    <row r="9" spans="1:18">
      <c r="A9" s="24">
        <v>7000</v>
      </c>
      <c r="B9" s="24">
        <f t="shared" si="4"/>
        <v>0.24659696394160643</v>
      </c>
      <c r="C9" s="24">
        <f t="shared" si="0"/>
        <v>1726.1787475912449</v>
      </c>
      <c r="M9">
        <v>4.3999999999999999E-5</v>
      </c>
      <c r="Q9">
        <f t="shared" si="3"/>
        <v>22727.272727272728</v>
      </c>
    </row>
    <row r="10" spans="1:18">
      <c r="A10" s="24">
        <v>8000</v>
      </c>
      <c r="B10" s="24">
        <f t="shared" si="4"/>
        <v>0.20189651799465538</v>
      </c>
      <c r="C10" s="24">
        <f t="shared" si="0"/>
        <v>1615.1721439572432</v>
      </c>
      <c r="M10">
        <v>6.3E-5</v>
      </c>
      <c r="Q10">
        <f t="shared" si="3"/>
        <v>15873.015873015873</v>
      </c>
    </row>
    <row r="11" spans="1:18">
      <c r="A11" s="24">
        <v>9000</v>
      </c>
      <c r="B11" s="24">
        <f t="shared" si="4"/>
        <v>0.16529888822158653</v>
      </c>
      <c r="C11" s="24">
        <f t="shared" si="0"/>
        <v>1487.6899939942789</v>
      </c>
    </row>
    <row r="12" spans="1:18">
      <c r="A12" s="24">
        <v>9900</v>
      </c>
      <c r="B12" s="24">
        <f t="shared" si="4"/>
        <v>0.1380692373108928</v>
      </c>
      <c r="C12" s="24">
        <f t="shared" si="0"/>
        <v>1366.8854493778388</v>
      </c>
    </row>
    <row r="13" spans="1:18">
      <c r="A13" s="24">
        <v>10000</v>
      </c>
      <c r="B13" s="24">
        <f t="shared" si="4"/>
        <v>0.1353352832366127</v>
      </c>
      <c r="C13" s="24">
        <f t="shared" si="0"/>
        <v>1353.3528323661271</v>
      </c>
    </row>
    <row r="14" spans="1:18">
      <c r="A14" s="24">
        <v>10100</v>
      </c>
      <c r="B14" s="24">
        <f t="shared" si="4"/>
        <v>0.13265546508012172</v>
      </c>
      <c r="C14" s="24">
        <f t="shared" si="0"/>
        <v>1339.8201973092293</v>
      </c>
    </row>
    <row r="15" spans="1:18">
      <c r="A15" s="24">
        <v>11000</v>
      </c>
      <c r="B15" s="24">
        <f t="shared" si="4"/>
        <v>0.11080315836233387</v>
      </c>
      <c r="C15" s="24">
        <f t="shared" si="0"/>
        <v>1218.8347419856725</v>
      </c>
    </row>
    <row r="16" spans="1:18">
      <c r="A16" s="24">
        <v>12000</v>
      </c>
      <c r="B16" s="24">
        <f t="shared" si="4"/>
        <v>9.0717953289412512E-2</v>
      </c>
      <c r="C16" s="24">
        <f t="shared" si="0"/>
        <v>1088.6154394729501</v>
      </c>
    </row>
    <row r="17" spans="1:3">
      <c r="A17" s="24">
        <v>13000</v>
      </c>
      <c r="B17" s="24">
        <f t="shared" si="4"/>
        <v>7.4273578214333877E-2</v>
      </c>
      <c r="C17" s="24">
        <f t="shared" si="0"/>
        <v>965.55651678634035</v>
      </c>
    </row>
    <row r="18" spans="1:3">
      <c r="A18" s="24">
        <v>14000</v>
      </c>
      <c r="B18" s="24">
        <f t="shared" si="4"/>
        <v>6.0810062625217952E-2</v>
      </c>
      <c r="C18" s="24">
        <f t="shared" si="0"/>
        <v>851.34087675305136</v>
      </c>
    </row>
    <row r="19" spans="1:3">
      <c r="A19" s="24">
        <v>15000</v>
      </c>
      <c r="B19" s="24">
        <f t="shared" si="4"/>
        <v>4.9787068367863944E-2</v>
      </c>
      <c r="C19" s="24">
        <f t="shared" si="0"/>
        <v>746.80602551795914</v>
      </c>
    </row>
    <row r="20" spans="1:3">
      <c r="A20" s="24">
        <v>16000</v>
      </c>
      <c r="B20" s="24">
        <f t="shared" si="4"/>
        <v>4.0762203978366211E-2</v>
      </c>
      <c r="C20" s="24">
        <f t="shared" si="0"/>
        <v>652.19526365385934</v>
      </c>
    </row>
    <row r="21" spans="1:3">
      <c r="A21" s="24">
        <v>17000</v>
      </c>
      <c r="B21" s="24">
        <f t="shared" si="4"/>
        <v>3.3373269960326066E-2</v>
      </c>
      <c r="C21" s="24">
        <f t="shared" si="0"/>
        <v>567.34558932554307</v>
      </c>
    </row>
    <row r="22" spans="1:3">
      <c r="A22" s="24">
        <v>18000</v>
      </c>
      <c r="B22" s="24">
        <f t="shared" si="4"/>
        <v>2.7323722447292559E-2</v>
      </c>
      <c r="C22" s="24">
        <f t="shared" si="0"/>
        <v>491.82700405126604</v>
      </c>
    </row>
    <row r="23" spans="1:3">
      <c r="A23" s="24">
        <v>19000</v>
      </c>
      <c r="B23" s="24">
        <f t="shared" si="4"/>
        <v>2.2370771856165591E-2</v>
      </c>
      <c r="C23" s="24">
        <f t="shared" si="0"/>
        <v>425.04466526714623</v>
      </c>
    </row>
    <row r="24" spans="1:3">
      <c r="A24" s="24">
        <v>19900</v>
      </c>
      <c r="B24" s="24">
        <f t="shared" si="4"/>
        <v>1.8685639337732773E-2</v>
      </c>
      <c r="C24" s="24">
        <f t="shared" si="0"/>
        <v>371.84422282088218</v>
      </c>
    </row>
    <row r="25" spans="1:3">
      <c r="A25" s="24">
        <v>20000</v>
      </c>
      <c r="B25" s="24">
        <f t="shared" si="4"/>
        <v>1.8315638888734179E-2</v>
      </c>
      <c r="C25" s="24">
        <f t="shared" si="0"/>
        <v>366.31277777468358</v>
      </c>
    </row>
    <row r="26" spans="1:3">
      <c r="A26" s="24">
        <v>20100</v>
      </c>
      <c r="B26" s="24">
        <f t="shared" si="4"/>
        <v>1.7952964939502849E-2</v>
      </c>
      <c r="C26" s="24">
        <f t="shared" si="0"/>
        <v>360.85459528400725</v>
      </c>
    </row>
    <row r="27" spans="1:3">
      <c r="A27" s="24">
        <v>21000</v>
      </c>
      <c r="B27" s="24">
        <f t="shared" si="4"/>
        <v>1.4995576820477703E-2</v>
      </c>
      <c r="C27" s="24">
        <f t="shared" si="0"/>
        <v>314.90711323003177</v>
      </c>
    </row>
    <row r="28" spans="1:3">
      <c r="A28" s="24">
        <v>22000</v>
      </c>
      <c r="B28" s="24">
        <f t="shared" si="4"/>
        <v>1.2277339903068436E-2</v>
      </c>
      <c r="C28" s="24">
        <f t="shared" si="0"/>
        <v>270.10147786750559</v>
      </c>
    </row>
    <row r="29" spans="1:3">
      <c r="A29" s="24">
        <v>23000</v>
      </c>
      <c r="B29" s="24">
        <f t="shared" si="4"/>
        <v>1.0051835744633576E-2</v>
      </c>
      <c r="C29" s="24">
        <f t="shared" si="0"/>
        <v>231.19222212657223</v>
      </c>
    </row>
    <row r="30" spans="1:3">
      <c r="A30" s="24">
        <v>24000</v>
      </c>
      <c r="B30" s="24">
        <f t="shared" si="4"/>
        <v>8.2297470490200302E-3</v>
      </c>
      <c r="C30" s="24">
        <f t="shared" si="0"/>
        <v>197.51392917648073</v>
      </c>
    </row>
    <row r="31" spans="1:3">
      <c r="A31" s="24">
        <v>24900</v>
      </c>
      <c r="B31" s="24">
        <f t="shared" si="4"/>
        <v>6.8740625574962482E-3</v>
      </c>
      <c r="C31" s="24">
        <f t="shared" si="0"/>
        <v>171.16415768165658</v>
      </c>
    </row>
    <row r="32" spans="1:3">
      <c r="A32" s="24">
        <v>25000</v>
      </c>
      <c r="B32" s="24">
        <f t="shared" si="4"/>
        <v>6.737946999085467E-3</v>
      </c>
      <c r="C32" s="24">
        <f t="shared" si="0"/>
        <v>168.44867497713668</v>
      </c>
    </row>
    <row r="33" spans="1:3">
      <c r="A33" s="24">
        <v>25100</v>
      </c>
      <c r="B33" s="24">
        <f t="shared" si="4"/>
        <v>6.6045267093148051E-3</v>
      </c>
      <c r="C33" s="24">
        <f t="shared" si="0"/>
        <v>165.7736204038016</v>
      </c>
    </row>
    <row r="34" spans="1:3">
      <c r="A34" s="24">
        <v>26000</v>
      </c>
      <c r="B34" s="24">
        <f t="shared" si="4"/>
        <v>5.5165644207607716E-3</v>
      </c>
      <c r="C34" s="24">
        <f t="shared" ref="C34:C65" si="5">A34*B34</f>
        <v>143.43067493978006</v>
      </c>
    </row>
    <row r="35" spans="1:3">
      <c r="A35" s="24">
        <v>27000</v>
      </c>
      <c r="B35" s="24">
        <f t="shared" si="4"/>
        <v>4.5165809426126659E-3</v>
      </c>
      <c r="C35" s="24">
        <f t="shared" si="5"/>
        <v>121.94768545054198</v>
      </c>
    </row>
    <row r="36" spans="1:3">
      <c r="A36" s="24">
        <v>28000</v>
      </c>
      <c r="B36" s="24">
        <f t="shared" ref="B36:B39" si="6">EXP(-$D$2*A36)</f>
        <v>3.697863716482929E-3</v>
      </c>
      <c r="C36" s="24">
        <f t="shared" si="5"/>
        <v>103.54018406152201</v>
      </c>
    </row>
    <row r="37" spans="1:3">
      <c r="A37" s="24">
        <v>29000</v>
      </c>
      <c r="B37" s="24">
        <f t="shared" si="6"/>
        <v>3.0275547453758127E-3</v>
      </c>
      <c r="C37" s="24">
        <f t="shared" si="5"/>
        <v>87.799087615898571</v>
      </c>
    </row>
    <row r="38" spans="1:3">
      <c r="A38" s="24">
        <v>30000</v>
      </c>
      <c r="B38" s="24">
        <f t="shared" si="6"/>
        <v>2.4787521766663585E-3</v>
      </c>
      <c r="C38" s="24">
        <f t="shared" si="5"/>
        <v>74.362565299990749</v>
      </c>
    </row>
    <row r="39" spans="1:3">
      <c r="A39" s="24">
        <v>31000</v>
      </c>
      <c r="B39" s="24">
        <f t="shared" si="6"/>
        <v>2.029430636295734E-3</v>
      </c>
      <c r="C39" s="24">
        <f t="shared" si="5"/>
        <v>62.912349725167758</v>
      </c>
    </row>
    <row r="40" spans="1:3">
      <c r="A40" s="24">
        <v>32000</v>
      </c>
      <c r="B40" s="24">
        <f t="shared" ref="B40:B55" si="7">EXP(-$D$2*A40)</f>
        <v>1.6615572731739339E-3</v>
      </c>
      <c r="C40" s="24">
        <f t="shared" si="5"/>
        <v>53.169832741565884</v>
      </c>
    </row>
    <row r="41" spans="1:3">
      <c r="A41" s="24">
        <v>33000</v>
      </c>
      <c r="B41" s="24">
        <f t="shared" si="7"/>
        <v>1.3603680375478928E-3</v>
      </c>
      <c r="C41" s="24">
        <f t="shared" si="5"/>
        <v>44.892145239080463</v>
      </c>
    </row>
    <row r="42" spans="1:3">
      <c r="A42" s="24">
        <v>33100</v>
      </c>
      <c r="B42" s="24">
        <f t="shared" si="7"/>
        <v>1.3334309456133593E-3</v>
      </c>
      <c r="C42" s="24">
        <f t="shared" si="5"/>
        <v>44.136564299802195</v>
      </c>
    </row>
    <row r="43" spans="1:3">
      <c r="A43" s="24">
        <v>33200</v>
      </c>
      <c r="B43" s="24">
        <f t="shared" si="7"/>
        <v>1.3070272438363863E-3</v>
      </c>
      <c r="C43" s="24">
        <f t="shared" si="5"/>
        <v>43.393304495368028</v>
      </c>
    </row>
    <row r="44" spans="1:3">
      <c r="A44" s="24">
        <v>33300</v>
      </c>
      <c r="B44" s="24">
        <f t="shared" si="7"/>
        <v>1.2811463703842113E-3</v>
      </c>
      <c r="C44" s="24">
        <f t="shared" si="5"/>
        <v>42.662174133794238</v>
      </c>
    </row>
    <row r="45" spans="1:3">
      <c r="A45" s="24">
        <v>33400</v>
      </c>
      <c r="B45" s="24">
        <f t="shared" si="7"/>
        <v>1.2557779725623683E-3</v>
      </c>
      <c r="C45" s="24">
        <f t="shared" si="5"/>
        <v>41.942984283583101</v>
      </c>
    </row>
    <row r="46" spans="1:3">
      <c r="A46" s="24">
        <v>34000</v>
      </c>
      <c r="B46" s="24">
        <f t="shared" si="7"/>
        <v>1.1137751478448024E-3</v>
      </c>
      <c r="C46" s="24">
        <f t="shared" si="5"/>
        <v>37.868355026723279</v>
      </c>
    </row>
    <row r="47" spans="1:3">
      <c r="A47" s="24">
        <v>35000</v>
      </c>
      <c r="B47" s="24">
        <f t="shared" si="7"/>
        <v>9.1188196555451624E-4</v>
      </c>
      <c r="C47" s="24">
        <f t="shared" si="5"/>
        <v>31.91586879440807</v>
      </c>
    </row>
    <row r="48" spans="1:3">
      <c r="A48" s="24">
        <v>36000</v>
      </c>
      <c r="B48" s="24">
        <f t="shared" si="7"/>
        <v>7.465858083766792E-4</v>
      </c>
      <c r="C48" s="24">
        <f t="shared" si="5"/>
        <v>26.877089101560451</v>
      </c>
    </row>
    <row r="49" spans="1:3">
      <c r="A49" s="24">
        <v>37000</v>
      </c>
      <c r="B49" s="24">
        <f t="shared" si="7"/>
        <v>6.112527611295723E-4</v>
      </c>
      <c r="C49" s="24">
        <f t="shared" si="5"/>
        <v>22.616352161794175</v>
      </c>
    </row>
    <row r="50" spans="1:3">
      <c r="A50" s="24">
        <v>38000</v>
      </c>
      <c r="B50" s="24">
        <f t="shared" si="7"/>
        <v>5.004514334406104E-4</v>
      </c>
      <c r="C50" s="24">
        <f t="shared" si="5"/>
        <v>19.017154470743193</v>
      </c>
    </row>
    <row r="51" spans="1:3">
      <c r="A51" s="24">
        <v>39000</v>
      </c>
      <c r="B51" s="24">
        <f t="shared" si="7"/>
        <v>4.0973497897978643E-4</v>
      </c>
      <c r="C51" s="24">
        <f t="shared" si="5"/>
        <v>15.979664180211671</v>
      </c>
    </row>
    <row r="52" spans="1:3">
      <c r="A52" s="24">
        <v>40000</v>
      </c>
      <c r="B52" s="24">
        <f t="shared" si="7"/>
        <v>3.3546262790251185E-4</v>
      </c>
      <c r="C52" s="24">
        <f t="shared" si="5"/>
        <v>13.418505116100475</v>
      </c>
    </row>
    <row r="53" spans="1:3">
      <c r="A53" s="24">
        <v>41000</v>
      </c>
      <c r="B53" s="24">
        <f t="shared" si="7"/>
        <v>2.7465356997214205E-4</v>
      </c>
      <c r="C53" s="24">
        <f t="shared" si="5"/>
        <v>11.260796368857823</v>
      </c>
    </row>
    <row r="54" spans="1:3">
      <c r="A54" s="24">
        <v>42000</v>
      </c>
      <c r="B54" s="24">
        <f t="shared" si="7"/>
        <v>2.2486732417884819E-4</v>
      </c>
      <c r="C54" s="24">
        <f t="shared" si="5"/>
        <v>9.4444276155116249</v>
      </c>
    </row>
    <row r="55" spans="1:3">
      <c r="A55" s="24">
        <v>43000</v>
      </c>
      <c r="B55" s="24">
        <f t="shared" si="7"/>
        <v>1.8410579366757919E-4</v>
      </c>
      <c r="C55" s="24">
        <f t="shared" si="5"/>
        <v>7.9165491277059052</v>
      </c>
    </row>
    <row r="56" spans="1:3">
      <c r="A56" s="24">
        <v>44000</v>
      </c>
      <c r="B56" s="24">
        <f t="shared" ref="B56:B101" si="8">EXP(-$D$2*A56)</f>
        <v>1.507330750954765E-4</v>
      </c>
      <c r="C56" s="24">
        <f t="shared" si="5"/>
        <v>6.6322553042009664</v>
      </c>
    </row>
    <row r="57" spans="1:3">
      <c r="A57" s="24">
        <v>45000</v>
      </c>
      <c r="B57" s="24">
        <f t="shared" si="8"/>
        <v>1.2340980408667956E-4</v>
      </c>
      <c r="C57" s="24">
        <f t="shared" si="5"/>
        <v>5.5534411839005804</v>
      </c>
    </row>
    <row r="58" spans="1:3">
      <c r="A58" s="24">
        <v>46000</v>
      </c>
      <c r="B58" s="24">
        <f t="shared" si="8"/>
        <v>1.0103940183709324E-4</v>
      </c>
      <c r="C58" s="24">
        <f t="shared" si="5"/>
        <v>4.6478124845062894</v>
      </c>
    </row>
    <row r="59" spans="1:3">
      <c r="A59" s="24">
        <v>47000</v>
      </c>
      <c r="B59" s="24">
        <f t="shared" si="8"/>
        <v>8.2724065556632228E-5</v>
      </c>
      <c r="C59" s="24">
        <f t="shared" si="5"/>
        <v>3.8880310811617149</v>
      </c>
    </row>
    <row r="60" spans="1:3">
      <c r="A60" s="24">
        <v>48000</v>
      </c>
      <c r="B60" s="24">
        <f t="shared" si="8"/>
        <v>6.7728736490853898E-5</v>
      </c>
      <c r="C60" s="24">
        <f t="shared" si="5"/>
        <v>3.2509793515609871</v>
      </c>
    </row>
    <row r="61" spans="1:3">
      <c r="A61" s="24">
        <v>49000</v>
      </c>
      <c r="B61" s="24">
        <f t="shared" si="8"/>
        <v>5.5451599432176945E-5</v>
      </c>
      <c r="C61" s="24">
        <f t="shared" si="5"/>
        <v>2.7171283721766701</v>
      </c>
    </row>
    <row r="62" spans="1:3">
      <c r="A62" s="24">
        <v>49500</v>
      </c>
      <c r="B62" s="24">
        <f t="shared" si="8"/>
        <v>5.0174682056175283E-5</v>
      </c>
      <c r="C62" s="24">
        <f t="shared" si="5"/>
        <v>2.4836467617806766</v>
      </c>
    </row>
    <row r="63" spans="1:3">
      <c r="A63" s="24">
        <v>49700</v>
      </c>
      <c r="B63" s="24">
        <f t="shared" ref="B63:B65" si="9">EXP(-$D$2*A63)</f>
        <v>4.8207304632398742E-5</v>
      </c>
      <c r="C63" s="24">
        <f t="shared" ref="C63:C65" si="10">A63*B63</f>
        <v>2.3959030402302175</v>
      </c>
    </row>
    <row r="64" spans="1:3">
      <c r="A64" s="24">
        <v>49800</v>
      </c>
      <c r="B64" s="24">
        <f t="shared" si="9"/>
        <v>4.7252736044371869E-5</v>
      </c>
      <c r="C64" s="24">
        <f t="shared" si="10"/>
        <v>2.3531862550097191</v>
      </c>
    </row>
    <row r="65" spans="1:3">
      <c r="A65" s="24">
        <v>49900</v>
      </c>
      <c r="B65" s="24">
        <f t="shared" si="9"/>
        <v>4.6317069180807618E-5</v>
      </c>
      <c r="C65" s="24">
        <f t="shared" si="10"/>
        <v>2.3112217521223002</v>
      </c>
    </row>
    <row r="66" spans="1:3">
      <c r="A66" s="24">
        <v>50000</v>
      </c>
      <c r="B66" s="24">
        <f t="shared" si="8"/>
        <v>4.5399929762484854E-5</v>
      </c>
      <c r="C66" s="24">
        <f>A66*B66</f>
        <v>2.2699964881242427</v>
      </c>
    </row>
    <row r="67" spans="1:3">
      <c r="A67" s="24">
        <v>50100</v>
      </c>
      <c r="B67" s="24">
        <f t="shared" si="8"/>
        <v>4.4500950921407464E-5</v>
      </c>
      <c r="C67" s="24">
        <f>A67*B67</f>
        <v>2.229497641162514</v>
      </c>
    </row>
    <row r="68" spans="1:3">
      <c r="A68" s="24">
        <v>50200</v>
      </c>
      <c r="B68" s="24">
        <f t="shared" ref="B68:B70" si="11">EXP(-$D$2*A68)</f>
        <v>4.3619773054052647E-5</v>
      </c>
      <c r="C68" s="24">
        <f t="shared" ref="C68:C70" si="12">A68*B68</f>
        <v>2.1897126073134427</v>
      </c>
    </row>
    <row r="69" spans="1:3">
      <c r="A69" s="24">
        <v>50300</v>
      </c>
      <c r="B69" s="24">
        <f t="shared" si="11"/>
        <v>4.2756043677524178E-5</v>
      </c>
      <c r="C69" s="24">
        <f t="shared" si="12"/>
        <v>2.1506289969794663</v>
      </c>
    </row>
    <row r="70" spans="1:3">
      <c r="A70" s="24">
        <v>50400</v>
      </c>
      <c r="B70" s="24">
        <f t="shared" si="11"/>
        <v>4.1909417288554901E-5</v>
      </c>
      <c r="C70" s="24">
        <f t="shared" si="12"/>
        <v>2.112234631343167</v>
      </c>
    </row>
    <row r="71" spans="1:3">
      <c r="A71" s="24">
        <v>50500</v>
      </c>
      <c r="B71" s="24">
        <f t="shared" si="8"/>
        <v>4.1079555225300724E-5</v>
      </c>
      <c r="C71" s="24">
        <f t="shared" ref="C71:C102" si="13">A71*B71</f>
        <v>2.0745175388776866</v>
      </c>
    </row>
    <row r="72" spans="1:3">
      <c r="A72" s="24">
        <v>51000</v>
      </c>
      <c r="B72" s="24">
        <f t="shared" si="8"/>
        <v>3.7170318684126666E-5</v>
      </c>
      <c r="C72" s="24">
        <f t="shared" si="13"/>
        <v>1.8956862528904599</v>
      </c>
    </row>
    <row r="73" spans="1:3">
      <c r="A73" s="24">
        <v>52000</v>
      </c>
      <c r="B73" s="24">
        <f t="shared" si="8"/>
        <v>3.0432483008403625E-5</v>
      </c>
      <c r="C73" s="24">
        <f t="shared" si="13"/>
        <v>1.5824891164369885</v>
      </c>
    </row>
    <row r="74" spans="1:3">
      <c r="A74" s="24">
        <v>53000</v>
      </c>
      <c r="B74" s="24">
        <f t="shared" si="8"/>
        <v>2.4916009731503204E-5</v>
      </c>
      <c r="C74" s="24">
        <f t="shared" si="13"/>
        <v>1.3205485157696699</v>
      </c>
    </row>
    <row r="75" spans="1:3">
      <c r="A75" s="24">
        <v>54000</v>
      </c>
      <c r="B75" s="24">
        <f t="shared" si="8"/>
        <v>2.0399503411171922E-5</v>
      </c>
      <c r="C75" s="24">
        <f t="shared" si="13"/>
        <v>1.1015731842032839</v>
      </c>
    </row>
    <row r="76" spans="1:3">
      <c r="A76" s="24">
        <v>55000</v>
      </c>
      <c r="B76" s="24">
        <f t="shared" si="8"/>
        <v>1.6701700790245659E-5</v>
      </c>
      <c r="C76" s="24">
        <f t="shared" si="13"/>
        <v>0.9185935434635113</v>
      </c>
    </row>
    <row r="77" spans="1:3">
      <c r="A77" s="24">
        <v>56000</v>
      </c>
      <c r="B77" s="24">
        <f t="shared" si="8"/>
        <v>1.3674196065680938E-5</v>
      </c>
      <c r="C77" s="24">
        <f t="shared" si="13"/>
        <v>0.76575497967813255</v>
      </c>
    </row>
    <row r="78" spans="1:3">
      <c r="A78" s="24">
        <v>57000</v>
      </c>
      <c r="B78" s="24">
        <f t="shared" si="8"/>
        <v>1.119548484259094E-5</v>
      </c>
      <c r="C78" s="24">
        <f t="shared" si="13"/>
        <v>0.63814263602768362</v>
      </c>
    </row>
    <row r="79" spans="1:3">
      <c r="A79" s="24">
        <v>58000</v>
      </c>
      <c r="B79" s="24">
        <f t="shared" si="8"/>
        <v>9.1660877362476019E-6</v>
      </c>
      <c r="C79" s="24">
        <f t="shared" si="13"/>
        <v>0.53163308870236092</v>
      </c>
    </row>
    <row r="80" spans="1:3">
      <c r="A80" s="24">
        <v>59000</v>
      </c>
      <c r="B80" s="24">
        <f t="shared" si="8"/>
        <v>7.5045579150768581E-6</v>
      </c>
      <c r="C80" s="24">
        <f t="shared" si="13"/>
        <v>0.44276891698953463</v>
      </c>
    </row>
    <row r="81" spans="1:3">
      <c r="A81" s="24">
        <v>60000</v>
      </c>
      <c r="B81" s="24">
        <f t="shared" si="8"/>
        <v>6.1442123533282098E-6</v>
      </c>
      <c r="C81" s="24">
        <f t="shared" si="13"/>
        <v>0.3686527411996926</v>
      </c>
    </row>
    <row r="82" spans="1:3">
      <c r="A82" s="24">
        <v>61000</v>
      </c>
      <c r="B82" s="24">
        <f t="shared" si="8"/>
        <v>5.030455607111439E-6</v>
      </c>
      <c r="C82" s="24">
        <f t="shared" si="13"/>
        <v>0.30685779203379776</v>
      </c>
    </row>
    <row r="83" spans="1:3">
      <c r="A83" s="24">
        <v>62000</v>
      </c>
      <c r="B83" s="24">
        <f t="shared" si="8"/>
        <v>4.1185887075357082E-6</v>
      </c>
      <c r="C83" s="24">
        <f t="shared" si="13"/>
        <v>0.25535249986721392</v>
      </c>
    </row>
    <row r="84" spans="1:3">
      <c r="A84" s="24">
        <v>63000</v>
      </c>
      <c r="B84" s="24">
        <f t="shared" si="8"/>
        <v>3.3720152341391786E-6</v>
      </c>
      <c r="C84" s="24">
        <f t="shared" si="13"/>
        <v>0.21243695975076826</v>
      </c>
    </row>
    <row r="85" spans="1:3">
      <c r="A85" s="24">
        <v>64000</v>
      </c>
      <c r="B85" s="24">
        <f t="shared" si="8"/>
        <v>2.7607725720371986E-6</v>
      </c>
      <c r="C85" s="24">
        <f t="shared" si="13"/>
        <v>0.17668944461038072</v>
      </c>
    </row>
    <row r="86" spans="1:3">
      <c r="A86" s="24">
        <v>65000</v>
      </c>
      <c r="B86" s="24">
        <f t="shared" si="8"/>
        <v>2.2603294069810542E-6</v>
      </c>
      <c r="C86" s="24">
        <f t="shared" si="13"/>
        <v>0.14692141145376852</v>
      </c>
    </row>
    <row r="87" spans="1:3">
      <c r="A87" s="24">
        <v>66000</v>
      </c>
      <c r="B87" s="24">
        <f t="shared" si="8"/>
        <v>1.8506011975819048E-6</v>
      </c>
      <c r="C87" s="24">
        <f t="shared" si="13"/>
        <v>0.12213967904040572</v>
      </c>
    </row>
    <row r="88" spans="1:3">
      <c r="A88" s="24">
        <v>67000</v>
      </c>
      <c r="B88" s="24">
        <f t="shared" si="8"/>
        <v>1.515144112143249E-6</v>
      </c>
      <c r="C88" s="24">
        <f t="shared" si="13"/>
        <v>0.10151465551359769</v>
      </c>
    </row>
    <row r="89" spans="1:3">
      <c r="A89" s="24">
        <v>68000</v>
      </c>
      <c r="B89" s="24">
        <f t="shared" si="8"/>
        <v>1.2404950799567113E-6</v>
      </c>
      <c r="C89" s="24">
        <f t="shared" si="13"/>
        <v>8.4353665437056372E-2</v>
      </c>
    </row>
    <row r="90" spans="1:3">
      <c r="A90" s="24">
        <v>69000</v>
      </c>
      <c r="B90" s="24">
        <f t="shared" si="8"/>
        <v>1.0156314710024903E-6</v>
      </c>
      <c r="C90" s="24">
        <f t="shared" si="13"/>
        <v>7.0078571499171821E-2</v>
      </c>
    </row>
    <row r="91" spans="1:3">
      <c r="A91" s="24">
        <v>70000</v>
      </c>
      <c r="B91" s="24">
        <f t="shared" si="8"/>
        <v>8.3152871910356788E-7</v>
      </c>
      <c r="C91" s="24">
        <f t="shared" si="13"/>
        <v>5.8207010337249752E-2</v>
      </c>
    </row>
    <row r="92" spans="1:3">
      <c r="A92" s="24">
        <v>71000</v>
      </c>
      <c r="B92" s="24">
        <f t="shared" si="8"/>
        <v>6.8079813439763307E-7</v>
      </c>
      <c r="C92" s="24">
        <f t="shared" si="13"/>
        <v>4.8336667542231947E-2</v>
      </c>
    </row>
    <row r="93" spans="1:3">
      <c r="A93" s="24">
        <v>72000</v>
      </c>
      <c r="B93" s="24">
        <f t="shared" si="8"/>
        <v>5.5739036926945956E-7</v>
      </c>
      <c r="C93" s="24">
        <f t="shared" si="13"/>
        <v>4.0132106587401087E-2</v>
      </c>
    </row>
    <row r="94" spans="1:3">
      <c r="A94" s="24">
        <v>73000</v>
      </c>
      <c r="B94" s="24">
        <f t="shared" si="8"/>
        <v>4.5635263679039859E-7</v>
      </c>
      <c r="C94" s="24">
        <f t="shared" si="13"/>
        <v>3.3313742485699099E-2</v>
      </c>
    </row>
    <row r="95" spans="1:3">
      <c r="A95" s="24">
        <v>74000</v>
      </c>
      <c r="B95" s="24">
        <f t="shared" si="8"/>
        <v>3.7362993798852602E-7</v>
      </c>
      <c r="C95" s="24">
        <f t="shared" si="13"/>
        <v>2.7648615411150924E-2</v>
      </c>
    </row>
    <row r="96" spans="1:3">
      <c r="A96" s="24">
        <v>75000</v>
      </c>
      <c r="B96" s="24">
        <f t="shared" si="8"/>
        <v>3.0590232050182579E-7</v>
      </c>
      <c r="C96" s="24">
        <f t="shared" si="13"/>
        <v>2.2942674037636935E-2</v>
      </c>
    </row>
    <row r="97" spans="1:3">
      <c r="A97" s="24">
        <v>76000</v>
      </c>
      <c r="B97" s="24">
        <f t="shared" si="8"/>
        <v>2.5045163723276172E-7</v>
      </c>
      <c r="C97" s="24">
        <f t="shared" si="13"/>
        <v>1.903432442968989E-2</v>
      </c>
    </row>
    <row r="98" spans="1:3">
      <c r="A98" s="24">
        <v>77000</v>
      </c>
      <c r="B98" s="24">
        <f t="shared" si="8"/>
        <v>2.0505245756119267E-7</v>
      </c>
      <c r="C98" s="24">
        <f t="shared" si="13"/>
        <v>1.5789039232211834E-2</v>
      </c>
    </row>
    <row r="99" spans="1:3">
      <c r="A99" s="24">
        <v>78000</v>
      </c>
      <c r="B99" s="24">
        <f t="shared" si="8"/>
        <v>1.6788275299956603E-7</v>
      </c>
      <c r="C99" s="24">
        <f t="shared" si="13"/>
        <v>1.309485473396615E-2</v>
      </c>
    </row>
    <row r="100" spans="1:3">
      <c r="A100" s="24">
        <v>79000</v>
      </c>
      <c r="B100" s="24">
        <f t="shared" si="8"/>
        <v>1.374507727921396E-7</v>
      </c>
      <c r="C100" s="24">
        <f t="shared" si="13"/>
        <v>1.0858611050579028E-2</v>
      </c>
    </row>
    <row r="101" spans="1:3">
      <c r="A101" s="24">
        <v>80000</v>
      </c>
      <c r="B101" s="24">
        <f t="shared" si="8"/>
        <v>1.1253517471925912E-7</v>
      </c>
      <c r="C101" s="24">
        <f t="shared" si="13"/>
        <v>9.0028139775407291E-3</v>
      </c>
    </row>
    <row r="102" spans="1:3">
      <c r="A102" s="24">
        <v>81000</v>
      </c>
      <c r="B102" s="24">
        <f t="shared" ref="B102:B144" si="14">EXP(-$D$2*A102)</f>
        <v>9.2136008345661349E-8</v>
      </c>
      <c r="C102" s="24">
        <f t="shared" si="13"/>
        <v>7.463016675998569E-3</v>
      </c>
    </row>
    <row r="103" spans="1:3">
      <c r="A103" s="24">
        <v>82000</v>
      </c>
      <c r="B103" s="24">
        <f t="shared" si="14"/>
        <v>7.5434583498442318E-8</v>
      </c>
      <c r="C103" s="24">
        <f t="shared" ref="C103:C134" si="15">A103*B103</f>
        <v>6.1856358468722703E-3</v>
      </c>
    </row>
    <row r="104" spans="1:3">
      <c r="A104" s="24">
        <v>83000</v>
      </c>
      <c r="B104" s="24">
        <f t="shared" si="14"/>
        <v>6.1760613355803633E-8</v>
      </c>
      <c r="C104" s="24">
        <f t="shared" si="15"/>
        <v>5.1261309085317017E-3</v>
      </c>
    </row>
    <row r="105" spans="1:3">
      <c r="A105" s="24">
        <v>84000</v>
      </c>
      <c r="B105" s="24">
        <f t="shared" si="14"/>
        <v>5.0565313483355203E-8</v>
      </c>
      <c r="C105" s="24">
        <f t="shared" si="15"/>
        <v>4.2474863326018367E-3</v>
      </c>
    </row>
    <row r="106" spans="1:3">
      <c r="A106" s="24">
        <v>85000</v>
      </c>
      <c r="B106" s="24">
        <f t="shared" si="14"/>
        <v>4.1399377187851668E-8</v>
      </c>
      <c r="C106" s="24">
        <f t="shared" si="15"/>
        <v>3.5189470609673919E-3</v>
      </c>
    </row>
    <row r="107" spans="1:3">
      <c r="A107" s="24">
        <v>86000</v>
      </c>
      <c r="B107" s="24">
        <f t="shared" si="14"/>
        <v>3.3894943261969243E-8</v>
      </c>
      <c r="C107" s="24">
        <f t="shared" si="15"/>
        <v>2.914965120529355E-3</v>
      </c>
    </row>
    <row r="108" spans="1:3">
      <c r="A108" s="24">
        <v>87000</v>
      </c>
      <c r="B108" s="24">
        <f t="shared" si="14"/>
        <v>2.7750832422407467E-8</v>
      </c>
      <c r="C108" s="24">
        <f t="shared" si="15"/>
        <v>2.4143224207494496E-3</v>
      </c>
    </row>
    <row r="109" spans="1:3">
      <c r="A109" s="24">
        <v>88000</v>
      </c>
      <c r="B109" s="24">
        <f t="shared" si="14"/>
        <v>2.2720459927738556E-8</v>
      </c>
      <c r="C109" s="24">
        <f t="shared" si="15"/>
        <v>1.9994004736409929E-3</v>
      </c>
    </row>
    <row r="110" spans="1:3">
      <c r="A110" s="24">
        <v>89000</v>
      </c>
      <c r="B110" s="24">
        <f t="shared" si="14"/>
        <v>1.8601939266915511E-8</v>
      </c>
      <c r="C110" s="24">
        <f t="shared" si="15"/>
        <v>1.6555725947554804E-3</v>
      </c>
    </row>
    <row r="111" spans="1:3">
      <c r="A111" s="24">
        <v>90000</v>
      </c>
      <c r="B111" s="24">
        <f t="shared" si="14"/>
        <v>1.5229979744712629E-8</v>
      </c>
      <c r="C111" s="24">
        <f t="shared" si="15"/>
        <v>1.3706981770241367E-3</v>
      </c>
    </row>
    <row r="112" spans="1:3">
      <c r="A112" s="24">
        <v>91000</v>
      </c>
      <c r="B112" s="24">
        <f t="shared" si="14"/>
        <v>1.2469252785750989E-8</v>
      </c>
      <c r="C112" s="24">
        <f t="shared" si="15"/>
        <v>1.13470200350334E-3</v>
      </c>
    </row>
    <row r="113" spans="1:3">
      <c r="A113" s="24">
        <v>92000</v>
      </c>
      <c r="B113" s="24">
        <f t="shared" si="14"/>
        <v>1.0208960723597601E-8</v>
      </c>
      <c r="C113" s="24">
        <f t="shared" si="15"/>
        <v>9.3922438657097933E-4</v>
      </c>
    </row>
    <row r="114" spans="1:3">
      <c r="A114" s="24">
        <v>93000</v>
      </c>
      <c r="B114" s="24">
        <f t="shared" si="14"/>
        <v>8.3583901013746085E-9</v>
      </c>
      <c r="C114" s="24">
        <f t="shared" si="15"/>
        <v>7.7733027942783863E-4</v>
      </c>
    </row>
    <row r="115" spans="1:3">
      <c r="A115" s="24">
        <v>94000</v>
      </c>
      <c r="B115" s="24">
        <f t="shared" si="14"/>
        <v>6.8432710222179877E-9</v>
      </c>
      <c r="C115" s="24">
        <f t="shared" si="15"/>
        <v>6.4326747608849089E-4</v>
      </c>
    </row>
    <row r="116" spans="1:3">
      <c r="A116" s="24">
        <v>95000</v>
      </c>
      <c r="B116" s="24">
        <f t="shared" si="14"/>
        <v>5.6027964375372678E-9</v>
      </c>
      <c r="C116" s="24">
        <f t="shared" si="15"/>
        <v>5.3226566156604042E-4</v>
      </c>
    </row>
    <row r="117" spans="1:3">
      <c r="A117" s="24">
        <v>96000</v>
      </c>
      <c r="B117" s="24">
        <f t="shared" si="14"/>
        <v>4.5871817466475238E-9</v>
      </c>
      <c r="C117" s="24">
        <f t="shared" si="15"/>
        <v>4.4036944767816231E-4</v>
      </c>
    </row>
    <row r="118" spans="1:3">
      <c r="A118" s="24">
        <v>97000</v>
      </c>
      <c r="B118" s="24">
        <f t="shared" si="14"/>
        <v>3.7556667659382893E-9</v>
      </c>
      <c r="C118" s="24">
        <f t="shared" si="15"/>
        <v>3.6429967629601404E-4</v>
      </c>
    </row>
    <row r="119" spans="1:3">
      <c r="A119" s="24">
        <v>98000</v>
      </c>
      <c r="B119" s="24">
        <f t="shared" si="14"/>
        <v>3.0748798795866061E-9</v>
      </c>
      <c r="C119" s="24">
        <f t="shared" si="15"/>
        <v>3.0133822819948742E-4</v>
      </c>
    </row>
    <row r="120" spans="1:3">
      <c r="A120" s="24">
        <v>99000</v>
      </c>
      <c r="B120" s="24">
        <f t="shared" si="14"/>
        <v>2.5174987194382779E-9</v>
      </c>
      <c r="C120" s="24">
        <f t="shared" si="15"/>
        <v>2.4923237322438949E-4</v>
      </c>
    </row>
    <row r="121" spans="1:3">
      <c r="A121" s="24">
        <v>99500</v>
      </c>
      <c r="B121" s="24">
        <f t="shared" si="14"/>
        <v>2.2779270412053629E-9</v>
      </c>
      <c r="C121" s="24">
        <f t="shared" si="15"/>
        <v>2.2665374059993362E-4</v>
      </c>
    </row>
    <row r="122" spans="1:3">
      <c r="A122" s="24">
        <v>99600</v>
      </c>
      <c r="B122" s="24">
        <f t="shared" si="14"/>
        <v>2.2328210636790801E-9</v>
      </c>
      <c r="C122" s="24">
        <f t="shared" si="15"/>
        <v>2.2238897794243638E-4</v>
      </c>
    </row>
    <row r="123" spans="1:3">
      <c r="A123" s="24">
        <v>99700</v>
      </c>
      <c r="B123" s="24">
        <f t="shared" ref="B123:B125" si="16">EXP(-$D$2*A123)</f>
        <v>2.1886082443496134E-9</v>
      </c>
      <c r="C123" s="24">
        <f t="shared" ref="C123:C125" si="17">A123*B123</f>
        <v>2.1820424196165647E-4</v>
      </c>
    </row>
    <row r="124" spans="1:3">
      <c r="A124" s="24">
        <v>99800</v>
      </c>
      <c r="B124" s="24">
        <f t="shared" si="16"/>
        <v>2.1452708974997191E-9</v>
      </c>
      <c r="C124" s="24">
        <f t="shared" si="17"/>
        <v>2.1409803557047196E-4</v>
      </c>
    </row>
    <row r="125" spans="1:3">
      <c r="A125" s="24">
        <v>99900</v>
      </c>
      <c r="B125" s="24">
        <f t="shared" si="16"/>
        <v>2.1027916876128178E-9</v>
      </c>
      <c r="C125" s="24">
        <f t="shared" si="17"/>
        <v>2.1006888959252049E-4</v>
      </c>
    </row>
    <row r="126" spans="1:3">
      <c r="A126" s="24">
        <v>100000</v>
      </c>
      <c r="B126" s="24">
        <f t="shared" si="14"/>
        <v>2.0611536224385579E-9</v>
      </c>
      <c r="C126" s="24">
        <f>A126*B126</f>
        <v>2.0611536224385578E-4</v>
      </c>
    </row>
    <row r="127" spans="1:3">
      <c r="A127" s="24">
        <v>100100</v>
      </c>
      <c r="B127" s="24">
        <f t="shared" si="14"/>
        <v>2.0203400461956881E-9</v>
      </c>
      <c r="C127" s="24">
        <f>A127*B127</f>
        <v>2.0223603862418838E-4</v>
      </c>
    </row>
    <row r="128" spans="1:3">
      <c r="A128" s="24">
        <v>100200</v>
      </c>
      <c r="B128" s="24">
        <f t="shared" ref="B128:B130" si="18">EXP(-$D$2*A128)</f>
        <v>1.9803346329095161E-9</v>
      </c>
      <c r="C128" s="24">
        <f t="shared" ref="C128:C130" si="19">A128*B128</f>
        <v>1.984295302175335E-4</v>
      </c>
    </row>
    <row r="129" spans="1:3">
      <c r="A129" s="24">
        <v>100300</v>
      </c>
      <c r="B129" s="24">
        <f t="shared" si="18"/>
        <v>1.9411213798813285E-9</v>
      </c>
      <c r="C129" s="24">
        <f t="shared" si="19"/>
        <v>1.9469447440209725E-4</v>
      </c>
    </row>
    <row r="130" spans="1:3">
      <c r="A130" s="24">
        <v>100400</v>
      </c>
      <c r="B130" s="24">
        <f t="shared" si="18"/>
        <v>1.9026846012870572E-9</v>
      </c>
      <c r="C130" s="24">
        <f t="shared" si="19"/>
        <v>1.9102953396922054E-4</v>
      </c>
    </row>
    <row r="131" spans="1:3">
      <c r="A131" s="24">
        <v>100500</v>
      </c>
      <c r="B131" s="24">
        <f t="shared" si="14"/>
        <v>1.865008921902767E-9</v>
      </c>
      <c r="C131" s="24">
        <f t="shared" ref="C131:C144" si="20">A131*B131</f>
        <v>1.8743339665122809E-4</v>
      </c>
    </row>
    <row r="132" spans="1:3">
      <c r="A132" s="24">
        <v>101000</v>
      </c>
      <c r="B132" s="24">
        <f t="shared" si="14"/>
        <v>1.6875298575085319E-9</v>
      </c>
      <c r="C132" s="24">
        <f t="shared" si="20"/>
        <v>1.7044051560836173E-4</v>
      </c>
    </row>
    <row r="133" spans="1:3">
      <c r="A133" s="24">
        <v>102000</v>
      </c>
      <c r="B133" s="24">
        <f t="shared" si="14"/>
        <v>1.3816325910795359E-9</v>
      </c>
      <c r="C133" s="24">
        <f t="shared" si="20"/>
        <v>1.4092652429011267E-4</v>
      </c>
    </row>
    <row r="134" spans="1:3">
      <c r="A134" s="24">
        <v>103000</v>
      </c>
      <c r="B134" s="24">
        <f t="shared" si="14"/>
        <v>1.1311850917716326E-9</v>
      </c>
      <c r="C134" s="24">
        <f t="shared" si="20"/>
        <v>1.1651206445247816E-4</v>
      </c>
    </row>
    <row r="135" spans="1:3">
      <c r="A135" s="24">
        <v>104000</v>
      </c>
      <c r="B135" s="24">
        <f t="shared" si="14"/>
        <v>9.2613602205677541E-10</v>
      </c>
      <c r="C135" s="24">
        <f t="shared" si="20"/>
        <v>9.6318146293904638E-5</v>
      </c>
    </row>
    <row r="136" spans="1:3">
      <c r="A136" s="24">
        <v>105000</v>
      </c>
      <c r="B136" s="24">
        <f t="shared" si="14"/>
        <v>7.5825604279119066E-10</v>
      </c>
      <c r="C136" s="24">
        <f t="shared" si="20"/>
        <v>7.9616884493075019E-5</v>
      </c>
    </row>
    <row r="137" spans="1:3">
      <c r="A137" s="24">
        <v>106000</v>
      </c>
      <c r="B137" s="24">
        <f t="shared" si="14"/>
        <v>6.2080754094036244E-10</v>
      </c>
      <c r="C137" s="24">
        <f t="shared" si="20"/>
        <v>6.5805599339678416E-5</v>
      </c>
    </row>
    <row r="138" spans="1:3">
      <c r="A138" s="24">
        <v>107000</v>
      </c>
      <c r="B138" s="24">
        <f t="shared" si="14"/>
        <v>5.0827422551059155E-10</v>
      </c>
      <c r="C138" s="24">
        <f t="shared" si="20"/>
        <v>5.4385342129633294E-5</v>
      </c>
    </row>
    <row r="139" spans="1:3">
      <c r="A139" s="24">
        <v>108000</v>
      </c>
      <c r="B139" s="24">
        <f t="shared" si="14"/>
        <v>4.1613973942241488E-10</v>
      </c>
      <c r="C139" s="24">
        <f t="shared" si="20"/>
        <v>4.4943091857620807E-5</v>
      </c>
    </row>
    <row r="140" spans="1:3">
      <c r="A140" s="24">
        <v>109000</v>
      </c>
      <c r="B140" s="24">
        <f t="shared" si="14"/>
        <v>3.407064022429891E-10</v>
      </c>
      <c r="C140" s="24">
        <f t="shared" si="20"/>
        <v>3.713699784448581E-5</v>
      </c>
    </row>
    <row r="141" spans="1:3">
      <c r="A141" s="24">
        <v>110000</v>
      </c>
      <c r="B141" s="24">
        <f t="shared" si="14"/>
        <v>2.7894680928689246E-10</v>
      </c>
      <c r="C141" s="24">
        <f t="shared" si="20"/>
        <v>3.0684149021558168E-5</v>
      </c>
    </row>
    <row r="142" spans="1:3">
      <c r="A142" s="24">
        <v>111000</v>
      </c>
      <c r="B142" s="24">
        <f t="shared" si="14"/>
        <v>2.2838233123615781E-10</v>
      </c>
      <c r="C142" s="24">
        <f t="shared" si="20"/>
        <v>2.5350438767213517E-5</v>
      </c>
    </row>
    <row r="143" spans="1:3">
      <c r="A143" s="24">
        <v>112000</v>
      </c>
      <c r="B143" s="24">
        <f t="shared" si="14"/>
        <v>1.8698363804268407E-10</v>
      </c>
      <c r="C143" s="24">
        <f t="shared" si="20"/>
        <v>2.0942167460780615E-5</v>
      </c>
    </row>
    <row r="144" spans="1:3">
      <c r="A144" s="24">
        <v>113000</v>
      </c>
      <c r="B144" s="24">
        <f t="shared" si="14"/>
        <v>1.5308925478794762E-10</v>
      </c>
      <c r="C144" s="24">
        <f t="shared" si="20"/>
        <v>1.729908579103808E-5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75</vt:i4>
      </vt:variant>
    </vt:vector>
  </HeadingPairs>
  <TitlesOfParts>
    <vt:vector size="92" baseType="lpstr">
      <vt:lpstr>PnET-Succ v. PnET-II</vt:lpstr>
      <vt:lpstr>Amax A&amp;B worksheet</vt:lpstr>
      <vt:lpstr>DTemp</vt:lpstr>
      <vt:lpstr>CO2 effects</vt:lpstr>
      <vt:lpstr>Wythers</vt:lpstr>
      <vt:lpstr>fRad</vt:lpstr>
      <vt:lpstr>fWater</vt:lpstr>
      <vt:lpstr>fAge</vt:lpstr>
      <vt:lpstr>FrActWd</vt:lpstr>
      <vt:lpstr>EstMod</vt:lpstr>
      <vt:lpstr>AdjFolN</vt:lpstr>
      <vt:lpstr>AdjFracFol</vt:lpstr>
      <vt:lpstr>CO2HalfSatEff</vt:lpstr>
      <vt:lpstr>MaxLAI</vt:lpstr>
      <vt:lpstr>Charts</vt:lpstr>
      <vt:lpstr>MaxLAI (3)</vt:lpstr>
      <vt:lpstr>MaxLAI (2)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Miranda, Brian -FS</cp:lastModifiedBy>
  <cp:lastPrinted>2016-05-12T20:31:54Z</cp:lastPrinted>
  <dcterms:created xsi:type="dcterms:W3CDTF">2016-03-04T15:50:18Z</dcterms:created>
  <dcterms:modified xsi:type="dcterms:W3CDTF">2021-12-23T16:09:35Z</dcterms:modified>
</cp:coreProperties>
</file>