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bookViews>
    <workbookView xWindow="-15" yWindow="30" windowWidth="27675" windowHeight="12300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CO2HalfSatEff" sheetId="14" r:id="rId5"/>
    <sheet name="EstMod" sheetId="10" r:id="rId6"/>
    <sheet name="AdjFolN" sheetId="15" r:id="rId7"/>
    <sheet name="Wythers" sheetId="11" r:id="rId8"/>
    <sheet name="fAge" sheetId="13" r:id="rId9"/>
    <sheet name="DelAmax" sheetId="16" r:id="rId10"/>
    <sheet name="CiModifier" sheetId="17" r:id="rId11"/>
    <sheet name="O3Effect" sheetId="18" r:id="rId12"/>
  </sheets>
  <externalReferences>
    <externalReference r:id="rId13"/>
    <externalReference r:id="rId14"/>
  </externalReferences>
  <definedNames>
    <definedName name="Amax" localSheetId="8">#REF!</definedName>
    <definedName name="Amax" localSheetId="0">'PnET-Succ v. PnET-II'!$AD$12</definedName>
    <definedName name="Amax">#REF!</definedName>
    <definedName name="Amax_pnet_ii" localSheetId="8">#REF!</definedName>
    <definedName name="Amax_pnet_ii" localSheetId="0">'PnET-Succ v. PnET-II'!$AA$22</definedName>
    <definedName name="Amax_pnet_ii">#REF!</definedName>
    <definedName name="Amax_temp1" localSheetId="8">#REF!</definedName>
    <definedName name="Amax_temp1" localSheetId="0">'PnET-Succ v. PnET-II'!$AQ$22</definedName>
    <definedName name="Amax_temp1">#REF!</definedName>
    <definedName name="AMaxFrac" localSheetId="8">#REF!</definedName>
    <definedName name="AMaxFrac" localSheetId="0">'PnET-Succ v. PnET-II'!$AD$31</definedName>
    <definedName name="AMaxFrac">#REF!</definedName>
    <definedName name="BaseFolResp" localSheetId="8">#REF!</definedName>
    <definedName name="BaseFolResp" localSheetId="0">'PnET-Succ v. PnET-II'!#REF!</definedName>
    <definedName name="BaseFolResp">#REF!</definedName>
    <definedName name="BaseFolResp_pnet_ii" localSheetId="8">#REF!</definedName>
    <definedName name="BaseFolResp_pnet_ii" localSheetId="0">'PnET-Succ v. PnET-II'!$U$22</definedName>
    <definedName name="BaseFolResp_pnet_ii">#REF!</definedName>
    <definedName name="BaseFolRespFrac" localSheetId="8">#REF!</definedName>
    <definedName name="BaseFolRespFrac" localSheetId="0">'PnET-Succ v. PnET-II'!$AD$24</definedName>
    <definedName name="BaseFolRespFrac">#REF!</definedName>
    <definedName name="BaseFolRespFrac_PnET_II" localSheetId="8">#REF!</definedName>
    <definedName name="BaseFolRespFrac_PnET_II" localSheetId="0">'PnET-Succ v. PnET-II'!$AE$20</definedName>
    <definedName name="BaseFolRespFrac_PnET_II">#REF!</definedName>
    <definedName name="Billion" localSheetId="8">#REF!</definedName>
    <definedName name="Billion" localSheetId="0">'PnET-Succ v. PnET-II'!$AD$5</definedName>
    <definedName name="Billion">#REF!</definedName>
    <definedName name="biomass" localSheetId="8">#REF!</definedName>
    <definedName name="biomass" localSheetId="0">'PnET-Succ v. PnET-II'!#REF!</definedName>
    <definedName name="biomass">#REF!</definedName>
    <definedName name="CanopyGrossPsn" localSheetId="8">#REF!</definedName>
    <definedName name="CanopyGrossPsn" localSheetId="0">'PnET-Succ v. PnET-II'!$AD$35</definedName>
    <definedName name="CanopyGrossPsn">#REF!</definedName>
    <definedName name="CanopyGrossPsnAct_pnet_ii" localSheetId="8">#REF!</definedName>
    <definedName name="CanopyGrossPsnAct_pnet_ii" localSheetId="0">'PnET-Succ v. PnET-II'!$X$22</definedName>
    <definedName name="CanopyGrossPsnAct_pnet_ii">#REF!</definedName>
    <definedName name="CanopyGrossPsnMG" localSheetId="8">#REF!</definedName>
    <definedName name="CanopyGrossPsnMG" localSheetId="0">'PnET-Succ v. PnET-II'!$AD$36</definedName>
    <definedName name="CanopyGrossPsnMG">#REF!</definedName>
    <definedName name="DayLength" localSheetId="8">#REF!</definedName>
    <definedName name="DayLength" localSheetId="0">'PnET-Succ v. PnET-II'!$AD$7</definedName>
    <definedName name="DayLength">#REF!</definedName>
    <definedName name="DayResp_pnet_ii" localSheetId="8">#REF!</definedName>
    <definedName name="DayResp_pnet_ii" localSheetId="0">'PnET-Succ v. PnET-II'!$S$22</definedName>
    <definedName name="DayResp_pnet_ii">#REF!</definedName>
    <definedName name="dayspan" localSheetId="8">#REF!</definedName>
    <definedName name="dayspan" localSheetId="0">'PnET-Succ v. PnET-II'!$AD$9</definedName>
    <definedName name="dayspan">#REF!</definedName>
    <definedName name="DelAmax" localSheetId="8">#REF!</definedName>
    <definedName name="DelAmax" localSheetId="0">'PnET-Succ v. PnET-II'!$AD$17</definedName>
    <definedName name="DelAmax">#REF!</definedName>
    <definedName name="Delgs" localSheetId="8">#REF!</definedName>
    <definedName name="Delgs" localSheetId="0">'PnET-Succ v. PnET-II'!$AD$25</definedName>
    <definedName name="Delgs">#REF!</definedName>
    <definedName name="Dtemp_pnet_ii" localSheetId="8">#REF!</definedName>
    <definedName name="Dtemp_pnet_ii" localSheetId="0">'PnET-Succ v. PnET-II'!$J$22</definedName>
    <definedName name="Dtemp_pnet_ii">#REF!</definedName>
    <definedName name="Dtemp_pnet_suc" localSheetId="8">#REF!</definedName>
    <definedName name="Dtemp_pnet_suc" localSheetId="0">'PnET-Succ v. PnET-II'!$J$3</definedName>
    <definedName name="Dtemp_pnet_suc">#REF!</definedName>
    <definedName name="DVPD_pnet_ii" localSheetId="8">#REF!</definedName>
    <definedName name="DVPD_pnet_ii" localSheetId="0">'PnET-Succ v. PnET-II'!$L$22</definedName>
    <definedName name="DVPD_pnet_ii">#REF!</definedName>
    <definedName name="DVPD_pnet_suc" localSheetId="8">#REF!</definedName>
    <definedName name="DVPD_pnet_suc" localSheetId="0">'PnET-Succ v. PnET-II'!$L$3</definedName>
    <definedName name="DVPD_pnet_suc">#REF!</definedName>
    <definedName name="DVPD1" localSheetId="8">#REF!</definedName>
    <definedName name="DVPD1" localSheetId="0">'PnET-Succ v. PnET-II'!$AD$21</definedName>
    <definedName name="DVPD1">#REF!</definedName>
    <definedName name="DVPD2" localSheetId="8">#REF!</definedName>
    <definedName name="DVPD2" localSheetId="0">'PnET-Succ v. PnET-II'!$AD$22</definedName>
    <definedName name="DVPD2">#REF!</definedName>
    <definedName name="emean_PnET_II" localSheetId="8">#REF!</definedName>
    <definedName name="emean_PnET_II" localSheetId="0">'PnET-Succ v. PnET-II'!$H$22</definedName>
    <definedName name="emean_PnET_II">#REF!</definedName>
    <definedName name="emean_PnET_Succession" localSheetId="8">#REF!</definedName>
    <definedName name="emean_PnET_Succession" localSheetId="0">'PnET-Succ v. PnET-II'!$H$3</definedName>
    <definedName name="emean_PnET_Succession">#REF!</definedName>
    <definedName name="es_PnET_II" localSheetId="8">#REF!</definedName>
    <definedName name="es_PnET_II" localSheetId="0">'PnET-Succ v. PnET-II'!$G$22</definedName>
    <definedName name="es_PnET_II">#REF!</definedName>
    <definedName name="es_PnET_Succession" localSheetId="8">#REF!</definedName>
    <definedName name="es_PnET_Succession" localSheetId="0">'PnET-Succ v. PnET-II'!$G$3</definedName>
    <definedName name="es_PnET_Succession">#REF!</definedName>
    <definedName name="fAge" localSheetId="8">#REF!</definedName>
    <definedName name="fAge" localSheetId="0">'PnET-Succ v. PnET-II'!$AD$15</definedName>
    <definedName name="fAge">#REF!</definedName>
    <definedName name="Fol" localSheetId="8">#REF!</definedName>
    <definedName name="Fol" localSheetId="0">'PnET-Succ v. PnET-II'!$AD$11</definedName>
    <definedName name="Fol">#REF!</definedName>
    <definedName name="FolResp_pnet_suc" localSheetId="8">#REF!</definedName>
    <definedName name="FolResp_pnet_suc" localSheetId="0">'PnET-Succ v. PnET-II'!$V$3</definedName>
    <definedName name="FolResp_pnet_suc">#REF!</definedName>
    <definedName name="fRad" localSheetId="8">#REF!</definedName>
    <definedName name="fRad" localSheetId="0">'PnET-Succ v. PnET-II'!$AD$13</definedName>
    <definedName name="fRad">#REF!</definedName>
    <definedName name="FTempPsn_pnet_suc" localSheetId="8">#REF!</definedName>
    <definedName name="FTempPsn_pnet_suc" localSheetId="0">'PnET-Succ v. PnET-II'!$K$3</definedName>
    <definedName name="FTempPsn_pnet_suc">#REF!</definedName>
    <definedName name="FTempPSNRefNetPsn_pnet_suc" localSheetId="8">#REF!</definedName>
    <definedName name="FTempPSNRefNetPsn_pnet_suc" localSheetId="0">'PnET-Succ v. PnET-II'!$O$3</definedName>
    <definedName name="FTempPSNRefNetPsn_pnet_suc">#REF!</definedName>
    <definedName name="FTempRespDay_pnet_suc" localSheetId="8">#REF!</definedName>
    <definedName name="FTempRespDay_pnet_suc" localSheetId="0">'PnET-Succ v. PnET-II'!$S$3</definedName>
    <definedName name="FTempRespDay_pnet_suc">#REF!</definedName>
    <definedName name="FTempRespDayRefResp_pnet_suc" localSheetId="8">#REF!</definedName>
    <definedName name="FTempRespDayRefResp_pnet_suc" localSheetId="0">'PnET-Succ v. PnET-II'!$U$3</definedName>
    <definedName name="FTempRespDayRefResp_pnet_suc">#REF!</definedName>
    <definedName name="fWater" localSheetId="8">#REF!</definedName>
    <definedName name="fWater" localSheetId="0">'PnET-Succ v. PnET-II'!$AD$14</definedName>
    <definedName name="fWater">#REF!</definedName>
    <definedName name="GrossAmax_pnet_ii" localSheetId="8">#REF!</definedName>
    <definedName name="GrossAmax_pnet_ii" localSheetId="0">'PnET-Succ v. PnET-II'!$O$22</definedName>
    <definedName name="GrossAmax_pnet_ii">#REF!</definedName>
    <definedName name="GrossAmax_temp1_pnet_ii" localSheetId="8">#REF!</definedName>
    <definedName name="GrossAmax_temp1_pnet_ii" localSheetId="0">'PnET-Succ v. PnET-II'!$M$22</definedName>
    <definedName name="GrossAmax_temp1_pnet_ii">#REF!</definedName>
    <definedName name="GrossAmax_temp2_pnet_ii" localSheetId="8">#REF!</definedName>
    <definedName name="GrossAmax_temp2_pnet_ii" localSheetId="0">'PnET-Succ v. PnET-II'!$N$22</definedName>
    <definedName name="GrossAmax_temp2_pnet_ii">#REF!</definedName>
    <definedName name="GrossPsn_pnet_suc" localSheetId="8">#REF!</definedName>
    <definedName name="GrossPsn_pnet_suc" localSheetId="0">'PnET-Succ v. PnET-II'!$W$3</definedName>
    <definedName name="GrossPsn_pnet_suc">#REF!</definedName>
    <definedName name="IMAX" localSheetId="8">#REF!</definedName>
    <definedName name="IMAX" localSheetId="0">'PnET-Succ v. PnET-II'!$AD$10</definedName>
    <definedName name="IMAX">#REF!</definedName>
    <definedName name="index" localSheetId="8">#REF!</definedName>
    <definedName name="index" localSheetId="0">'PnET-Succ v. PnET-II'!#REF!</definedName>
    <definedName name="index">#REF!</definedName>
    <definedName name="LAI" localSheetId="8">#REF!</definedName>
    <definedName name="LAI" localSheetId="0">'PnET-Succ v. PnET-II'!$AD$32</definedName>
    <definedName name="LAI">#REF!</definedName>
    <definedName name="LAI_pnet_ii" localSheetId="8">#REF!</definedName>
    <definedName name="LAI_pnet_ii" localSheetId="0">'PnET-Succ v. PnET-II'!$P$22</definedName>
    <definedName name="LAI_pnet_ii">#REF!</definedName>
    <definedName name="LAI_pnet_suc" localSheetId="8">#REF!</definedName>
    <definedName name="LAI_pnet_suc" localSheetId="0">'PnET-Succ v. PnET-II'!$P$3</definedName>
    <definedName name="LAI_pnet_suc">#REF!</definedName>
    <definedName name="LayerGrossPsn_pnet_ii" localSheetId="8">#REF!</definedName>
    <definedName name="LayerGrossPsn_pnet_ii" localSheetId="0">'PnET-Succ v. PnET-II'!$R$22</definedName>
    <definedName name="LayerGrossPsn_pnet_ii">#REF!</definedName>
    <definedName name="LayerGrossPsnRate_pnet_ii" localSheetId="8">#REF!</definedName>
    <definedName name="LayerGrossPsnRate_pnet_ii" localSheetId="0">'PnET-Succ v. PnET-II'!$W$22</definedName>
    <definedName name="LayerGrossPsnRate_pnet_ii">#REF!</definedName>
    <definedName name="LayerLAI" localSheetId="8">#REF!</definedName>
    <definedName name="LayerLAI" localSheetId="0">'PnET-Succ v. PnET-II'!$AD$32</definedName>
    <definedName name="LayerLAI">#REF!</definedName>
    <definedName name="LayerNetPsn_pnet_ii" localSheetId="8">#REF!</definedName>
    <definedName name="LayerNetPsn_pnet_ii" localSheetId="0">'PnET-Succ v. PnET-II'!$Y$22</definedName>
    <definedName name="LayerNetPsn_pnet_ii">#REF!</definedName>
    <definedName name="LayerResp_pnet_ii" localSheetId="8">#REF!</definedName>
    <definedName name="LayerResp_pnet_ii" localSheetId="0">'PnET-Succ v. PnET-II'!$V$22</definedName>
    <definedName name="LayerResp_pnet_ii">#REF!</definedName>
    <definedName name="LayerSLW" localSheetId="8">#REF!</definedName>
    <definedName name="LayerSLW" localSheetId="0">'PnET-Succ v. PnET-II'!$AD$26</definedName>
    <definedName name="LayerSLW">#REF!</definedName>
    <definedName name="LightEff_pnet_ii" localSheetId="8">#REF!</definedName>
    <definedName name="LightEff_pnet_ii" localSheetId="0">'PnET-Succ v. PnET-II'!#REF!</definedName>
    <definedName name="LightEff_pnet_ii">#REF!</definedName>
    <definedName name="MaintResp_pnet_suc" localSheetId="8">#REF!</definedName>
    <definedName name="MaintResp_pnet_suc" localSheetId="0">'PnET-Succ v. PnET-II'!$Q$3</definedName>
    <definedName name="MaintResp_pnet_suc">#REF!</definedName>
    <definedName name="MC" localSheetId="8">#REF!</definedName>
    <definedName name="MC" localSheetId="0">'PnET-Succ v. PnET-II'!$AD$4</definedName>
    <definedName name="MC">#REF!</definedName>
    <definedName name="MCO2_MC" localSheetId="8">#REF!</definedName>
    <definedName name="MCO2_MC" localSheetId="0">'PnET-Succ v. PnET-II'!$AD$3</definedName>
    <definedName name="MCO2_MC">#REF!</definedName>
    <definedName name="NetPsn_pnet_suc" localSheetId="8">#REF!</definedName>
    <definedName name="NetPsn_pnet_suc" localSheetId="0">'PnET-Succ v. PnET-II'!$R$3</definedName>
    <definedName name="NetPsn_pnet_suc">#REF!</definedName>
    <definedName name="NightLength" localSheetId="8">#REF!</definedName>
    <definedName name="NightLength" localSheetId="0">'PnET-Succ v. PnET-II'!$AD$8</definedName>
    <definedName name="NightLength">#REF!</definedName>
    <definedName name="NightResp" localSheetId="8">#REF!</definedName>
    <definedName name="NightResp" localSheetId="0">'PnET-Succ v. PnET-II'!$T$22</definedName>
    <definedName name="NightResp">#REF!</definedName>
    <definedName name="NSC" localSheetId="8">#REF!</definedName>
    <definedName name="NSC" localSheetId="0">'PnET-Succ v. PnET-II'!#REF!</definedName>
    <definedName name="NSC">#REF!</definedName>
    <definedName name="PotTransd_pnet_ii" localSheetId="8">#REF!</definedName>
    <definedName name="PotTransd_pnet_ii" localSheetId="0">'PnET-Succ v. PnET-II'!$Z$22</definedName>
    <definedName name="PotTransd_pnet_ii">#REF!</definedName>
    <definedName name="PsnTMax" localSheetId="8">#REF!</definedName>
    <definedName name="PsnTMax" localSheetId="0">'PnET-Succ v. PnET-II'!$AD$20</definedName>
    <definedName name="PsnTMax">#REF!</definedName>
    <definedName name="PsnTMin" localSheetId="8">#REF!</definedName>
    <definedName name="PsnTMin" localSheetId="0">'PnET-Succ v. PnET-II'!$AD$18</definedName>
    <definedName name="PsnTMin">#REF!</definedName>
    <definedName name="PsnTOpt" localSheetId="8">#REF!</definedName>
    <definedName name="PsnTOpt" localSheetId="0">'PnET-Succ v. PnET-II'!$AD$19</definedName>
    <definedName name="PsnTOpt">#REF!</definedName>
    <definedName name="Q10const" localSheetId="8">#REF!</definedName>
    <definedName name="Q10const" localSheetId="0">'PnET-Succ v. PnET-II'!#REF!</definedName>
    <definedName name="Q10const">#REF!</definedName>
    <definedName name="RefNetPsn_pnet_suc" localSheetId="8">#REF!</definedName>
    <definedName name="RefNetPsn_pnet_suc" localSheetId="0">'PnET-Succ v. PnET-II'!$N$3</definedName>
    <definedName name="RefNetPsn_pnet_suc">#REF!</definedName>
    <definedName name="RespQ10" localSheetId="8">#REF!</definedName>
    <definedName name="RespQ10" localSheetId="0">'PnET-Succ v. PnET-II'!$AD$23</definedName>
    <definedName name="RespQ10">#REF!</definedName>
    <definedName name="SLWDel" localSheetId="8">#REF!</definedName>
    <definedName name="SLWDel" localSheetId="0">'PnET-Succ v. PnET-II'!#REF!</definedName>
    <definedName name="SLWDel">#REF!</definedName>
    <definedName name="SLWLayer" localSheetId="8">#REF!</definedName>
    <definedName name="SLWLayer" localSheetId="0">'PnET-Succ v. PnET-II'!$AD$26</definedName>
    <definedName name="SLWLayer">#REF!</definedName>
    <definedName name="SLWmax" localSheetId="8">#REF!</definedName>
    <definedName name="SLWmax" localSheetId="0">'PnET-Succ v. PnET-II'!#REF!</definedName>
    <definedName name="SLWmax">#REF!</definedName>
    <definedName name="Tave" localSheetId="8">#REF!</definedName>
    <definedName name="Tave" localSheetId="0">'PnET-Succ v. PnET-II'!$D$3</definedName>
    <definedName name="Tave">#REF!</definedName>
    <definedName name="Tday" localSheetId="8">#REF!</definedName>
    <definedName name="Tday" localSheetId="0">'PnET-Succ v. PnET-II'!$E$3</definedName>
    <definedName name="Tday">#REF!</definedName>
    <definedName name="Tmax" localSheetId="8">#REF!</definedName>
    <definedName name="Tmax" localSheetId="0">'PnET-Succ v. PnET-II'!$C$3</definedName>
    <definedName name="Tmax">#REF!</definedName>
    <definedName name="Tmin" localSheetId="8">#REF!</definedName>
    <definedName name="Tmin" localSheetId="0">'PnET-Succ v. PnET-II'!$B$3</definedName>
    <definedName name="Tmin">#REF!</definedName>
    <definedName name="Tnight" localSheetId="8">#REF!</definedName>
    <definedName name="Tnight" localSheetId="0">'PnET-Succ v. PnET-II'!$F$3</definedName>
    <definedName name="Tnight">#REF!</definedName>
    <definedName name="Transpiration_pnet_suc" localSheetId="8">#REF!</definedName>
    <definedName name="Transpiration_pnet_suc" localSheetId="0">'PnET-Succ v. PnET-II'!$Z$3</definedName>
    <definedName name="Transpiration_pnet_suc">#REF!</definedName>
    <definedName name="VPD" localSheetId="8">#REF!</definedName>
    <definedName name="VPD" localSheetId="0">'PnET-Succ v. PnET-II'!$AD$6</definedName>
    <definedName name="VPD">#REF!</definedName>
    <definedName name="VPD_PnET_II" localSheetId="8">#REF!</definedName>
    <definedName name="VPD_PnET_II" localSheetId="0">'PnET-Succ v. PnET-II'!$I$22</definedName>
    <definedName name="VPD_PnET_II">#REF!</definedName>
    <definedName name="VPD_PnET_Succession" localSheetId="8">#REF!</definedName>
    <definedName name="VPD_PnET_Succession" localSheetId="0">'PnET-Succ v. PnET-II'!$I$3</definedName>
    <definedName name="VPD_PnET_Succession">#REF!</definedName>
    <definedName name="WoodMRespMo_pnet_ii" localSheetId="8">#REF!</definedName>
    <definedName name="WoodMRespMo_pnet_ii" localSheetId="0">'PnET-Succ v. PnET-II'!$Q$22</definedName>
    <definedName name="WoodMRespMo_pnet_ii">#REF!</definedName>
    <definedName name="WUE" localSheetId="8">#REF!</definedName>
    <definedName name="WUE" localSheetId="0">'PnET-Succ v. PnET-II'!$X$3</definedName>
    <definedName name="WUE">#REF!</definedName>
    <definedName name="WUE_PnET" localSheetId="8">#REF!</definedName>
    <definedName name="WUE_PnET" localSheetId="0">'PnET-Succ v. PnET-II'!$X$22</definedName>
    <definedName name="WUE_PnET">#REF!</definedName>
    <definedName name="WUEconst" localSheetId="8">#REF!</definedName>
    <definedName name="WUEconst" localSheetId="0">'PnET-Succ v. PnET-II'!$AD$16</definedName>
    <definedName name="WUEconst">#REF!</definedName>
  </definedNames>
  <calcPr calcId="152511"/>
</workbook>
</file>

<file path=xl/calcChain.xml><?xml version="1.0" encoding="utf-8"?>
<calcChain xmlns="http://schemas.openxmlformats.org/spreadsheetml/2006/main">
  <c r="E8" i="18" l="1"/>
  <c r="F8" i="18" s="1"/>
  <c r="E9" i="18"/>
  <c r="F9" i="18" s="1"/>
  <c r="E10" i="18"/>
  <c r="F10" i="18" s="1"/>
  <c r="E11" i="18"/>
  <c r="F11" i="18" s="1"/>
  <c r="E12" i="18"/>
  <c r="F12" i="18" s="1"/>
  <c r="E13" i="18"/>
  <c r="F13" i="18" s="1"/>
  <c r="E14" i="18"/>
  <c r="F14" i="18" s="1"/>
  <c r="E15" i="18"/>
  <c r="F15" i="18" s="1"/>
  <c r="E16" i="18"/>
  <c r="F16" i="18" s="1"/>
  <c r="E17" i="18"/>
  <c r="F17" i="18" s="1"/>
  <c r="E18" i="18"/>
  <c r="F18" i="18" s="1"/>
  <c r="E19" i="18"/>
  <c r="F19" i="18" s="1"/>
  <c r="E20" i="18"/>
  <c r="F20" i="18" s="1"/>
  <c r="E21" i="18"/>
  <c r="F21" i="18" s="1"/>
  <c r="E22" i="18"/>
  <c r="F22" i="18" s="1"/>
  <c r="E23" i="18"/>
  <c r="F23" i="18" s="1"/>
  <c r="E24" i="18"/>
  <c r="F24" i="18" s="1"/>
  <c r="E25" i="18"/>
  <c r="F25" i="18" s="1"/>
  <c r="E26" i="18"/>
  <c r="F26" i="18" s="1"/>
  <c r="E27" i="18"/>
  <c r="F27" i="18" s="1"/>
  <c r="E28" i="18"/>
  <c r="F28" i="18" s="1"/>
  <c r="E29" i="18"/>
  <c r="F29" i="18" s="1"/>
  <c r="E30" i="18"/>
  <c r="F30" i="18" s="1"/>
  <c r="E31" i="18"/>
  <c r="F31" i="18" s="1"/>
  <c r="E32" i="18"/>
  <c r="F32" i="18" s="1"/>
  <c r="E7" i="18"/>
  <c r="F7" i="18" s="1"/>
  <c r="E3" i="18"/>
  <c r="F3" i="18" s="1"/>
  <c r="E4" i="18"/>
  <c r="F4" i="18" s="1"/>
  <c r="E5" i="18"/>
  <c r="F5" i="18" s="1"/>
  <c r="E6" i="18"/>
  <c r="F6" i="18" s="1"/>
  <c r="E2" i="18"/>
  <c r="F2" i="18" s="1"/>
  <c r="L60" i="17" l="1"/>
  <c r="K60" i="17"/>
  <c r="J60" i="17"/>
  <c r="I60" i="17"/>
  <c r="H60" i="17"/>
  <c r="G60" i="17"/>
  <c r="F60" i="17"/>
  <c r="E60" i="17"/>
  <c r="D60" i="17"/>
  <c r="C60" i="17"/>
  <c r="B60" i="17"/>
  <c r="L52" i="17"/>
  <c r="K52" i="17"/>
  <c r="J52" i="17"/>
  <c r="I52" i="17"/>
  <c r="H52" i="17"/>
  <c r="G52" i="17"/>
  <c r="F52" i="17"/>
  <c r="E52" i="17"/>
  <c r="D52" i="17"/>
  <c r="C52" i="17"/>
  <c r="B52" i="17"/>
  <c r="L51" i="17"/>
  <c r="K51" i="17"/>
  <c r="J51" i="17"/>
  <c r="I51" i="17"/>
  <c r="H51" i="17"/>
  <c r="G51" i="17"/>
  <c r="F51" i="17"/>
  <c r="E51" i="17"/>
  <c r="D51" i="17"/>
  <c r="C51" i="17"/>
  <c r="B51" i="17"/>
  <c r="L50" i="17"/>
  <c r="K50" i="17"/>
  <c r="J50" i="17"/>
  <c r="I50" i="17"/>
  <c r="H50" i="17"/>
  <c r="G50" i="17"/>
  <c r="F50" i="17"/>
  <c r="E50" i="17"/>
  <c r="D50" i="17"/>
  <c r="C50" i="17"/>
  <c r="B50" i="17"/>
  <c r="L49" i="17"/>
  <c r="K49" i="17"/>
  <c r="J49" i="17"/>
  <c r="I49" i="17"/>
  <c r="H49" i="17"/>
  <c r="G49" i="17"/>
  <c r="F49" i="17"/>
  <c r="E49" i="17"/>
  <c r="D49" i="17"/>
  <c r="C49" i="17"/>
  <c r="B49" i="17"/>
  <c r="L48" i="17"/>
  <c r="K48" i="17"/>
  <c r="J48" i="17"/>
  <c r="I48" i="17"/>
  <c r="H48" i="17"/>
  <c r="G48" i="17"/>
  <c r="F48" i="17"/>
  <c r="E48" i="17"/>
  <c r="D48" i="17"/>
  <c r="C48" i="17"/>
  <c r="B48" i="17"/>
  <c r="L47" i="17"/>
  <c r="K47" i="17"/>
  <c r="J47" i="17"/>
  <c r="I47" i="17"/>
  <c r="H47" i="17"/>
  <c r="G47" i="17"/>
  <c r="F47" i="17"/>
  <c r="E47" i="17"/>
  <c r="D47" i="17"/>
  <c r="C47" i="17"/>
  <c r="B47" i="17"/>
  <c r="L46" i="17"/>
  <c r="K46" i="17"/>
  <c r="J46" i="17"/>
  <c r="I46" i="17"/>
  <c r="H46" i="17"/>
  <c r="G46" i="17"/>
  <c r="F46" i="17"/>
  <c r="E46" i="17"/>
  <c r="D46" i="17"/>
  <c r="C46" i="17"/>
  <c r="B46" i="17"/>
  <c r="L45" i="17"/>
  <c r="K45" i="17"/>
  <c r="J45" i="17"/>
  <c r="I45" i="17"/>
  <c r="H45" i="17"/>
  <c r="G45" i="17"/>
  <c r="F45" i="17"/>
  <c r="E45" i="17"/>
  <c r="D45" i="17"/>
  <c r="C45" i="17"/>
  <c r="B45" i="17"/>
  <c r="L44" i="17"/>
  <c r="K44" i="17"/>
  <c r="J44" i="17"/>
  <c r="I44" i="17"/>
  <c r="H44" i="17"/>
  <c r="G44" i="17"/>
  <c r="F44" i="17"/>
  <c r="E44" i="17"/>
  <c r="D44" i="17"/>
  <c r="C44" i="17"/>
  <c r="B44" i="17"/>
  <c r="L43" i="17"/>
  <c r="K43" i="17"/>
  <c r="J43" i="17"/>
  <c r="I43" i="17"/>
  <c r="H43" i="17"/>
  <c r="G43" i="17"/>
  <c r="F43" i="17"/>
  <c r="E43" i="17"/>
  <c r="D43" i="17"/>
  <c r="C43" i="17"/>
  <c r="B43" i="17"/>
  <c r="L33" i="17"/>
  <c r="K33" i="17"/>
  <c r="J33" i="17"/>
  <c r="I33" i="17"/>
  <c r="H33" i="17"/>
  <c r="G33" i="17"/>
  <c r="F33" i="17"/>
  <c r="E33" i="17"/>
  <c r="D33" i="17"/>
  <c r="C33" i="17"/>
  <c r="B33" i="17"/>
  <c r="L32" i="17"/>
  <c r="K32" i="17"/>
  <c r="J32" i="17"/>
  <c r="I32" i="17"/>
  <c r="H32" i="17"/>
  <c r="G32" i="17"/>
  <c r="F32" i="17"/>
  <c r="E32" i="17"/>
  <c r="D32" i="17"/>
  <c r="C32" i="17"/>
  <c r="B32" i="17"/>
  <c r="L31" i="17"/>
  <c r="K31" i="17"/>
  <c r="J31" i="17"/>
  <c r="I31" i="17"/>
  <c r="H31" i="17"/>
  <c r="G31" i="17"/>
  <c r="F31" i="17"/>
  <c r="E31" i="17"/>
  <c r="D31" i="17"/>
  <c r="C31" i="17"/>
  <c r="B31" i="17"/>
  <c r="L30" i="17"/>
  <c r="K30" i="17"/>
  <c r="J30" i="17"/>
  <c r="I30" i="17"/>
  <c r="H30" i="17"/>
  <c r="G30" i="17"/>
  <c r="F30" i="17"/>
  <c r="E30" i="17"/>
  <c r="D30" i="17"/>
  <c r="C30" i="17"/>
  <c r="B30" i="17"/>
  <c r="L29" i="17"/>
  <c r="K29" i="17"/>
  <c r="J29" i="17"/>
  <c r="I29" i="17"/>
  <c r="H29" i="17"/>
  <c r="G29" i="17"/>
  <c r="F29" i="17"/>
  <c r="E29" i="17"/>
  <c r="D29" i="17"/>
  <c r="C29" i="17"/>
  <c r="B29" i="17"/>
  <c r="L28" i="17"/>
  <c r="K28" i="17"/>
  <c r="J28" i="17"/>
  <c r="I28" i="17"/>
  <c r="H28" i="17"/>
  <c r="G28" i="17"/>
  <c r="F28" i="17"/>
  <c r="E28" i="17"/>
  <c r="D28" i="17"/>
  <c r="C28" i="17"/>
  <c r="B28" i="17"/>
  <c r="L27" i="17"/>
  <c r="K27" i="17"/>
  <c r="J27" i="17"/>
  <c r="I27" i="17"/>
  <c r="H27" i="17"/>
  <c r="G27" i="17"/>
  <c r="F27" i="17"/>
  <c r="E27" i="17"/>
  <c r="D27" i="17"/>
  <c r="C27" i="17"/>
  <c r="B27" i="17"/>
  <c r="L26" i="17"/>
  <c r="K26" i="17"/>
  <c r="J26" i="17"/>
  <c r="I26" i="17"/>
  <c r="H26" i="17"/>
  <c r="G26" i="17"/>
  <c r="F26" i="17"/>
  <c r="E26" i="17"/>
  <c r="D26" i="17"/>
  <c r="C26" i="17"/>
  <c r="B26" i="17"/>
  <c r="L25" i="17"/>
  <c r="K25" i="17"/>
  <c r="J25" i="17"/>
  <c r="I25" i="17"/>
  <c r="H25" i="17"/>
  <c r="G25" i="17"/>
  <c r="F25" i="17"/>
  <c r="E25" i="17"/>
  <c r="D25" i="17"/>
  <c r="C25" i="17"/>
  <c r="B25" i="17"/>
  <c r="L24" i="17"/>
  <c r="K24" i="17"/>
  <c r="J24" i="17"/>
  <c r="I24" i="17"/>
  <c r="H24" i="17"/>
  <c r="G24" i="17"/>
  <c r="F24" i="17"/>
  <c r="E24" i="17"/>
  <c r="D24" i="17"/>
  <c r="C24" i="17"/>
  <c r="B24" i="17"/>
  <c r="L14" i="17"/>
  <c r="K14" i="17"/>
  <c r="J14" i="17"/>
  <c r="I14" i="17"/>
  <c r="H14" i="17"/>
  <c r="G14" i="17"/>
  <c r="F14" i="17"/>
  <c r="E14" i="17"/>
  <c r="D14" i="17"/>
  <c r="C14" i="17"/>
  <c r="B14" i="17"/>
  <c r="L13" i="17"/>
  <c r="K13" i="17"/>
  <c r="J13" i="17"/>
  <c r="I13" i="17"/>
  <c r="H13" i="17"/>
  <c r="G13" i="17"/>
  <c r="F13" i="17"/>
  <c r="E13" i="17"/>
  <c r="D13" i="17"/>
  <c r="C13" i="17"/>
  <c r="B13" i="17"/>
  <c r="L12" i="17"/>
  <c r="K12" i="17"/>
  <c r="J12" i="17"/>
  <c r="I12" i="17"/>
  <c r="H12" i="17"/>
  <c r="G12" i="17"/>
  <c r="F12" i="17"/>
  <c r="E12" i="17"/>
  <c r="D12" i="17"/>
  <c r="C12" i="17"/>
  <c r="B12" i="17"/>
  <c r="L11" i="17"/>
  <c r="K11" i="17"/>
  <c r="J11" i="17"/>
  <c r="I11" i="17"/>
  <c r="H11" i="17"/>
  <c r="G11" i="17"/>
  <c r="F11" i="17"/>
  <c r="E11" i="17"/>
  <c r="D11" i="17"/>
  <c r="C11" i="17"/>
  <c r="B11" i="17"/>
  <c r="L10" i="17"/>
  <c r="K10" i="17"/>
  <c r="J10" i="17"/>
  <c r="I10" i="17"/>
  <c r="H10" i="17"/>
  <c r="G10" i="17"/>
  <c r="F10" i="17"/>
  <c r="E10" i="17"/>
  <c r="D10" i="17"/>
  <c r="C10" i="17"/>
  <c r="B10" i="17"/>
  <c r="L9" i="17"/>
  <c r="K9" i="17"/>
  <c r="J9" i="17"/>
  <c r="I9" i="17"/>
  <c r="H9" i="17"/>
  <c r="G9" i="17"/>
  <c r="F9" i="17"/>
  <c r="E9" i="17"/>
  <c r="D9" i="17"/>
  <c r="C9" i="17"/>
  <c r="B9" i="17"/>
  <c r="L8" i="17"/>
  <c r="K8" i="17"/>
  <c r="J8" i="17"/>
  <c r="I8" i="17"/>
  <c r="H8" i="17"/>
  <c r="G8" i="17"/>
  <c r="F8" i="17"/>
  <c r="E8" i="17"/>
  <c r="D8" i="17"/>
  <c r="C8" i="17"/>
  <c r="B8" i="17"/>
  <c r="L7" i="17"/>
  <c r="K7" i="17"/>
  <c r="J7" i="17"/>
  <c r="I7" i="17"/>
  <c r="H7" i="17"/>
  <c r="G7" i="17"/>
  <c r="F7" i="17"/>
  <c r="E7" i="17"/>
  <c r="D7" i="17"/>
  <c r="C7" i="17"/>
  <c r="B7" i="17"/>
  <c r="L6" i="17"/>
  <c r="K6" i="17"/>
  <c r="J6" i="17"/>
  <c r="I6" i="17"/>
  <c r="H6" i="17"/>
  <c r="G6" i="17"/>
  <c r="F6" i="17"/>
  <c r="E6" i="17"/>
  <c r="D6" i="17"/>
  <c r="C6" i="17"/>
  <c r="B6" i="17"/>
  <c r="L5" i="17"/>
  <c r="K5" i="17"/>
  <c r="J5" i="17"/>
  <c r="I5" i="17"/>
  <c r="H5" i="17"/>
  <c r="G5" i="17"/>
  <c r="F5" i="17"/>
  <c r="E5" i="17"/>
  <c r="D5" i="17"/>
  <c r="C5" i="17"/>
  <c r="B5" i="17"/>
  <c r="B19" i="16" l="1"/>
  <c r="D13" i="16"/>
  <c r="B13" i="16"/>
  <c r="E12" i="16"/>
  <c r="F12" i="16" s="1"/>
  <c r="G12" i="16" s="1"/>
  <c r="D12" i="16"/>
  <c r="B12" i="16"/>
  <c r="D11" i="16"/>
  <c r="B11" i="16"/>
  <c r="D10" i="16"/>
  <c r="I10" i="16" s="1"/>
  <c r="D9" i="16"/>
  <c r="I9" i="16" s="1"/>
  <c r="I8" i="16"/>
  <c r="D8" i="16"/>
  <c r="D7" i="16"/>
  <c r="B7" i="16"/>
  <c r="B9" i="16" s="1"/>
  <c r="E6" i="16"/>
  <c r="F6" i="16" s="1"/>
  <c r="G6" i="16" s="1"/>
  <c r="D6" i="16"/>
  <c r="B6" i="16"/>
  <c r="B17" i="16" s="1"/>
  <c r="I5" i="16"/>
  <c r="D5" i="16"/>
  <c r="B5" i="16"/>
  <c r="I7" i="16" s="1"/>
  <c r="E4" i="16"/>
  <c r="F4" i="16" s="1"/>
  <c r="G4" i="16" s="1"/>
  <c r="D4" i="16"/>
  <c r="B4" i="16"/>
  <c r="I3" i="16"/>
  <c r="D3" i="16"/>
  <c r="B3" i="16"/>
  <c r="E2" i="16"/>
  <c r="F2" i="16" s="1"/>
  <c r="G2" i="16" s="1"/>
  <c r="D2" i="16"/>
  <c r="B2" i="16"/>
  <c r="E8" i="16" s="1"/>
  <c r="F8" i="16" s="1"/>
  <c r="G8" i="16" s="1"/>
  <c r="E10" i="16" l="1"/>
  <c r="F10" i="16" s="1"/>
  <c r="G10" i="16" s="1"/>
  <c r="E11" i="16"/>
  <c r="F11" i="16" s="1"/>
  <c r="G11" i="16" s="1"/>
  <c r="E9" i="16"/>
  <c r="F9" i="16" s="1"/>
  <c r="G9" i="16" s="1"/>
  <c r="E3" i="16"/>
  <c r="F3" i="16" s="1"/>
  <c r="E5" i="16"/>
  <c r="F5" i="16" s="1"/>
  <c r="E7" i="16"/>
  <c r="F7" i="16" s="1"/>
  <c r="B8" i="16"/>
  <c r="H8" i="16"/>
  <c r="H10" i="16"/>
  <c r="H12" i="16"/>
  <c r="M12" i="16" s="1"/>
  <c r="H2" i="16"/>
  <c r="H4" i="16"/>
  <c r="H6" i="16"/>
  <c r="H11" i="16"/>
  <c r="I2" i="16"/>
  <c r="I4" i="16"/>
  <c r="I6" i="16"/>
  <c r="I11" i="16"/>
  <c r="I12" i="16"/>
  <c r="I13" i="16"/>
  <c r="B10" i="16"/>
  <c r="B14" i="16"/>
  <c r="E13" i="16"/>
  <c r="F13" i="16" s="1"/>
  <c r="B15" i="16"/>
  <c r="G3" i="16" l="1"/>
  <c r="H3" i="16"/>
  <c r="G7" i="16"/>
  <c r="H7" i="16"/>
  <c r="H9" i="16"/>
  <c r="G5" i="16"/>
  <c r="H5" i="16"/>
  <c r="J6" i="16"/>
  <c r="M6" i="16"/>
  <c r="J4" i="16"/>
  <c r="M4" i="16"/>
  <c r="J11" i="16"/>
  <c r="M11" i="16"/>
  <c r="N11" i="16" s="1"/>
  <c r="J10" i="16"/>
  <c r="M10" i="16"/>
  <c r="N10" i="16" s="1"/>
  <c r="H13" i="16"/>
  <c r="G13" i="16"/>
  <c r="J8" i="16"/>
  <c r="M8" i="16"/>
  <c r="N8" i="16" s="1"/>
  <c r="B18" i="16"/>
  <c r="B16" i="16"/>
  <c r="N12" i="16" s="1"/>
  <c r="J12" i="16"/>
  <c r="K2" i="16"/>
  <c r="J2" i="16"/>
  <c r="M2" i="16"/>
  <c r="N2" i="16" s="1"/>
  <c r="J9" i="16"/>
  <c r="M9" i="16"/>
  <c r="N9" i="16" s="1"/>
  <c r="J7" i="16" l="1"/>
  <c r="M7" i="16"/>
  <c r="L12" i="16"/>
  <c r="K6" i="16"/>
  <c r="J3" i="16"/>
  <c r="M3" i="16"/>
  <c r="N3" i="16" s="1"/>
  <c r="J5" i="16"/>
  <c r="L5" i="16" s="1"/>
  <c r="M5" i="16"/>
  <c r="N5" i="16" s="1"/>
  <c r="L2" i="16"/>
  <c r="K4" i="16"/>
  <c r="L6" i="16"/>
  <c r="L9" i="16"/>
  <c r="K9" i="16"/>
  <c r="K3" i="16"/>
  <c r="K5" i="16"/>
  <c r="K10" i="16"/>
  <c r="K7" i="16"/>
  <c r="K8" i="16"/>
  <c r="L8" i="16"/>
  <c r="N7" i="16"/>
  <c r="L10" i="16"/>
  <c r="N4" i="16"/>
  <c r="K13" i="16"/>
  <c r="L3" i="16"/>
  <c r="L7" i="16"/>
  <c r="M13" i="16"/>
  <c r="N13" i="16" s="1"/>
  <c r="J13" i="16"/>
  <c r="L13" i="16" s="1"/>
  <c r="L4" i="16"/>
  <c r="L11" i="16"/>
  <c r="K11" i="16"/>
  <c r="N6" i="16"/>
  <c r="K12" i="16"/>
  <c r="D18" i="15" l="1"/>
  <c r="D17" i="15"/>
  <c r="D16" i="15"/>
  <c r="D15" i="15"/>
  <c r="D14" i="15"/>
  <c r="D13" i="15"/>
  <c r="B2" i="15"/>
  <c r="C2" i="15" s="1"/>
  <c r="B3" i="15" l="1"/>
  <c r="C3" i="15" s="1"/>
  <c r="B4" i="15"/>
  <c r="C4" i="15" s="1"/>
  <c r="B6" i="15"/>
  <c r="C6" i="15" s="1"/>
  <c r="B8" i="15"/>
  <c r="C8" i="15" s="1"/>
  <c r="B10" i="15"/>
  <c r="C10" i="15" s="1"/>
  <c r="B12" i="15"/>
  <c r="C12" i="15" s="1"/>
  <c r="C13" i="15" s="1"/>
  <c r="B5" i="15"/>
  <c r="C5" i="15" s="1"/>
  <c r="B7" i="15"/>
  <c r="C7" i="15" s="1"/>
  <c r="B9" i="15"/>
  <c r="C9" i="15" s="1"/>
  <c r="B11" i="15"/>
  <c r="C11" i="15" s="1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B28" i="13" l="1"/>
  <c r="B29" i="13"/>
  <c r="B30" i="13"/>
  <c r="B31" i="13"/>
  <c r="B32" i="13"/>
  <c r="A32" i="13"/>
  <c r="A28" i="13"/>
  <c r="A29" i="13"/>
  <c r="A30" i="13" s="1"/>
  <c r="A31" i="13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" i="13"/>
  <c r="A14" i="13" l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13" i="13"/>
  <c r="B3" i="12" l="1"/>
  <c r="B4" i="12"/>
  <c r="B5" i="12"/>
  <c r="B6" i="12"/>
  <c r="B7" i="12"/>
  <c r="B2" i="12"/>
  <c r="B5" i="10" l="1"/>
  <c r="B6" i="10"/>
  <c r="B7" i="10"/>
  <c r="B8" i="10"/>
  <c r="B9" i="10"/>
  <c r="B10" i="10"/>
  <c r="B11" i="10"/>
  <c r="B12" i="10"/>
  <c r="B13" i="10"/>
  <c r="B14" i="10"/>
  <c r="B4" i="10"/>
  <c r="B8" i="11"/>
  <c r="E20" i="11"/>
  <c r="D20" i="11"/>
  <c r="A20" i="11"/>
  <c r="C20" i="11" s="1"/>
  <c r="E19" i="11"/>
  <c r="D19" i="11"/>
  <c r="A19" i="11"/>
  <c r="C19" i="11" s="1"/>
  <c r="E18" i="11"/>
  <c r="D18" i="11"/>
  <c r="A18" i="11"/>
  <c r="H18" i="11" s="1"/>
  <c r="E17" i="11"/>
  <c r="D17" i="11"/>
  <c r="C17" i="11"/>
  <c r="I17" i="11" s="1"/>
  <c r="A17" i="11"/>
  <c r="H17" i="11" s="1"/>
  <c r="E16" i="11"/>
  <c r="D16" i="11"/>
  <c r="C16" i="11"/>
  <c r="L16" i="11" s="1"/>
  <c r="A16" i="11"/>
  <c r="H16" i="11" s="1"/>
  <c r="E15" i="11"/>
  <c r="D15" i="11"/>
  <c r="A15" i="11"/>
  <c r="C15" i="11" s="1"/>
  <c r="E14" i="11"/>
  <c r="D14" i="11"/>
  <c r="A14" i="11"/>
  <c r="H14" i="11" s="1"/>
  <c r="E13" i="11"/>
  <c r="D13" i="11"/>
  <c r="A13" i="11"/>
  <c r="C13" i="11" s="1"/>
  <c r="I13" i="11" s="1"/>
  <c r="E12" i="11"/>
  <c r="D12" i="11"/>
  <c r="A12" i="11"/>
  <c r="C12" i="11" s="1"/>
  <c r="E11" i="11"/>
  <c r="D11" i="11"/>
  <c r="A11" i="11"/>
  <c r="C11" i="11" s="1"/>
  <c r="F20" i="11"/>
  <c r="L12" i="11" l="1"/>
  <c r="I12" i="11"/>
  <c r="H13" i="11"/>
  <c r="I16" i="11"/>
  <c r="H12" i="11"/>
  <c r="H20" i="11"/>
  <c r="J20" i="11" s="1"/>
  <c r="I19" i="11"/>
  <c r="L19" i="11"/>
  <c r="L15" i="11"/>
  <c r="I15" i="11"/>
  <c r="L20" i="11"/>
  <c r="I20" i="11"/>
  <c r="L11" i="11"/>
  <c r="I11" i="11"/>
  <c r="G13" i="11"/>
  <c r="F14" i="11"/>
  <c r="F18" i="11"/>
  <c r="G14" i="11"/>
  <c r="G18" i="11"/>
  <c r="F19" i="11"/>
  <c r="H11" i="11"/>
  <c r="G12" i="11"/>
  <c r="F13" i="11"/>
  <c r="L13" i="11"/>
  <c r="H15" i="11"/>
  <c r="G16" i="11"/>
  <c r="F17" i="11"/>
  <c r="L17" i="11"/>
  <c r="H19" i="11"/>
  <c r="G20" i="11"/>
  <c r="G17" i="11"/>
  <c r="F11" i="11"/>
  <c r="C14" i="11"/>
  <c r="F15" i="11"/>
  <c r="C18" i="11"/>
  <c r="G11" i="11"/>
  <c r="F12" i="11"/>
  <c r="G15" i="11"/>
  <c r="F16" i="11"/>
  <c r="G19" i="11"/>
  <c r="J16" i="11" l="1"/>
  <c r="L18" i="11"/>
  <c r="I18" i="11"/>
  <c r="J17" i="11"/>
  <c r="K13" i="11"/>
  <c r="J15" i="11"/>
  <c r="K16" i="11"/>
  <c r="K19" i="11"/>
  <c r="K11" i="11"/>
  <c r="J11" i="11"/>
  <c r="J19" i="11"/>
  <c r="J14" i="11"/>
  <c r="K17" i="11"/>
  <c r="J13" i="11"/>
  <c r="K18" i="11"/>
  <c r="K15" i="11"/>
  <c r="K20" i="11"/>
  <c r="K12" i="11"/>
  <c r="J12" i="11"/>
  <c r="I14" i="11"/>
  <c r="K14" i="11" s="1"/>
  <c r="L14" i="11"/>
  <c r="J18" i="11"/>
  <c r="G6" i="10" l="1"/>
  <c r="G8" i="10"/>
  <c r="G10" i="10"/>
  <c r="G12" i="10"/>
  <c r="G14" i="10"/>
  <c r="G5" i="10"/>
  <c r="G7" i="10"/>
  <c r="G9" i="10"/>
  <c r="G11" i="10"/>
  <c r="G13" i="10"/>
  <c r="G4" i="10"/>
  <c r="C14" i="10"/>
  <c r="A14" i="10" s="1"/>
  <c r="F14" i="10" s="1"/>
  <c r="C13" i="10"/>
  <c r="A13" i="10" s="1"/>
  <c r="F13" i="10" s="1"/>
  <c r="C12" i="10"/>
  <c r="A12" i="10" s="1"/>
  <c r="F12" i="10" s="1"/>
  <c r="C11" i="10"/>
  <c r="A11" i="10" s="1"/>
  <c r="F11" i="10" s="1"/>
  <c r="C10" i="10"/>
  <c r="A10" i="10" s="1"/>
  <c r="F10" i="10" s="1"/>
  <c r="C9" i="10"/>
  <c r="A9" i="10" s="1"/>
  <c r="F9" i="10" s="1"/>
  <c r="C8" i="10"/>
  <c r="A8" i="10" s="1"/>
  <c r="F8" i="10" s="1"/>
  <c r="C7" i="10"/>
  <c r="A7" i="10" s="1"/>
  <c r="F7" i="10" s="1"/>
  <c r="C6" i="10"/>
  <c r="A6" i="10" s="1"/>
  <c r="F6" i="10" s="1"/>
  <c r="C5" i="10"/>
  <c r="A5" i="10" s="1"/>
  <c r="F5" i="10" s="1"/>
  <c r="C4" i="10"/>
  <c r="A4" i="10" s="1"/>
  <c r="F4" i="10" s="1"/>
  <c r="I5" i="9" l="1"/>
  <c r="L5" i="9"/>
  <c r="M2" i="8"/>
  <c r="S11" i="8"/>
  <c r="AA11" i="3"/>
  <c r="S5" i="9" l="1"/>
  <c r="S6" i="9"/>
  <c r="S7" i="9"/>
  <c r="S8" i="9"/>
  <c r="S9" i="9"/>
  <c r="S10" i="9"/>
  <c r="S11" i="9"/>
  <c r="S12" i="9"/>
  <c r="S13" i="9"/>
  <c r="S14" i="9"/>
  <c r="S4" i="9"/>
  <c r="H33" i="9"/>
  <c r="H32" i="9"/>
  <c r="H31" i="9"/>
  <c r="H30" i="9"/>
  <c r="H29" i="9"/>
  <c r="H28" i="9"/>
  <c r="H27" i="9"/>
  <c r="AD26" i="9"/>
  <c r="H26" i="9"/>
  <c r="H25" i="9"/>
  <c r="H24" i="9"/>
  <c r="H23" i="9"/>
  <c r="U22" i="9"/>
  <c r="Q22" i="9"/>
  <c r="H22" i="9"/>
  <c r="AD20" i="9"/>
  <c r="AD17" i="9"/>
  <c r="AD25" i="9" s="1"/>
  <c r="H14" i="9"/>
  <c r="F14" i="9"/>
  <c r="E14" i="9"/>
  <c r="D14" i="9"/>
  <c r="H13" i="9"/>
  <c r="D13" i="9"/>
  <c r="F13" i="9" s="1"/>
  <c r="H12" i="9"/>
  <c r="F12" i="9"/>
  <c r="E12" i="9"/>
  <c r="D12" i="9"/>
  <c r="AD11" i="9"/>
  <c r="P22" i="9" s="1"/>
  <c r="H11" i="9"/>
  <c r="D11" i="9"/>
  <c r="H10" i="9"/>
  <c r="F10" i="9"/>
  <c r="D10" i="9"/>
  <c r="E10" i="9" s="1"/>
  <c r="H9" i="9"/>
  <c r="D9" i="9"/>
  <c r="H8" i="9"/>
  <c r="D8" i="9"/>
  <c r="F8" i="9" s="1"/>
  <c r="AD7" i="9"/>
  <c r="AD8" i="9" s="1"/>
  <c r="H7" i="9"/>
  <c r="F7" i="9"/>
  <c r="D7" i="9"/>
  <c r="E7" i="9" s="1"/>
  <c r="H6" i="9"/>
  <c r="D6" i="9"/>
  <c r="F6" i="9" s="1"/>
  <c r="H5" i="9"/>
  <c r="D5" i="9"/>
  <c r="F5" i="9" s="1"/>
  <c r="H4" i="9"/>
  <c r="F4" i="9"/>
  <c r="D4" i="9"/>
  <c r="E4" i="9" s="1"/>
  <c r="Q3" i="9"/>
  <c r="H3" i="9"/>
  <c r="D3" i="9"/>
  <c r="E3" i="9" s="1"/>
  <c r="S3" i="9" l="1"/>
  <c r="U3" i="9" s="1"/>
  <c r="V3" i="9" s="1"/>
  <c r="F3" i="9"/>
  <c r="T22" i="9" s="1"/>
  <c r="P3" i="9"/>
  <c r="J7" i="9"/>
  <c r="U10" i="9"/>
  <c r="V10" i="9" s="1"/>
  <c r="U6" i="9"/>
  <c r="U12" i="9"/>
  <c r="V12" i="9" s="1"/>
  <c r="U8" i="9"/>
  <c r="T23" i="9"/>
  <c r="T25" i="9"/>
  <c r="U4" i="9"/>
  <c r="V4" i="9" s="1"/>
  <c r="U11" i="9"/>
  <c r="U7" i="9"/>
  <c r="V7" i="9" s="1"/>
  <c r="U14" i="9"/>
  <c r="V14" i="9" s="1"/>
  <c r="S26" i="9"/>
  <c r="U13" i="9"/>
  <c r="U9" i="9"/>
  <c r="U5" i="9"/>
  <c r="G22" i="9"/>
  <c r="I22" i="9" s="1"/>
  <c r="L22" i="9" s="1"/>
  <c r="J3" i="9"/>
  <c r="K3" i="9"/>
  <c r="G3" i="9"/>
  <c r="I3" i="9" s="1"/>
  <c r="G23" i="9"/>
  <c r="I23" i="9" s="1"/>
  <c r="J23" i="9"/>
  <c r="K4" i="9"/>
  <c r="G4" i="9"/>
  <c r="I4" i="9" s="1"/>
  <c r="J4" i="9"/>
  <c r="E5" i="9"/>
  <c r="E6" i="9"/>
  <c r="K12" i="9"/>
  <c r="G12" i="9"/>
  <c r="I12" i="9" s="1"/>
  <c r="J12" i="9"/>
  <c r="M22" i="9"/>
  <c r="T24" i="9"/>
  <c r="M26" i="9"/>
  <c r="G31" i="9"/>
  <c r="I31" i="9" s="1"/>
  <c r="G26" i="9"/>
  <c r="I26" i="9" s="1"/>
  <c r="K7" i="9"/>
  <c r="G7" i="9"/>
  <c r="I7" i="9" s="1"/>
  <c r="F11" i="9"/>
  <c r="E11" i="9"/>
  <c r="K10" i="9"/>
  <c r="G10" i="9"/>
  <c r="I10" i="9" s="1"/>
  <c r="F9" i="9"/>
  <c r="E9" i="9"/>
  <c r="J10" i="9"/>
  <c r="K14" i="9"/>
  <c r="G14" i="9"/>
  <c r="I14" i="9" s="1"/>
  <c r="J14" i="9"/>
  <c r="J33" i="9"/>
  <c r="M25" i="9"/>
  <c r="S24" i="9"/>
  <c r="M24" i="9"/>
  <c r="S23" i="9"/>
  <c r="M23" i="9"/>
  <c r="T33" i="9"/>
  <c r="T32" i="9"/>
  <c r="T31" i="9"/>
  <c r="T30" i="9"/>
  <c r="T29" i="9"/>
  <c r="T28" i="9"/>
  <c r="T27" i="9"/>
  <c r="S22" i="9"/>
  <c r="S33" i="9"/>
  <c r="V33" i="9" s="1"/>
  <c r="M33" i="9"/>
  <c r="M32" i="9"/>
  <c r="S31" i="9"/>
  <c r="M31" i="9"/>
  <c r="S30" i="9"/>
  <c r="M30" i="9"/>
  <c r="S29" i="9"/>
  <c r="M29" i="9"/>
  <c r="S28" i="9"/>
  <c r="V28" i="9" s="1"/>
  <c r="M28" i="9"/>
  <c r="S27" i="9"/>
  <c r="M27" i="9"/>
  <c r="T26" i="9"/>
  <c r="G29" i="9"/>
  <c r="I29" i="9" s="1"/>
  <c r="G33" i="9"/>
  <c r="I33" i="9" s="1"/>
  <c r="E8" i="9"/>
  <c r="E13" i="9"/>
  <c r="S32" i="9" s="1"/>
  <c r="V32" i="9" s="1"/>
  <c r="J22" i="9"/>
  <c r="J26" i="9"/>
  <c r="J27" i="9"/>
  <c r="J28" i="9"/>
  <c r="J29" i="9"/>
  <c r="J30" i="9"/>
  <c r="J31" i="9"/>
  <c r="J32" i="9"/>
  <c r="V22" i="9" l="1"/>
  <c r="V23" i="9"/>
  <c r="V24" i="9"/>
  <c r="V27" i="9"/>
  <c r="V31" i="9"/>
  <c r="V29" i="9"/>
  <c r="V26" i="9"/>
  <c r="X33" i="9"/>
  <c r="L33" i="9"/>
  <c r="N33" i="9" s="1"/>
  <c r="O33" i="9" s="1"/>
  <c r="W33" i="9" s="1"/>
  <c r="R33" i="9" s="1"/>
  <c r="X10" i="9"/>
  <c r="L10" i="9"/>
  <c r="N10" i="9" s="1"/>
  <c r="O10" i="9" s="1"/>
  <c r="R10" i="9" s="1"/>
  <c r="W10" i="9" s="1"/>
  <c r="L26" i="9"/>
  <c r="N26" i="9" s="1"/>
  <c r="O26" i="9" s="1"/>
  <c r="W26" i="9" s="1"/>
  <c r="R26" i="9" s="1"/>
  <c r="X26" i="9"/>
  <c r="N22" i="9"/>
  <c r="O22" i="9" s="1"/>
  <c r="W22" i="9" s="1"/>
  <c r="R22" i="9" s="1"/>
  <c r="X22" i="9"/>
  <c r="L3" i="9"/>
  <c r="N3" i="9" s="1"/>
  <c r="O3" i="9" s="1"/>
  <c r="R3" i="9" s="1"/>
  <c r="W3" i="9" s="1"/>
  <c r="X3" i="9"/>
  <c r="X29" i="9"/>
  <c r="L29" i="9"/>
  <c r="N29" i="9" s="1"/>
  <c r="O29" i="9" s="1"/>
  <c r="W29" i="9" s="1"/>
  <c r="R29" i="9" s="1"/>
  <c r="X31" i="9"/>
  <c r="L31" i="9"/>
  <c r="N31" i="9" s="1"/>
  <c r="O31" i="9" s="1"/>
  <c r="W31" i="9" s="1"/>
  <c r="R31" i="9" s="1"/>
  <c r="J8" i="9"/>
  <c r="V8" i="9"/>
  <c r="G8" i="9"/>
  <c r="I8" i="9" s="1"/>
  <c r="K8" i="9"/>
  <c r="G27" i="9"/>
  <c r="I27" i="9" s="1"/>
  <c r="V30" i="9"/>
  <c r="X14" i="9"/>
  <c r="L14" i="9"/>
  <c r="N14" i="9" s="1"/>
  <c r="O14" i="9" s="1"/>
  <c r="R14" i="9" s="1"/>
  <c r="W14" i="9" s="1"/>
  <c r="K9" i="9"/>
  <c r="G9" i="9"/>
  <c r="I9" i="9" s="1"/>
  <c r="J9" i="9"/>
  <c r="G28" i="9"/>
  <c r="I28" i="9" s="1"/>
  <c r="V9" i="9"/>
  <c r="X12" i="9"/>
  <c r="L12" i="9"/>
  <c r="N12" i="9" s="1"/>
  <c r="O12" i="9" s="1"/>
  <c r="R12" i="9" s="1"/>
  <c r="W12" i="9" s="1"/>
  <c r="G24" i="9"/>
  <c r="I24" i="9" s="1"/>
  <c r="J24" i="9"/>
  <c r="K5" i="9"/>
  <c r="G5" i="9"/>
  <c r="J5" i="9"/>
  <c r="V5" i="9"/>
  <c r="X4" i="9"/>
  <c r="L4" i="9"/>
  <c r="N4" i="9" s="1"/>
  <c r="O4" i="9" s="1"/>
  <c r="R4" i="9" s="1"/>
  <c r="W4" i="9" s="1"/>
  <c r="X23" i="9"/>
  <c r="L23" i="9"/>
  <c r="N23" i="9" s="1"/>
  <c r="O23" i="9" s="1"/>
  <c r="W23" i="9" s="1"/>
  <c r="R23" i="9" s="1"/>
  <c r="J13" i="9"/>
  <c r="V13" i="9"/>
  <c r="K13" i="9"/>
  <c r="G32" i="9"/>
  <c r="I32" i="9" s="1"/>
  <c r="G13" i="9"/>
  <c r="I13" i="9" s="1"/>
  <c r="X7" i="9"/>
  <c r="L7" i="9"/>
  <c r="N7" i="9" s="1"/>
  <c r="O7" i="9" s="1"/>
  <c r="R7" i="9" s="1"/>
  <c r="W7" i="9" s="1"/>
  <c r="K6" i="9"/>
  <c r="G6" i="9"/>
  <c r="I6" i="9" s="1"/>
  <c r="G25" i="9"/>
  <c r="I25" i="9" s="1"/>
  <c r="V6" i="9"/>
  <c r="J6" i="9"/>
  <c r="J25" i="9"/>
  <c r="S25" i="9"/>
  <c r="V25" i="9" s="1"/>
  <c r="K11" i="9"/>
  <c r="G11" i="9"/>
  <c r="I11" i="9" s="1"/>
  <c r="J11" i="9"/>
  <c r="V11" i="9"/>
  <c r="G30" i="9"/>
  <c r="I30" i="9" s="1"/>
  <c r="Z14" i="9" l="1"/>
  <c r="Z4" i="9"/>
  <c r="Z7" i="9"/>
  <c r="Z10" i="9"/>
  <c r="Z3" i="9"/>
  <c r="Z23" i="9"/>
  <c r="Y23" i="9"/>
  <c r="Z33" i="9"/>
  <c r="Y33" i="9"/>
  <c r="X6" i="9"/>
  <c r="L6" i="9"/>
  <c r="N6" i="9" s="1"/>
  <c r="O6" i="9" s="1"/>
  <c r="R6" i="9" s="1"/>
  <c r="W6" i="9" s="1"/>
  <c r="X13" i="9"/>
  <c r="L13" i="9"/>
  <c r="N13" i="9" s="1"/>
  <c r="O13" i="9" s="1"/>
  <c r="R13" i="9" s="1"/>
  <c r="W13" i="9" s="1"/>
  <c r="X5" i="9"/>
  <c r="N5" i="9"/>
  <c r="O5" i="9" s="1"/>
  <c r="R5" i="9" s="1"/>
  <c r="W5" i="9" s="1"/>
  <c r="X28" i="9"/>
  <c r="L28" i="9"/>
  <c r="N28" i="9" s="1"/>
  <c r="O28" i="9" s="1"/>
  <c r="W28" i="9" s="1"/>
  <c r="R28" i="9" s="1"/>
  <c r="Z22" i="9"/>
  <c r="Y22" i="9"/>
  <c r="X11" i="9"/>
  <c r="L11" i="9"/>
  <c r="N11" i="9" s="1"/>
  <c r="O11" i="9" s="1"/>
  <c r="R11" i="9" s="1"/>
  <c r="W11" i="9" s="1"/>
  <c r="X32" i="9"/>
  <c r="L32" i="9"/>
  <c r="N32" i="9" s="1"/>
  <c r="O32" i="9" s="1"/>
  <c r="W32" i="9" s="1"/>
  <c r="R32" i="9" s="1"/>
  <c r="X30" i="9"/>
  <c r="L30" i="9"/>
  <c r="N30" i="9" s="1"/>
  <c r="O30" i="9" s="1"/>
  <c r="W30" i="9" s="1"/>
  <c r="R30" i="9" s="1"/>
  <c r="Z29" i="9"/>
  <c r="Y29" i="9"/>
  <c r="Z12" i="9"/>
  <c r="Z26" i="9"/>
  <c r="Y26" i="9"/>
  <c r="X9" i="9"/>
  <c r="L9" i="9"/>
  <c r="N9" i="9" s="1"/>
  <c r="O9" i="9" s="1"/>
  <c r="R9" i="9" s="1"/>
  <c r="W9" i="9" s="1"/>
  <c r="Z31" i="9"/>
  <c r="Y31" i="9"/>
  <c r="X27" i="9"/>
  <c r="L27" i="9"/>
  <c r="N27" i="9" s="1"/>
  <c r="O27" i="9" s="1"/>
  <c r="W27" i="9" s="1"/>
  <c r="R27" i="9" s="1"/>
  <c r="X25" i="9"/>
  <c r="L25" i="9"/>
  <c r="N25" i="9" s="1"/>
  <c r="O25" i="9" s="1"/>
  <c r="W25" i="9" s="1"/>
  <c r="R25" i="9" s="1"/>
  <c r="X24" i="9"/>
  <c r="L24" i="9"/>
  <c r="N24" i="9" s="1"/>
  <c r="O24" i="9" s="1"/>
  <c r="W24" i="9" s="1"/>
  <c r="R24" i="9" s="1"/>
  <c r="X8" i="9"/>
  <c r="L8" i="9"/>
  <c r="N8" i="9" s="1"/>
  <c r="O8" i="9" s="1"/>
  <c r="R8" i="9" s="1"/>
  <c r="W8" i="9" s="1"/>
  <c r="Z9" i="9" l="1"/>
  <c r="Z5" i="9"/>
  <c r="Z6" i="9"/>
  <c r="Z8" i="9"/>
  <c r="Z11" i="9"/>
  <c r="Z13" i="9"/>
  <c r="Z27" i="9"/>
  <c r="Y27" i="9"/>
  <c r="Z28" i="9"/>
  <c r="Y28" i="9"/>
  <c r="Z32" i="9"/>
  <c r="Y32" i="9"/>
  <c r="Z30" i="9"/>
  <c r="Y30" i="9"/>
  <c r="Z25" i="9"/>
  <c r="Y25" i="9"/>
  <c r="Z24" i="9"/>
  <c r="Y24" i="9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 s="1"/>
  <c r="E3" i="8" s="1"/>
  <c r="B4" i="8"/>
  <c r="D4" i="8" s="1"/>
  <c r="F4" i="8" s="1"/>
  <c r="B5" i="8"/>
  <c r="C5" i="8" s="1"/>
  <c r="E5" i="8" s="1"/>
  <c r="B6" i="8"/>
  <c r="D6" i="8" s="1"/>
  <c r="F6" i="8" s="1"/>
  <c r="B7" i="8"/>
  <c r="D7" i="8" s="1"/>
  <c r="F7" i="8" s="1"/>
  <c r="B8" i="8"/>
  <c r="D8" i="8" s="1"/>
  <c r="F8" i="8" s="1"/>
  <c r="B9" i="8"/>
  <c r="C9" i="8" s="1"/>
  <c r="E9" i="8" s="1"/>
  <c r="B10" i="8"/>
  <c r="D10" i="8" s="1"/>
  <c r="F10" i="8" s="1"/>
  <c r="B11" i="8"/>
  <c r="C11" i="8" s="1"/>
  <c r="E11" i="8" s="1"/>
  <c r="B12" i="8"/>
  <c r="D12" i="8" s="1"/>
  <c r="F12" i="8" s="1"/>
  <c r="B13" i="8"/>
  <c r="C13" i="8" s="1"/>
  <c r="E13" i="8" s="1"/>
  <c r="B14" i="8"/>
  <c r="D14" i="8" s="1"/>
  <c r="F14" i="8" s="1"/>
  <c r="B15" i="8"/>
  <c r="D15" i="8" s="1"/>
  <c r="F15" i="8" s="1"/>
  <c r="B16" i="8"/>
  <c r="D16" i="8" s="1"/>
  <c r="F16" i="8" s="1"/>
  <c r="B2" i="8"/>
  <c r="D2" i="8" l="1"/>
  <c r="F2" i="8" s="1"/>
  <c r="C2" i="8"/>
  <c r="E2" i="8" s="1"/>
  <c r="D5" i="8"/>
  <c r="F5" i="8" s="1"/>
  <c r="D11" i="8"/>
  <c r="F11" i="8" s="1"/>
  <c r="D9" i="8"/>
  <c r="F9" i="8" s="1"/>
  <c r="D3" i="8"/>
  <c r="F3" i="8" s="1"/>
  <c r="C10" i="8"/>
  <c r="E10" i="8" s="1"/>
  <c r="D13" i="8"/>
  <c r="F13" i="8" s="1"/>
  <c r="C15" i="8"/>
  <c r="E15" i="8" s="1"/>
  <c r="C7" i="8"/>
  <c r="E7" i="8" s="1"/>
  <c r="C14" i="8"/>
  <c r="E14" i="8" s="1"/>
  <c r="C6" i="8"/>
  <c r="E6" i="8" s="1"/>
  <c r="C16" i="8"/>
  <c r="E16" i="8" s="1"/>
  <c r="C12" i="8"/>
  <c r="E12" i="8" s="1"/>
  <c r="C8" i="8"/>
  <c r="E8" i="8" s="1"/>
  <c r="C4" i="8"/>
  <c r="E4" i="8" s="1"/>
  <c r="G3" i="3"/>
  <c r="G4" i="3"/>
  <c r="G5" i="3"/>
  <c r="G6" i="3"/>
  <c r="G7" i="3"/>
  <c r="G8" i="3"/>
  <c r="G9" i="3"/>
  <c r="G10" i="3"/>
  <c r="G11" i="3"/>
  <c r="G12" i="3"/>
  <c r="G13" i="3"/>
  <c r="G2" i="3"/>
  <c r="C11" i="3"/>
  <c r="D11" i="3" s="1"/>
  <c r="C12" i="3"/>
  <c r="D12" i="3" s="1"/>
  <c r="C13" i="3"/>
  <c r="D13" i="3" s="1"/>
  <c r="C3" i="3"/>
  <c r="D3" i="3" s="1"/>
  <c r="Q3" i="3" s="1"/>
  <c r="C4" i="3"/>
  <c r="E4" i="3" s="1"/>
  <c r="C5" i="3"/>
  <c r="C6" i="3"/>
  <c r="E6" i="3" s="1"/>
  <c r="C7" i="3"/>
  <c r="D7" i="3" s="1"/>
  <c r="C8" i="3"/>
  <c r="E8" i="3" s="1"/>
  <c r="C9" i="3"/>
  <c r="C10" i="3"/>
  <c r="E10" i="3" s="1"/>
  <c r="C2" i="3"/>
  <c r="D2" i="3" s="1"/>
  <c r="Q2" i="3" s="1"/>
  <c r="AA7" i="3"/>
  <c r="K10" i="8" l="1"/>
  <c r="N10" i="8" s="1"/>
  <c r="U2" i="3"/>
  <c r="V2" i="3" s="1"/>
  <c r="U3" i="3"/>
  <c r="V3" i="3" s="1"/>
  <c r="R2" i="3"/>
  <c r="R3" i="3"/>
  <c r="K11" i="3"/>
  <c r="Q11" i="3"/>
  <c r="U11" i="3" s="1"/>
  <c r="V11" i="3" s="1"/>
  <c r="Q7" i="3"/>
  <c r="U7" i="3" s="1"/>
  <c r="V7" i="3" s="1"/>
  <c r="K13" i="3"/>
  <c r="Q13" i="3"/>
  <c r="U13" i="3" s="1"/>
  <c r="V13" i="3" s="1"/>
  <c r="K12" i="3"/>
  <c r="Q12" i="3"/>
  <c r="U12" i="3" s="1"/>
  <c r="V12" i="3" s="1"/>
  <c r="F2" i="3"/>
  <c r="H2" i="3" s="1"/>
  <c r="I10" i="8"/>
  <c r="J10" i="8" s="1"/>
  <c r="K12" i="8"/>
  <c r="N12" i="8" s="1"/>
  <c r="I12" i="8"/>
  <c r="J12" i="8" s="1"/>
  <c r="K16" i="8"/>
  <c r="N16" i="8" s="1"/>
  <c r="I16" i="8"/>
  <c r="J16" i="8" s="1"/>
  <c r="K4" i="8"/>
  <c r="N4" i="8" s="1"/>
  <c r="I4" i="8"/>
  <c r="J4" i="8" s="1"/>
  <c r="K8" i="8"/>
  <c r="N8" i="8" s="1"/>
  <c r="I8" i="8"/>
  <c r="J8" i="8" s="1"/>
  <c r="K11" i="8"/>
  <c r="N11" i="8" s="1"/>
  <c r="I11" i="8"/>
  <c r="J11" i="8" s="1"/>
  <c r="K9" i="8"/>
  <c r="N9" i="8" s="1"/>
  <c r="I9" i="8"/>
  <c r="J9" i="8" s="1"/>
  <c r="K5" i="8"/>
  <c r="N5" i="8" s="1"/>
  <c r="I5" i="8"/>
  <c r="J5" i="8" s="1"/>
  <c r="K15" i="8"/>
  <c r="N15" i="8" s="1"/>
  <c r="I15" i="8"/>
  <c r="J15" i="8" s="1"/>
  <c r="K14" i="8"/>
  <c r="N14" i="8" s="1"/>
  <c r="I14" i="8"/>
  <c r="J14" i="8" s="1"/>
  <c r="K13" i="8"/>
  <c r="N13" i="8" s="1"/>
  <c r="I13" i="8"/>
  <c r="J13" i="8" s="1"/>
  <c r="K7" i="8"/>
  <c r="N7" i="8" s="1"/>
  <c r="I7" i="8"/>
  <c r="J7" i="8" s="1"/>
  <c r="K3" i="8"/>
  <c r="N3" i="8" s="1"/>
  <c r="I3" i="8"/>
  <c r="J3" i="8" s="1"/>
  <c r="K6" i="8"/>
  <c r="N6" i="8" s="1"/>
  <c r="I6" i="8"/>
  <c r="J6" i="8" s="1"/>
  <c r="D8" i="3"/>
  <c r="Q8" i="3" s="1"/>
  <c r="U8" i="3" s="1"/>
  <c r="V8" i="3" s="1"/>
  <c r="D4" i="3"/>
  <c r="Q4" i="3" s="1"/>
  <c r="U4" i="3" s="1"/>
  <c r="V4" i="3" s="1"/>
  <c r="E2" i="3"/>
  <c r="D10" i="3"/>
  <c r="Q10" i="3" s="1"/>
  <c r="U10" i="3" s="1"/>
  <c r="V10" i="3" s="1"/>
  <c r="D6" i="3"/>
  <c r="Q6" i="3" s="1"/>
  <c r="U6" i="3" s="1"/>
  <c r="V6" i="3" s="1"/>
  <c r="E9" i="3"/>
  <c r="E5" i="3"/>
  <c r="F12" i="3"/>
  <c r="H12" i="3" s="1"/>
  <c r="D9" i="3"/>
  <c r="Q9" i="3" s="1"/>
  <c r="U9" i="3" s="1"/>
  <c r="V9" i="3" s="1"/>
  <c r="D5" i="3"/>
  <c r="Q5" i="3" s="1"/>
  <c r="U5" i="3" s="1"/>
  <c r="V5" i="3" s="1"/>
  <c r="E7" i="3"/>
  <c r="E3" i="3"/>
  <c r="F13" i="3"/>
  <c r="H13" i="3" s="1"/>
  <c r="F11" i="3"/>
  <c r="H11" i="3" s="1"/>
  <c r="F7" i="3"/>
  <c r="H7" i="3" s="1"/>
  <c r="F3" i="3"/>
  <c r="H3" i="3" s="1"/>
  <c r="E11" i="3"/>
  <c r="E13" i="3"/>
  <c r="E12" i="3"/>
  <c r="AA3" i="3"/>
  <c r="J2" i="3" s="1"/>
  <c r="K2" i="8" l="1"/>
  <c r="N2" i="8" s="1"/>
  <c r="I2" i="8"/>
  <c r="J2" i="8" s="1"/>
  <c r="K3" i="3"/>
  <c r="K7" i="3"/>
  <c r="R5" i="3"/>
  <c r="R4" i="3"/>
  <c r="R13" i="3"/>
  <c r="R11" i="3"/>
  <c r="R9" i="3"/>
  <c r="R6" i="3"/>
  <c r="R8" i="3"/>
  <c r="R10" i="3"/>
  <c r="R12" i="3"/>
  <c r="R7" i="3"/>
  <c r="F4" i="3"/>
  <c r="H4" i="3" s="1"/>
  <c r="I4" i="3" s="1"/>
  <c r="L4" i="3" s="1"/>
  <c r="F6" i="3"/>
  <c r="H6" i="3" s="1"/>
  <c r="K6" i="3"/>
  <c r="K2" i="3"/>
  <c r="K5" i="3"/>
  <c r="K4" i="3"/>
  <c r="F5" i="3"/>
  <c r="H5" i="3" s="1"/>
  <c r="I5" i="3" s="1"/>
  <c r="L5" i="3" s="1"/>
  <c r="F9" i="3"/>
  <c r="H9" i="3" s="1"/>
  <c r="K9" i="3"/>
  <c r="K10" i="3"/>
  <c r="F8" i="3"/>
  <c r="H8" i="3" s="1"/>
  <c r="I8" i="3" s="1"/>
  <c r="L8" i="3" s="1"/>
  <c r="K8" i="3"/>
  <c r="O3" i="8"/>
  <c r="O14" i="8"/>
  <c r="O5" i="8"/>
  <c r="O11" i="8"/>
  <c r="O4" i="8"/>
  <c r="O12" i="8"/>
  <c r="O10" i="8"/>
  <c r="F10" i="3"/>
  <c r="H10" i="3" s="1"/>
  <c r="I10" i="3" s="1"/>
  <c r="L10" i="3" s="1"/>
  <c r="O6" i="8"/>
  <c r="O7" i="8"/>
  <c r="O13" i="8"/>
  <c r="O15" i="8"/>
  <c r="O9" i="8"/>
  <c r="O8" i="8"/>
  <c r="O16" i="8"/>
  <c r="I6" i="3"/>
  <c r="L6" i="3" s="1"/>
  <c r="W6" i="3"/>
  <c r="I9" i="3"/>
  <c r="W9" i="3"/>
  <c r="I12" i="3"/>
  <c r="L12" i="3" s="1"/>
  <c r="M12" i="3" s="1"/>
  <c r="O12" i="3" s="1"/>
  <c r="W12" i="3"/>
  <c r="I3" i="3"/>
  <c r="W3" i="3"/>
  <c r="I7" i="3"/>
  <c r="L7" i="3" s="1"/>
  <c r="W7" i="3"/>
  <c r="I11" i="3"/>
  <c r="L11" i="3" s="1"/>
  <c r="M11" i="3" s="1"/>
  <c r="O11" i="3" s="1"/>
  <c r="W11" i="3"/>
  <c r="I13" i="3"/>
  <c r="L13" i="3" s="1"/>
  <c r="M13" i="3" s="1"/>
  <c r="O13" i="3" s="1"/>
  <c r="W13" i="3"/>
  <c r="I2" i="3"/>
  <c r="L2" i="3" s="1"/>
  <c r="N2" i="3" s="1"/>
  <c r="P2" i="3" s="1"/>
  <c r="W2" i="3"/>
  <c r="J13" i="3"/>
  <c r="J7" i="3"/>
  <c r="J9" i="3"/>
  <c r="J6" i="3"/>
  <c r="J11" i="3"/>
  <c r="J4" i="3"/>
  <c r="J10" i="3"/>
  <c r="J8" i="3"/>
  <c r="J5" i="3"/>
  <c r="J12" i="3"/>
  <c r="J3" i="3"/>
  <c r="O2" i="8" l="1"/>
  <c r="M6" i="3"/>
  <c r="O6" i="3" s="1"/>
  <c r="S6" i="3" s="1"/>
  <c r="N5" i="3"/>
  <c r="P5" i="3" s="1"/>
  <c r="T5" i="3" s="1"/>
  <c r="N11" i="3"/>
  <c r="P11" i="3" s="1"/>
  <c r="T11" i="3" s="1"/>
  <c r="M7" i="3"/>
  <c r="O7" i="3" s="1"/>
  <c r="S7" i="3" s="1"/>
  <c r="N13" i="3"/>
  <c r="P13" i="3" s="1"/>
  <c r="T13" i="3" s="1"/>
  <c r="N8" i="3"/>
  <c r="P8" i="3" s="1"/>
  <c r="T8" i="3" s="1"/>
  <c r="N6" i="3"/>
  <c r="P6" i="3" s="1"/>
  <c r="T6" i="3" s="1"/>
  <c r="M10" i="3"/>
  <c r="O10" i="3" s="1"/>
  <c r="S10" i="3" s="1"/>
  <c r="T2" i="3"/>
  <c r="M4" i="3"/>
  <c r="O4" i="3" s="1"/>
  <c r="S4" i="3" s="1"/>
  <c r="N10" i="3"/>
  <c r="P10" i="3" s="1"/>
  <c r="T10" i="3" s="1"/>
  <c r="W4" i="3"/>
  <c r="W10" i="3"/>
  <c r="W8" i="3"/>
  <c r="M5" i="3"/>
  <c r="O5" i="3" s="1"/>
  <c r="S5" i="3" s="1"/>
  <c r="N12" i="3"/>
  <c r="P12" i="3" s="1"/>
  <c r="N4" i="3"/>
  <c r="P4" i="3" s="1"/>
  <c r="T4" i="3" s="1"/>
  <c r="N7" i="3"/>
  <c r="P7" i="3" s="1"/>
  <c r="T7" i="3" s="1"/>
  <c r="L3" i="3"/>
  <c r="M3" i="3" s="1"/>
  <c r="O3" i="3" s="1"/>
  <c r="S3" i="3" s="1"/>
  <c r="M8" i="3"/>
  <c r="O8" i="3" s="1"/>
  <c r="S8" i="3" s="1"/>
  <c r="M2" i="3"/>
  <c r="O2" i="3" s="1"/>
  <c r="S2" i="3" s="1"/>
  <c r="L9" i="3"/>
  <c r="M9" i="3" s="1"/>
  <c r="O9" i="3" s="1"/>
  <c r="S9" i="3" s="1"/>
  <c r="W5" i="3"/>
  <c r="S12" i="3"/>
  <c r="N3" i="3" l="1"/>
  <c r="P3" i="3" s="1"/>
  <c r="T3" i="3" s="1"/>
  <c r="S11" i="3"/>
  <c r="T12" i="3"/>
  <c r="X12" i="3" s="1"/>
  <c r="S13" i="3"/>
  <c r="X4" i="3"/>
  <c r="N9" i="3"/>
  <c r="P9" i="3" s="1"/>
  <c r="T9" i="3" s="1"/>
  <c r="X6" i="3"/>
  <c r="X2" i="3"/>
  <c r="X5" i="3"/>
  <c r="X10" i="3"/>
  <c r="X8" i="3"/>
  <c r="X7" i="3"/>
  <c r="X11" i="3"/>
  <c r="X13" i="3"/>
  <c r="X3" i="3" l="1"/>
  <c r="X9" i="3"/>
</calcChain>
</file>

<file path=xl/comments1.xml><?xml version="1.0" encoding="utf-8"?>
<comments xmlns="http://schemas.openxmlformats.org/spreadsheetml/2006/main">
  <authors>
    <author>Eric Gustafson</author>
  </authors>
  <commentList>
    <comment ref="AB13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>
  <authors>
    <author>Eric Gustafson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sharedStrings.xml><?xml version="1.0" encoding="utf-8"?>
<sst xmlns="http://schemas.openxmlformats.org/spreadsheetml/2006/main" count="341" uniqueCount="240">
  <si>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</si>
  <si>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</si>
  <si>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</si>
  <si>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</si>
  <si>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</si>
  <si>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</si>
  <si>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</si>
  <si>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</si>
  <si>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</si>
  <si>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</si>
  <si>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</si>
  <si>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</si>
  <si>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</si>
  <si>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</si>
  <si>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</si>
  <si>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</si>
  <si>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</si>
  <si>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</si>
  <si>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</si>
  <si>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</si>
  <si>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</si>
  <si>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</si>
  <si>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</si>
  <si>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</si>
  <si>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fol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</si>
  <si>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</si>
  <si>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</si>
  <si>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</si>
  <si>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</si>
  <si>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</si>
  <si>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</si>
  <si>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</si>
  <si>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</si>
  <si>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</si>
  <si>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</si>
  <si>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</si>
  <si>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</si>
  <si>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</si>
  <si>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</si>
  <si>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</si>
  <si>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</si>
  <si>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</si>
  <si>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</si>
  <si>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</si>
  <si>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</si>
  <si>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</si>
  <si>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</si>
  <si>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</si>
  <si>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</si>
  <si>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</si>
  <si>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</si>
  <si>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</si>
  <si>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</si>
  <si>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</si>
  <si>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</si>
  <si>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</si>
  <si>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</si>
  <si>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</si>
  <si>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</si>
  <si>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</si>
  <si>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</si>
  <si>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</si>
  <si>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</si>
  <si>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</si>
  <si>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</si>
  <si>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</si>
  <si>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</si>
  <si>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</si>
  <si>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</si>
  <si>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</si>
  <si>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</si>
  <si>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</si>
  <si>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</si>
  <si>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</si>
  <si>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</si>
  <si>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</si>
  <si>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</si>
  <si>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</si>
  <si>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</si>
  <si>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</si>
  <si>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</si>
  <si>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</si>
  <si>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</si>
  <si>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</si>
  <si>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</si>
  <si>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</si>
  <si>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</si>
  <si>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</si>
  <si>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</si>
  <si>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</si>
  <si>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</si>
  <si>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</si>
  <si>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</si>
  <si>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</si>
  <si>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</si>
  <si>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</si>
  <si>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</si>
  <si>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</si>
  <si>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</si>
  <si>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</si>
  <si>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</si>
  <si>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</si>
  <si>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</si>
  <si>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</si>
  <si>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</si>
  <si>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</si>
  <si>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</si>
  <si>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</si>
  <si>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</si>
  <si>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</si>
  <si>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</si>
  <si>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</si>
  <si>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</si>
  <si>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</si>
  <si>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</si>
  <si>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</si>
  <si>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</si>
  <si>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</si>
  <si>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</si>
  <si>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</si>
  <si>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</si>
  <si>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</si>
  <si>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</si>
  <si>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</si>
  <si>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</si>
  <si>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</si>
  <si>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>&lt;==Topt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</si>
  <si>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</si>
  <si>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</si>
  <si>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</si>
  <si>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</si>
  <si>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</si>
  <si>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</si>
  <si>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</si>
  <si>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</si>
  <si>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</si>
  <si>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</si>
  <si>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</si>
  <si>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</si>
  <si>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</si>
  <si>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</si>
  <si>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</si>
  <si>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</si>
  <si>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</si>
  <si>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</si>
  <si>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</si>
  <si>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</si>
  <si>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</si>
  <si>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</si>
  <si>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</si>
  <si>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</si>
  <si>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</si>
  <si>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</si>
  <si>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</si>
  <si>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</si>
  <si>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</si>
  <si>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EstModifier</t>
  </si>
  <si>
    <t>Timestep</t>
  </si>
  <si>
    <t>Unmodified</t>
  </si>
  <si>
    <t>Modified</t>
  </si>
  <si>
    <t>Modified-Pest</t>
  </si>
  <si>
    <t>UnModified-Pest</t>
  </si>
  <si>
    <t>Red. Factor</t>
  </si>
  <si>
    <t>modified red. factor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</si>
  <si>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</si>
  <si>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</si>
  <si>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</si>
  <si>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</si>
  <si>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</si>
  <si>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</si>
  <si>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</si>
  <si>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</si>
  <si>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</si>
  <si>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</si>
  <si>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Computed value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</si>
  <si>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</si>
  <si>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</si>
  <si>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</si>
  <si>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</si>
  <si>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</si>
  <si>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</si>
  <si>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</si>
  <si>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</si>
  <si>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</si>
  <si>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</si>
  <si>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</si>
  <si>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Age</t>
  </si>
  <si>
    <t>Longevity</t>
  </si>
  <si>
    <t>DelAmax'</t>
  </si>
  <si>
    <t>Amax'</t>
  </si>
  <si>
    <t>Species 1</t>
  </si>
  <si>
    <t>Species 2</t>
  </si>
  <si>
    <t>HalfSat</t>
  </si>
  <si>
    <t>Set HalfSat to produce the desired HalfSat at your reference CO2 concentration</t>
  </si>
  <si>
    <t>CO2HalfSatEff</t>
  </si>
  <si>
    <t>CO2</t>
  </si>
  <si>
    <t>AdjHalfSat</t>
  </si>
  <si>
    <t>350 is the nominal reference concentration</t>
  </si>
  <si>
    <t>Nominal for ambient CO2</t>
  </si>
  <si>
    <t>frad</t>
  </si>
  <si>
    <t>intcpt</t>
  </si>
  <si>
    <t>slope</t>
  </si>
  <si>
    <t>range</t>
  </si>
  <si>
    <t>shade tol</t>
  </si>
  <si>
    <t>shade intol</t>
  </si>
  <si>
    <t>PnET-Succession</t>
  </si>
  <si>
    <t>AmaxA (int)</t>
  </si>
  <si>
    <t>AmaxB (slope)</t>
  </si>
  <si>
    <t>Input FolN</t>
  </si>
  <si>
    <t>linear multiplier</t>
  </si>
  <si>
    <t>AdjFolN</t>
  </si>
  <si>
    <t>INPUTS</t>
  </si>
  <si>
    <t>cicaRatio</t>
  </si>
  <si>
    <t>modCiCaRatio</t>
  </si>
  <si>
    <t>ci350</t>
  </si>
  <si>
    <t>ciElev</t>
  </si>
  <si>
    <t>delamax</t>
  </si>
  <si>
    <t>JCO2</t>
  </si>
  <si>
    <t>delamaxCi</t>
    <phoneticPr fontId="1" type="noConversion"/>
  </si>
  <si>
    <t>AmaxCi</t>
    <phoneticPr fontId="1" type="noConversion"/>
  </si>
  <si>
    <t>CiModifier</t>
  </si>
  <si>
    <t>Gamma</t>
  </si>
  <si>
    <t>Ca0</t>
  </si>
  <si>
    <t>CO2AMaxBEff</t>
  </si>
  <si>
    <t>AmaxB_slope</t>
  </si>
  <si>
    <t>AmaxB_int</t>
  </si>
  <si>
    <t>AmaxB_CO2</t>
  </si>
  <si>
    <t>V</t>
  </si>
  <si>
    <t>JH2O</t>
  </si>
  <si>
    <t>AdjCa0</t>
  </si>
  <si>
    <t>Ozone Sensitive</t>
  </si>
  <si>
    <t>O3</t>
  </si>
  <si>
    <t>Ozone Intermediate</t>
  </si>
  <si>
    <t>Ozone Tolerant</t>
  </si>
  <si>
    <t>No Ozone Simulated</t>
  </si>
  <si>
    <t>O3GrowthSens</t>
  </si>
  <si>
    <t>O3Effect</t>
  </si>
  <si>
    <t>fOzone</t>
  </si>
  <si>
    <t>CumO3 (ppb-h)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</si>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</sst>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  <font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6" xfId="0" applyFill="1" applyBorder="1"/>
    <xf numFmtId="0" fontId="0" fillId="0" borderId="6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7" xfId="0" applyFont="1" applyBorder="1"/>
    <xf numFmtId="0" fontId="0" fillId="0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3" borderId="4" xfId="0" applyFill="1" applyBorder="1"/>
    <xf numFmtId="0" fontId="0" fillId="0" borderId="8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8" fillId="3" borderId="0" xfId="0" applyFont="1" applyFill="1" applyBorder="1"/>
    <xf numFmtId="0" fontId="8" fillId="3" borderId="6" xfId="0" applyFont="1" applyFill="1" applyBorder="1"/>
    <xf numFmtId="0" fontId="7" fillId="0" borderId="9" xfId="0" applyFont="1" applyBorder="1"/>
    <xf numFmtId="0" fontId="0" fillId="0" borderId="8" xfId="0" applyFill="1" applyBorder="1"/>
    <xf numFmtId="0" fontId="0" fillId="3" borderId="8" xfId="0" applyFill="1" applyBorder="1"/>
    <xf numFmtId="0" fontId="0" fillId="6" borderId="8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1" borderId="0" xfId="0" applyFill="1"/>
    <xf numFmtId="0" fontId="0" fillId="12" borderId="10" xfId="0" applyFill="1" applyBorder="1"/>
    <xf numFmtId="0" fontId="0" fillId="13" borderId="0" xfId="0" applyFill="1"/>
    <xf numFmtId="0" fontId="0" fillId="14" borderId="0" xfId="0" applyFill="1"/>
    <xf numFmtId="0" fontId="0" fillId="0" borderId="0" xfId="0" applyFill="1" applyAlignment="1">
      <alignment horizontal="center"/>
    </xf>
    <xf numFmtId="0" fontId="0" fillId="2" borderId="10" xfId="0" applyFill="1" applyBorder="1"/>
    <xf numFmtId="0" fontId="13" fillId="0" borderId="0" xfId="1" applyFont="1"/>
    <xf numFmtId="0" fontId="13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13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PnET-II'!$O$2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PnET-II'!$O$3:$O$14</c:f>
              <c:numCache>
                <c:formatCode>General</c:formatCode>
                <c:ptCount val="12"/>
                <c:pt idx="0">
                  <c:v>0</c:v>
                </c:pt>
                <c:pt idx="1">
                  <c:v>0.6603266855261245</c:v>
                </c:pt>
                <c:pt idx="2">
                  <c:v>1.5220020447640326</c:v>
                </c:pt>
                <c:pt idx="3">
                  <c:v>2.069536634772331</c:v>
                </c:pt>
                <c:pt idx="4">
                  <c:v>2.2817974235194201</c:v>
                </c:pt>
                <c:pt idx="5">
                  <c:v>2.1420935290853733</c:v>
                </c:pt>
                <c:pt idx="6">
                  <c:v>1.6593868398662139</c:v>
                </c:pt>
                <c:pt idx="7">
                  <c:v>0.91367050629585933</c:v>
                </c:pt>
                <c:pt idx="8">
                  <c:v>0.14317563237710493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PnET-II'!$O$21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PnET-II'!$O$22:$O$33</c:f>
              <c:numCache>
                <c:formatCode>General</c:formatCode>
                <c:ptCount val="12"/>
                <c:pt idx="0">
                  <c:v>0</c:v>
                </c:pt>
                <c:pt idx="1">
                  <c:v>0.72519580097727487</c:v>
                </c:pt>
                <c:pt idx="2">
                  <c:v>1.6714041752959881</c:v>
                </c:pt>
                <c:pt idx="3">
                  <c:v>2.2764902982495636</c:v>
                </c:pt>
                <c:pt idx="4">
                  <c:v>2.509977165871363</c:v>
                </c:pt>
                <c:pt idx="5">
                  <c:v>2.3563028819939107</c:v>
                </c:pt>
                <c:pt idx="6">
                  <c:v>1.8253255238528354</c:v>
                </c:pt>
                <c:pt idx="7">
                  <c:v>1.0050375569254451</c:v>
                </c:pt>
                <c:pt idx="8">
                  <c:v>0.15749319561481545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88832"/>
        <c:axId val="408089224"/>
      </c:lineChart>
      <c:catAx>
        <c:axId val="4080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8089224"/>
        <c:crosses val="autoZero"/>
        <c:auto val="1"/>
        <c:lblAlgn val="ctr"/>
        <c:lblOffset val="100"/>
        <c:noMultiLvlLbl val="0"/>
      </c:catAx>
      <c:valAx>
        <c:axId val="408089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80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DTemp!$V$1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DTemp!$V$2:$V$13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1.3492720303644898</c:v>
                </c:pt>
                <c:pt idx="2">
                  <c:v>1.9081588046721443</c:v>
                </c:pt>
                <c:pt idx="3">
                  <c:v>2.6985440607289797</c:v>
                </c:pt>
                <c:pt idx="4">
                  <c:v>3.8163176093442885</c:v>
                </c:pt>
                <c:pt idx="5">
                  <c:v>5.3970881214579594</c:v>
                </c:pt>
                <c:pt idx="6">
                  <c:v>7.6326352186885771</c:v>
                </c:pt>
                <c:pt idx="7">
                  <c:v>10.794176242915919</c:v>
                </c:pt>
                <c:pt idx="8">
                  <c:v>15.265270437377154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24256"/>
        <c:axId val="480024648"/>
      </c:lineChart>
      <c:catAx>
        <c:axId val="4800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4648"/>
        <c:crosses val="autoZero"/>
        <c:auto val="1"/>
        <c:lblAlgn val="ctr"/>
        <c:lblOffset val="100"/>
        <c:noMultiLvlLbl val="0"/>
      </c:catAx>
      <c:valAx>
        <c:axId val="4800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DTemp!$O$1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DTemp!$O$2:$O$13</c:f>
              <c:numCache>
                <c:formatCode>General</c:formatCode>
                <c:ptCount val="12"/>
                <c:pt idx="0">
                  <c:v>0</c:v>
                </c:pt>
                <c:pt idx="1">
                  <c:v>8.6790800556289511</c:v>
                </c:pt>
                <c:pt idx="2">
                  <c:v>14.896595013127973</c:v>
                </c:pt>
                <c:pt idx="3">
                  <c:v>18.520072192029389</c:v>
                </c:pt>
                <c:pt idx="4">
                  <c:v>19.402505512568759</c:v>
                </c:pt>
                <c:pt idx="5">
                  <c:v>17.795983973062672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DTemp!$P$1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8.6790800556289511</c:v>
                </c:pt>
                <c:pt idx="2">
                  <c:v>14.896595013127973</c:v>
                </c:pt>
                <c:pt idx="3">
                  <c:v>18.520072192029389</c:v>
                </c:pt>
                <c:pt idx="4">
                  <c:v>19.402505512568759</c:v>
                </c:pt>
                <c:pt idx="5">
                  <c:v>17.465066915712335</c:v>
                </c:pt>
                <c:pt idx="6">
                  <c:v>12.897462199121927</c:v>
                </c:pt>
                <c:pt idx="7">
                  <c:v>6.573230783432443</c:v>
                </c:pt>
                <c:pt idx="8">
                  <c:v>0.83298962341503313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25432"/>
        <c:axId val="480025824"/>
      </c:lineChart>
      <c:catAx>
        <c:axId val="4800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5824"/>
        <c:crosses val="autoZero"/>
        <c:auto val="1"/>
        <c:lblAlgn val="ctr"/>
        <c:lblOffset val="100"/>
        <c:noMultiLvlLbl val="0"/>
      </c:catAx>
      <c:valAx>
        <c:axId val="4800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26608"/>
        <c:axId val="480027000"/>
      </c:lineChart>
      <c:catAx>
        <c:axId val="4800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7000"/>
        <c:crosses val="autoZero"/>
        <c:auto val="1"/>
        <c:lblAlgn val="ctr"/>
        <c:lblOffset val="100"/>
        <c:noMultiLvlLbl val="0"/>
      </c:catAx>
      <c:valAx>
        <c:axId val="4800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27784"/>
        <c:axId val="533997960"/>
      </c:scatterChart>
      <c:valAx>
        <c:axId val="48002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97960"/>
        <c:crosses val="autoZero"/>
        <c:crossBetween val="midCat"/>
      </c:valAx>
      <c:valAx>
        <c:axId val="53399796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98744"/>
        <c:axId val="533999136"/>
      </c:scatterChart>
      <c:valAx>
        <c:axId val="53399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99136"/>
        <c:crosses val="autoZero"/>
        <c:crossBetween val="midCat"/>
      </c:valAx>
      <c:valAx>
        <c:axId val="5339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99920"/>
        <c:axId val="534000312"/>
      </c:scatterChart>
      <c:valAx>
        <c:axId val="53399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0312"/>
        <c:crosses val="autoZero"/>
        <c:crossBetween val="midCat"/>
      </c:valAx>
      <c:valAx>
        <c:axId val="5340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01096"/>
        <c:axId val="534001488"/>
      </c:scatterChart>
      <c:valAx>
        <c:axId val="53400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1488"/>
        <c:crosses val="autoZero"/>
        <c:crossBetween val="midCat"/>
      </c:valAx>
      <c:valAx>
        <c:axId val="5340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9336"/>
        <c:axId val="471679728"/>
      </c:scatterChart>
      <c:valAx>
        <c:axId val="47167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79728"/>
        <c:crosses val="autoZero"/>
        <c:crossBetween val="midCat"/>
      </c:valAx>
      <c:valAx>
        <c:axId val="4716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7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80512"/>
        <c:axId val="471680904"/>
      </c:scatterChart>
      <c:valAx>
        <c:axId val="4716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0904"/>
        <c:crosses val="autoZero"/>
        <c:crossBetween val="midCat"/>
      </c:valAx>
      <c:valAx>
        <c:axId val="4716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CO2 on HalfSat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Species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[1]Sheet1!$A$7:$A$17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365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</c:numCache>
            </c:numRef>
          </c:xVal>
          <c:yVal>
            <c:numRef>
              <c:f>[1]Sheet1!$B$7:$B$17</c:f>
              <c:numCache>
                <c:formatCode>General</c:formatCode>
                <c:ptCount val="11"/>
                <c:pt idx="0">
                  <c:v>567.5</c:v>
                </c:pt>
                <c:pt idx="1">
                  <c:v>530</c:v>
                </c:pt>
                <c:pt idx="2">
                  <c:v>518.75</c:v>
                </c:pt>
                <c:pt idx="3">
                  <c:v>492.5</c:v>
                </c:pt>
                <c:pt idx="4">
                  <c:v>455</c:v>
                </c:pt>
                <c:pt idx="5">
                  <c:v>417.5</c:v>
                </c:pt>
                <c:pt idx="6">
                  <c:v>380</c:v>
                </c:pt>
                <c:pt idx="7">
                  <c:v>342.5</c:v>
                </c:pt>
                <c:pt idx="8">
                  <c:v>305</c:v>
                </c:pt>
                <c:pt idx="9">
                  <c:v>267.5</c:v>
                </c:pt>
                <c:pt idx="10">
                  <c:v>230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Species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[1]Sheet1!$A$7:$A$17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365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</c:numCache>
            </c:numRef>
          </c:xVal>
          <c:yVal>
            <c:numRef>
              <c:f>[1]Sheet1!$C$7:$C$17</c:f>
              <c:numCache>
                <c:formatCode>General</c:formatCode>
                <c:ptCount val="11"/>
                <c:pt idx="0">
                  <c:v>595</c:v>
                </c:pt>
                <c:pt idx="1">
                  <c:v>600</c:v>
                </c:pt>
                <c:pt idx="2">
                  <c:v>601.5</c:v>
                </c:pt>
                <c:pt idx="3">
                  <c:v>605</c:v>
                </c:pt>
                <c:pt idx="4">
                  <c:v>610</c:v>
                </c:pt>
                <c:pt idx="5">
                  <c:v>615</c:v>
                </c:pt>
                <c:pt idx="6">
                  <c:v>620</c:v>
                </c:pt>
                <c:pt idx="7">
                  <c:v>625</c:v>
                </c:pt>
                <c:pt idx="8">
                  <c:v>630</c:v>
                </c:pt>
                <c:pt idx="9">
                  <c:v>635</c:v>
                </c:pt>
                <c:pt idx="10">
                  <c:v>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81688"/>
        <c:axId val="471682080"/>
      </c:scatterChart>
      <c:valAx>
        <c:axId val="471681688"/>
        <c:scaling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080"/>
        <c:crosses val="autoZero"/>
        <c:crossBetween val="midCat"/>
        <c:majorUnit val="50"/>
      </c:valAx>
      <c:valAx>
        <c:axId val="4716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ADjHalfSat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1688"/>
        <c:crossesAt val="35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PnET-II'!$R$2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PnET-II'!$R$3:$R$14</c:f>
              <c:numCache>
                <c:formatCode>General</c:formatCode>
                <c:ptCount val="12"/>
                <c:pt idx="0">
                  <c:v>0</c:v>
                </c:pt>
                <c:pt idx="1">
                  <c:v>9.2445735973657435</c:v>
                </c:pt>
                <c:pt idx="2">
                  <c:v>21.308028626696455</c:v>
                </c:pt>
                <c:pt idx="3">
                  <c:v>28.973512886812635</c:v>
                </c:pt>
                <c:pt idx="4">
                  <c:v>31.945163929271882</c:v>
                </c:pt>
                <c:pt idx="5">
                  <c:v>29.989309407195226</c:v>
                </c:pt>
                <c:pt idx="6">
                  <c:v>23.231415758126996</c:v>
                </c:pt>
                <c:pt idx="7">
                  <c:v>12.791387088142031</c:v>
                </c:pt>
                <c:pt idx="8">
                  <c:v>2.0044588532794689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PnET-II'!$Y$21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PnET-II'!$Y$22:$Y$33</c:f>
              <c:numCache>
                <c:formatCode>General</c:formatCode>
                <c:ptCount val="12"/>
                <c:pt idx="0">
                  <c:v>-1.0519194228907485</c:v>
                </c:pt>
                <c:pt idx="1">
                  <c:v>8.665102499306073</c:v>
                </c:pt>
                <c:pt idx="2">
                  <c:v>21.295819608362336</c:v>
                </c:pt>
                <c:pt idx="3">
                  <c:v>28.895586746742342</c:v>
                </c:pt>
                <c:pt idx="4">
                  <c:v>30.932002630636092</c:v>
                </c:pt>
                <c:pt idx="5">
                  <c:v>27.037685490411647</c:v>
                </c:pt>
                <c:pt idx="6">
                  <c:v>17.139201950813707</c:v>
                </c:pt>
                <c:pt idx="7">
                  <c:v>2.1694160819500272</c:v>
                </c:pt>
                <c:pt idx="8">
                  <c:v>-14.625806027644556</c:v>
                </c:pt>
                <c:pt idx="9">
                  <c:v>-23.802219430012407</c:v>
                </c:pt>
                <c:pt idx="10">
                  <c:v>-33.661421532503944</c:v>
                </c:pt>
                <c:pt idx="11">
                  <c:v>-47.604438860024814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36192"/>
        <c:axId val="534036584"/>
      </c:lineChart>
      <c:catAx>
        <c:axId val="5340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4036584"/>
        <c:crosses val="autoZero"/>
        <c:auto val="1"/>
        <c:lblAlgn val="ctr"/>
        <c:lblOffset val="100"/>
        <c:noMultiLvlLbl val="0"/>
      </c:catAx>
      <c:valAx>
        <c:axId val="534036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40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EstMod!$C$3</c:f>
              <c:strCache>
                <c:ptCount val="1"/>
                <c:pt idx="0">
                  <c:v>modified red.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EstMod!$C$4:$C$14</c:f>
              <c:numCache>
                <c:formatCode>General</c:formatCode>
                <c:ptCount val="11"/>
                <c:pt idx="0">
                  <c:v>0</c:v>
                </c:pt>
                <c:pt idx="1">
                  <c:v>2.5118864315095799E-3</c:v>
                </c:pt>
                <c:pt idx="2">
                  <c:v>1.5229231509727031E-2</c:v>
                </c:pt>
                <c:pt idx="3">
                  <c:v>4.370340373471833E-2</c:v>
                </c:pt>
                <c:pt idx="4">
                  <c:v>9.233279397806167E-2</c:v>
                </c:pt>
                <c:pt idx="5">
                  <c:v>0.16493848884661177</c:v>
                </c:pt>
                <c:pt idx="6">
                  <c:v>0.26496789221441996</c:v>
                </c:pt>
                <c:pt idx="7">
                  <c:v>0.39559874396917555</c:v>
                </c:pt>
                <c:pt idx="8">
                  <c:v>0.55980138185895845</c:v>
                </c:pt>
                <c:pt idx="9">
                  <c:v>0.7603797186212512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90926232"/>
        <c:axId val="290926624"/>
      </c:lineChart>
      <c:catAx>
        <c:axId val="29092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Psn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6624"/>
        <c:crosses val="autoZero"/>
        <c:auto val="1"/>
        <c:lblAlgn val="ctr"/>
        <c:lblOffset val="100"/>
        <c:noMultiLvlLbl val="0"/>
      </c:catAx>
      <c:valAx>
        <c:axId val="29092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of establishment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EstMod!$F$3</c:f>
              <c:strCache>
                <c:ptCount val="1"/>
                <c:pt idx="0">
                  <c:v>Modified-Pest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EstMod!$F$4:$F$14</c:f>
              <c:numCache>
                <c:formatCode>General</c:formatCode>
                <c:ptCount val="11"/>
                <c:pt idx="0">
                  <c:v>0</c:v>
                </c:pt>
                <c:pt idx="1">
                  <c:v>6.3095734448292973E-6</c:v>
                </c:pt>
                <c:pt idx="2">
                  <c:v>2.3192949237682559E-4</c:v>
                </c:pt>
                <c:pt idx="3">
                  <c:v>1.9099874979997544E-3</c:v>
                </c:pt>
                <c:pt idx="4">
                  <c:v>8.5253448437951906E-3</c:v>
                </c:pt>
                <c:pt idx="5">
                  <c:v>2.7204705103003879E-2</c:v>
                </c:pt>
                <c:pt idx="6">
                  <c:v>7.0207983904552518E-2</c:v>
                </c:pt>
                <c:pt idx="7">
                  <c:v>0.15649836622998925</c:v>
                </c:pt>
                <c:pt idx="8">
                  <c:v>0.31337758713119945</c:v>
                </c:pt>
                <c:pt idx="9">
                  <c:v>0.57817731649053317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EstMod!$G$3</c:f>
              <c:strCache>
                <c:ptCount val="1"/>
                <c:pt idx="0">
                  <c:v>UnModified-Pest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EstMod!$G$4:$G$14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1.0000000000000009E-2</c:v>
                </c:pt>
                <c:pt idx="2">
                  <c:v>4.0000000000000036E-2</c:v>
                </c:pt>
                <c:pt idx="3">
                  <c:v>8.9999999999999969E-2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27408"/>
        <c:axId val="290927800"/>
      </c:lineChart>
      <c:catAx>
        <c:axId val="29092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Psn reduction factor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7800"/>
        <c:crosses val="autoZero"/>
        <c:auto val="1"/>
        <c:lblAlgn val="ctr"/>
        <c:lblOffset val="100"/>
        <c:noMultiLvlLbl val="0"/>
      </c:catAx>
      <c:valAx>
        <c:axId val="2909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Pest per time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AdjFolN!$B$1</c:f>
              <c:strCache>
                <c:ptCount val="1"/>
                <c:pt idx="0">
                  <c:v>linear multiplier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AdjFolN!$A$2:$A$12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28584"/>
        <c:axId val="290928976"/>
      </c:lineChart>
      <c:catAx>
        <c:axId val="29092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8976"/>
        <c:crosses val="autoZero"/>
        <c:auto val="1"/>
        <c:lblAlgn val="ctr"/>
        <c:lblOffset val="100"/>
        <c:noMultiLvlLbl val="0"/>
      </c:catAx>
      <c:valAx>
        <c:axId val="2909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FolN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AdjFolN!$C$1</c:f>
              <c:strCache>
                <c:ptCount val="1"/>
                <c:pt idx="0">
                  <c:v>AdjFolN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AdjFolN!$A$2:$A$12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AdjFolN!$C$2:$C$12</c:f>
              <c:numCache>
                <c:formatCode>General</c:formatCode>
                <c:ptCount val="11"/>
                <c:pt idx="0">
                  <c:v>1.94</c:v>
                </c:pt>
                <c:pt idx="1">
                  <c:v>1.94</c:v>
                </c:pt>
                <c:pt idx="2">
                  <c:v>1.94</c:v>
                </c:pt>
                <c:pt idx="3">
                  <c:v>1.94</c:v>
                </c:pt>
                <c:pt idx="4">
                  <c:v>1.94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1.94</c:v>
                </c:pt>
                <c:pt idx="10">
                  <c:v>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29760"/>
        <c:axId val="485394768"/>
      </c:lineChart>
      <c:catAx>
        <c:axId val="2909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4768"/>
        <c:crosses val="autoZero"/>
        <c:auto val="1"/>
        <c:lblAlgn val="ctr"/>
        <c:lblOffset val="100"/>
        <c:noMultiLvlLbl val="0"/>
      </c:catAx>
      <c:valAx>
        <c:axId val="4853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Wythers!$J$10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Wythers!$J$11:$J$20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Wythers!$K$10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Wythers!$K$11:$K$20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5552"/>
        <c:axId val="485395944"/>
      </c:lineChart>
      <c:catAx>
        <c:axId val="4853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5944"/>
        <c:crosses val="autoZero"/>
        <c:auto val="1"/>
        <c:lblAlgn val="ctr"/>
        <c:lblOffset val="100"/>
        <c:noMultiLvlLbl val="0"/>
      </c:catAx>
      <c:valAx>
        <c:axId val="4853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Wythers!$D$10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Wythers!$D$11:$D$20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Wythers!$E$10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Wythers!$E$11:$E$20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6728"/>
        <c:axId val="485397120"/>
      </c:lineChart>
      <c:catAx>
        <c:axId val="48539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120"/>
        <c:crosses val="autoZero"/>
        <c:auto val="1"/>
        <c:lblAlgn val="ctr"/>
        <c:lblOffset val="100"/>
        <c:noMultiLvlLbl val="0"/>
      </c:catAx>
      <c:valAx>
        <c:axId val="4853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Wythers!$L$10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Wythers!$L$11:$L$20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Wythers!$M$10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Wythers!$M$11:$M$20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7904"/>
        <c:axId val="485398296"/>
      </c:lineChart>
      <c:catAx>
        <c:axId val="4853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8296"/>
        <c:crosses val="autoZero"/>
        <c:auto val="1"/>
        <c:lblAlgn val="ctr"/>
        <c:lblOffset val="100"/>
        <c:noMultiLvlLbl val="0"/>
      </c:catAx>
      <c:valAx>
        <c:axId val="4853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0.99999995884773663</c:v>
                </c:pt>
                <c:pt idx="2">
                  <c:v>0.99999868312757201</c:v>
                </c:pt>
                <c:pt idx="3">
                  <c:v>0.99999000000000005</c:v>
                </c:pt>
                <c:pt idx="4">
                  <c:v>0.99995786008230447</c:v>
                </c:pt>
                <c:pt idx="5">
                  <c:v>0.99987139917695478</c:v>
                </c:pt>
                <c:pt idx="6">
                  <c:v>0.99968000000000001</c:v>
                </c:pt>
                <c:pt idx="7">
                  <c:v>0.99930835390946504</c:v>
                </c:pt>
                <c:pt idx="8">
                  <c:v>0.9986515226337449</c:v>
                </c:pt>
                <c:pt idx="9">
                  <c:v>0.99756999999999996</c:v>
                </c:pt>
                <c:pt idx="10">
                  <c:v>0.99588477366255146</c:v>
                </c:pt>
                <c:pt idx="11">
                  <c:v>0.99337238683127571</c:v>
                </c:pt>
                <c:pt idx="12">
                  <c:v>0.98975999999999997</c:v>
                </c:pt>
                <c:pt idx="13">
                  <c:v>0.98472045267489716</c:v>
                </c:pt>
                <c:pt idx="14">
                  <c:v>0.97786732510288066</c:v>
                </c:pt>
                <c:pt idx="15">
                  <c:v>0.96875</c:v>
                </c:pt>
                <c:pt idx="16">
                  <c:v>0.95684872427983536</c:v>
                </c:pt>
                <c:pt idx="17">
                  <c:v>0.94156967078189302</c:v>
                </c:pt>
                <c:pt idx="18">
                  <c:v>0.92223999999999995</c:v>
                </c:pt>
                <c:pt idx="19">
                  <c:v>0.89810292181069962</c:v>
                </c:pt>
                <c:pt idx="20">
                  <c:v>0.86831275720164613</c:v>
                </c:pt>
                <c:pt idx="21">
                  <c:v>0.83193000000000006</c:v>
                </c:pt>
                <c:pt idx="22">
                  <c:v>0.7879163786008232</c:v>
                </c:pt>
                <c:pt idx="23">
                  <c:v>0.73512991769547309</c:v>
                </c:pt>
                <c:pt idx="24">
                  <c:v>0.67231999999999981</c:v>
                </c:pt>
                <c:pt idx="25">
                  <c:v>0.59812242798353898</c:v>
                </c:pt>
                <c:pt idx="26">
                  <c:v>0.51105448559670774</c:v>
                </c:pt>
                <c:pt idx="27">
                  <c:v>0.40950999999999982</c:v>
                </c:pt>
                <c:pt idx="28">
                  <c:v>0.29175440329218094</c:v>
                </c:pt>
                <c:pt idx="29">
                  <c:v>0.15591979423868318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69027944"/>
        <c:axId val="369028336"/>
      </c:lineChart>
      <c:catAx>
        <c:axId val="36902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28336"/>
        <c:crosses val="autoZero"/>
        <c:auto val="1"/>
        <c:lblAlgn val="ctr"/>
        <c:lblOffset val="100"/>
        <c:noMultiLvlLbl val="0"/>
      </c:catAx>
      <c:valAx>
        <c:axId val="3690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2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Franks</c:v>
          </c:tx>
          <c:marker>
            <c:symbol val="none"/>
          </c:marker>
          <c:xVal>
            <c:numRef>
              <c:f>DelAmax!$D$2:$D$13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750</c:v>
                </c:pt>
                <c:pt idx="11">
                  <c:v>1000</c:v>
                </c:pt>
              </c:numCache>
            </c:numRef>
          </c:xVal>
          <c:yVal>
            <c:numRef>
              <c:f>DelAmax!$I$2:$I$13</c:f>
              <c:numCache>
                <c:formatCode>General</c:formatCode>
                <c:ptCount val="12"/>
                <c:pt idx="0">
                  <c:v>0.79262672811059898</c:v>
                </c:pt>
                <c:pt idx="1">
                  <c:v>0.88269794721407624</c:v>
                </c:pt>
                <c:pt idx="2">
                  <c:v>0.9490662139219016</c:v>
                </c:pt>
                <c:pt idx="3">
                  <c:v>1</c:v>
                </c:pt>
                <c:pt idx="4">
                  <c:v>1.0403225806451613</c:v>
                </c:pt>
                <c:pt idx="5">
                  <c:v>1.0730371272063299</c:v>
                </c:pt>
                <c:pt idx="6">
                  <c:v>1.100111234705228</c:v>
                </c:pt>
                <c:pt idx="7">
                  <c:v>1.1228878648233487</c:v>
                </c:pt>
                <c:pt idx="8">
                  <c:v>1.142314990512334</c:v>
                </c:pt>
                <c:pt idx="9">
                  <c:v>1.1590808661069378</c:v>
                </c:pt>
                <c:pt idx="10">
                  <c:v>1.1865526622619509</c:v>
                </c:pt>
                <c:pt idx="11">
                  <c:v>1.2329749103942653</c:v>
                </c:pt>
              </c:numCache>
            </c:numRef>
          </c:yVal>
          <c:smooth val="0"/>
        </c:ser>
        <c:ser>
          <c:idx val="1"/>
          <c:order val="1"/>
          <c:tx>
            <c:v>Mod_Franks</c:v>
          </c:tx>
          <c:marker>
            <c:symbol val="none"/>
          </c:marker>
          <c:xVal>
            <c:numRef>
              <c:f>DelAmax!$D$2:$D$13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750</c:v>
                </c:pt>
                <c:pt idx="11">
                  <c:v>1000</c:v>
                </c:pt>
              </c:numCache>
            </c:numRef>
          </c:xVal>
          <c:yVal>
            <c:numRef>
              <c:f>DelAmax!$M$2:$M$13</c:f>
              <c:numCache>
                <c:formatCode>General</c:formatCode>
                <c:ptCount val="12"/>
                <c:pt idx="0">
                  <c:v>0.62180200222469406</c:v>
                </c:pt>
                <c:pt idx="1">
                  <c:v>0.72624669815096454</c:v>
                </c:pt>
                <c:pt idx="2">
                  <c:v>0.80560642343992117</c:v>
                </c:pt>
                <c:pt idx="3">
                  <c:v>0.86794944350122627</c:v>
                </c:pt>
                <c:pt idx="4">
                  <c:v>0.91821899136756024</c:v>
                </c:pt>
                <c:pt idx="5">
                  <c:v>0.95961269611142752</c:v>
                </c:pt>
                <c:pt idx="6">
                  <c:v>0.99429060805024261</c:v>
                </c:pt>
                <c:pt idx="7">
                  <c:v>1.0237644677199311</c:v>
                </c:pt>
                <c:pt idx="8">
                  <c:v>1.0491239561159327</c:v>
                </c:pt>
                <c:pt idx="9">
                  <c:v>1.0711743772241993</c:v>
                </c:pt>
                <c:pt idx="10">
                  <c:v>1.1076397116068104</c:v>
                </c:pt>
                <c:pt idx="11">
                  <c:v>1.1702217085215929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29120"/>
        <c:axId val="369029512"/>
      </c:scatterChart>
      <c:valAx>
        <c:axId val="3690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029512"/>
        <c:crosses val="autoZero"/>
        <c:crossBetween val="midCat"/>
      </c:valAx>
      <c:valAx>
        <c:axId val="369029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02912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Franks</c:v>
          </c:tx>
          <c:marker>
            <c:symbol val="none"/>
          </c:marker>
          <c:xVal>
            <c:numRef>
              <c:f>DelAmax!$D$2:$D$13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750</c:v>
                </c:pt>
                <c:pt idx="11">
                  <c:v>1000</c:v>
                </c:pt>
              </c:numCache>
            </c:numRef>
          </c:xVal>
          <c:yVal>
            <c:numRef>
              <c:f>DelAmax!$K$2:$K$13</c:f>
              <c:numCache>
                <c:formatCode>General</c:formatCode>
                <c:ptCount val="12"/>
                <c:pt idx="0">
                  <c:v>56.29017050691246</c:v>
                </c:pt>
                <c:pt idx="1">
                  <c:v>62.686780791788884</c:v>
                </c:pt>
                <c:pt idx="2">
                  <c:v>67.400072580645201</c:v>
                </c:pt>
                <c:pt idx="3">
                  <c:v>71.017250000000033</c:v>
                </c:pt>
                <c:pt idx="4">
                  <c:v>73.880848790322617</c:v>
                </c:pt>
                <c:pt idx="5">
                  <c:v>76.204145922093772</c:v>
                </c:pt>
                <c:pt idx="6">
                  <c:v>78.126874582869888</c:v>
                </c:pt>
                <c:pt idx="7">
                  <c:v>79.744408218125997</c:v>
                </c:pt>
                <c:pt idx="8">
                  <c:v>81.124069259962084</c:v>
                </c:pt>
                <c:pt idx="9">
                  <c:v>82.314735638532966</c:v>
                </c:pt>
                <c:pt idx="10">
                  <c:v>84.26570705402257</c:v>
                </c:pt>
                <c:pt idx="11">
                  <c:v>87.562487455197186</c:v>
                </c:pt>
              </c:numCache>
            </c:numRef>
          </c:yVal>
          <c:smooth val="0"/>
        </c:ser>
        <c:ser>
          <c:idx val="1"/>
          <c:order val="1"/>
          <c:tx>
            <c:v>Mod_Franks</c:v>
          </c:tx>
          <c:marker>
            <c:symbol val="none"/>
          </c:marker>
          <c:xVal>
            <c:numRef>
              <c:f>DelAmax!$D$2:$D$13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750</c:v>
                </c:pt>
                <c:pt idx="11">
                  <c:v>1000</c:v>
                </c:pt>
              </c:numCache>
            </c:numRef>
          </c:xVal>
          <c:yVal>
            <c:numRef>
              <c:f>DelAmax!$N$2:$N$13</c:f>
              <c:numCache>
                <c:formatCode>General</c:formatCode>
                <c:ptCount val="12"/>
                <c:pt idx="0">
                  <c:v>44.158668242491672</c:v>
                </c:pt>
                <c:pt idx="1">
                  <c:v>51.576043324261612</c:v>
                </c:pt>
                <c:pt idx="2">
                  <c:v>57.211952775038768</c:v>
                </c:pt>
                <c:pt idx="3">
                  <c:v>61.639382616487488</c:v>
                </c:pt>
                <c:pt idx="4">
                  <c:v>65.2093876646979</c:v>
                </c:pt>
                <c:pt idx="5">
                  <c:v>68.149054742919304</c:v>
                </c:pt>
                <c:pt idx="6">
                  <c:v>70.611784684556127</c:v>
                </c:pt>
                <c:pt idx="7">
                  <c:v>72.704937145183308</c:v>
                </c:pt>
                <c:pt idx="8">
                  <c:v>74.505898272474255</c:v>
                </c:pt>
                <c:pt idx="9">
                  <c:v>76.071858540925305</c:v>
                </c:pt>
                <c:pt idx="10">
                  <c:v>78.661526309108794</c:v>
                </c:pt>
                <c:pt idx="11">
                  <c:v>83.105927629505132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30296"/>
        <c:axId val="369030688"/>
      </c:scatterChart>
      <c:valAx>
        <c:axId val="36903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030688"/>
        <c:crosses val="autoZero"/>
        <c:crossBetween val="midCat"/>
      </c:valAx>
      <c:valAx>
        <c:axId val="36903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030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235804224912413"/>
          <c:y val="0.44753864100320795"/>
          <c:w val="0.55037323528391546"/>
          <c:h val="0.27931321084864391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PnET-II'!$V$2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PnET-II'!$V$3:$V$14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1.4025592305209982</c:v>
                </c:pt>
                <c:pt idx="2">
                  <c:v>1.9835182858343672</c:v>
                </c:pt>
                <c:pt idx="3">
                  <c:v>2.8051184610419964</c:v>
                </c:pt>
                <c:pt idx="4">
                  <c:v>3.9670365716687344</c:v>
                </c:pt>
                <c:pt idx="5">
                  <c:v>5.6102369220839927</c:v>
                </c:pt>
                <c:pt idx="6">
                  <c:v>7.9340731433374687</c:v>
                </c:pt>
                <c:pt idx="7">
                  <c:v>11.220473844167982</c:v>
                </c:pt>
                <c:pt idx="8">
                  <c:v>15.868146286674937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PnET-II'!$V$21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PnET-II'!$V$22:$V$33</c:f>
              <c:numCache>
                <c:formatCode>General</c:formatCode>
                <c:ptCount val="12"/>
                <c:pt idx="0">
                  <c:v>1.0519194228907485</c:v>
                </c:pt>
                <c:pt idx="1">
                  <c:v>1.4876387143757757</c:v>
                </c:pt>
                <c:pt idx="2">
                  <c:v>2.1038388457814965</c:v>
                </c:pt>
                <c:pt idx="3">
                  <c:v>2.9752774287515509</c:v>
                </c:pt>
                <c:pt idx="4">
                  <c:v>4.207677691562993</c:v>
                </c:pt>
                <c:pt idx="5">
                  <c:v>5.9505548575031018</c:v>
                </c:pt>
                <c:pt idx="6">
                  <c:v>8.415355383125986</c:v>
                </c:pt>
                <c:pt idx="7">
                  <c:v>11.901109715006204</c:v>
                </c:pt>
                <c:pt idx="8">
                  <c:v>16.830710766251972</c:v>
                </c:pt>
                <c:pt idx="9">
                  <c:v>23.802219430012407</c:v>
                </c:pt>
                <c:pt idx="10">
                  <c:v>33.661421532503944</c:v>
                </c:pt>
                <c:pt idx="11">
                  <c:v>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37368"/>
        <c:axId val="482585560"/>
      </c:lineChart>
      <c:catAx>
        <c:axId val="53403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2585560"/>
        <c:crosses val="autoZero"/>
        <c:auto val="1"/>
        <c:lblAlgn val="ctr"/>
        <c:lblOffset val="100"/>
        <c:noMultiLvlLbl val="0"/>
      </c:catAx>
      <c:valAx>
        <c:axId val="482585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403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Sensitive by O3</a:t>
            </a:r>
            <a:r>
              <a:rPr lang="en-US" baseline="0"/>
              <a:t> Dose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CiModifier!$A$5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CiModifier!$B$5:$L$5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CiModifier!$A$6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CiModifier!$B$6:$L$6</c:f>
              <c:numCache>
                <c:formatCode>General</c:formatCode>
                <c:ptCount val="11"/>
                <c:pt idx="0">
                  <c:v>5.8999999999999997E-2</c:v>
                </c:pt>
                <c:pt idx="1">
                  <c:v>0.1502</c:v>
                </c:pt>
                <c:pt idx="2">
                  <c:v>0.2414</c:v>
                </c:pt>
                <c:pt idx="3">
                  <c:v>0.33260000000000001</c:v>
                </c:pt>
                <c:pt idx="4">
                  <c:v>0.42380000000000001</c:v>
                </c:pt>
                <c:pt idx="5">
                  <c:v>0.51500000000000001</c:v>
                </c:pt>
                <c:pt idx="6">
                  <c:v>0.60619999999999996</c:v>
                </c:pt>
                <c:pt idx="7">
                  <c:v>0.69739999999999991</c:v>
                </c:pt>
                <c:pt idx="8">
                  <c:v>0.78860000000000008</c:v>
                </c:pt>
                <c:pt idx="9">
                  <c:v>0.87980000000000003</c:v>
                </c:pt>
                <c:pt idx="10">
                  <c:v>0.97099999999999997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CiModifier!$A$7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CiModifier!$B$7:$L$7</c:f>
              <c:numCache>
                <c:formatCode>General</c:formatCode>
                <c:ptCount val="11"/>
                <c:pt idx="0">
                  <c:v>0.11799999999999999</c:v>
                </c:pt>
                <c:pt idx="1">
                  <c:v>0.20040000000000002</c:v>
                </c:pt>
                <c:pt idx="2">
                  <c:v>0.2828</c:v>
                </c:pt>
                <c:pt idx="3">
                  <c:v>0.36519999999999997</c:v>
                </c:pt>
                <c:pt idx="4">
                  <c:v>0.4476</c:v>
                </c:pt>
                <c:pt idx="5">
                  <c:v>0.53</c:v>
                </c:pt>
                <c:pt idx="6">
                  <c:v>0.61239999999999994</c:v>
                </c:pt>
                <c:pt idx="7">
                  <c:v>0.69479999999999997</c:v>
                </c:pt>
                <c:pt idx="8">
                  <c:v>0.7772</c:v>
                </c:pt>
                <c:pt idx="9">
                  <c:v>0.85960000000000003</c:v>
                </c:pt>
                <c:pt idx="10">
                  <c:v>0.94199999999999995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CiModifier!$A$8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CiModifier!$B$8:$L$8</c:f>
              <c:numCache>
                <c:formatCode>General</c:formatCode>
                <c:ptCount val="11"/>
                <c:pt idx="0">
                  <c:v>0.17699999999999999</c:v>
                </c:pt>
                <c:pt idx="1">
                  <c:v>0.25060000000000004</c:v>
                </c:pt>
                <c:pt idx="2">
                  <c:v>0.32419999999999999</c:v>
                </c:pt>
                <c:pt idx="3">
                  <c:v>0.39779999999999999</c:v>
                </c:pt>
                <c:pt idx="4">
                  <c:v>0.47139999999999999</c:v>
                </c:pt>
                <c:pt idx="5">
                  <c:v>0.54499999999999993</c:v>
                </c:pt>
                <c:pt idx="6">
                  <c:v>0.61859999999999993</c:v>
                </c:pt>
                <c:pt idx="7">
                  <c:v>0.69219999999999993</c:v>
                </c:pt>
                <c:pt idx="8">
                  <c:v>0.76580000000000004</c:v>
                </c:pt>
                <c:pt idx="9">
                  <c:v>0.83940000000000003</c:v>
                </c:pt>
                <c:pt idx="10">
                  <c:v>0.91300000000000003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CiModifier!$A$9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CiModifier!$B$9:$L$9</c:f>
              <c:numCache>
                <c:formatCode>General</c:formatCode>
                <c:ptCount val="11"/>
                <c:pt idx="0">
                  <c:v>0.23599999999999999</c:v>
                </c:pt>
                <c:pt idx="1">
                  <c:v>0.30080000000000001</c:v>
                </c:pt>
                <c:pt idx="2">
                  <c:v>0.36559999999999998</c:v>
                </c:pt>
                <c:pt idx="3">
                  <c:v>0.4304</c:v>
                </c:pt>
                <c:pt idx="4">
                  <c:v>0.49519999999999997</c:v>
                </c:pt>
                <c:pt idx="5">
                  <c:v>0.55999999999999994</c:v>
                </c:pt>
                <c:pt idx="6">
                  <c:v>0.62480000000000002</c:v>
                </c:pt>
                <c:pt idx="7">
                  <c:v>0.68959999999999999</c:v>
                </c:pt>
                <c:pt idx="8">
                  <c:v>0.75439999999999996</c:v>
                </c:pt>
                <c:pt idx="9">
                  <c:v>0.81920000000000004</c:v>
                </c:pt>
                <c:pt idx="10">
                  <c:v>0.88400000000000001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CiModifier!$A$10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CiModifier!$B$10:$L$10</c:f>
              <c:numCache>
                <c:formatCode>General</c:formatCode>
                <c:ptCount val="11"/>
                <c:pt idx="0">
                  <c:v>0.29499999999999998</c:v>
                </c:pt>
                <c:pt idx="1">
                  <c:v>0.35099999999999998</c:v>
                </c:pt>
                <c:pt idx="2">
                  <c:v>0.40700000000000003</c:v>
                </c:pt>
                <c:pt idx="3">
                  <c:v>0.46299999999999997</c:v>
                </c:pt>
                <c:pt idx="4">
                  <c:v>0.51900000000000002</c:v>
                </c:pt>
                <c:pt idx="5">
                  <c:v>0.57499999999999996</c:v>
                </c:pt>
                <c:pt idx="6">
                  <c:v>0.63100000000000001</c:v>
                </c:pt>
                <c:pt idx="7">
                  <c:v>0.68699999999999994</c:v>
                </c:pt>
                <c:pt idx="8">
                  <c:v>0.74299999999999999</c:v>
                </c:pt>
                <c:pt idx="9">
                  <c:v>0.79900000000000004</c:v>
                </c:pt>
                <c:pt idx="10">
                  <c:v>0.85499999999999998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CiModifier!$A$11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CiModifier!$B$11:$L$11</c:f>
              <c:numCache>
                <c:formatCode>General</c:formatCode>
                <c:ptCount val="11"/>
                <c:pt idx="0">
                  <c:v>0.35399999999999998</c:v>
                </c:pt>
                <c:pt idx="1">
                  <c:v>0.4012</c:v>
                </c:pt>
                <c:pt idx="2">
                  <c:v>0.44840000000000002</c:v>
                </c:pt>
                <c:pt idx="3">
                  <c:v>0.49559999999999998</c:v>
                </c:pt>
                <c:pt idx="4">
                  <c:v>0.54279999999999995</c:v>
                </c:pt>
                <c:pt idx="5">
                  <c:v>0.59</c:v>
                </c:pt>
                <c:pt idx="6">
                  <c:v>0.63719999999999999</c:v>
                </c:pt>
                <c:pt idx="7">
                  <c:v>0.68440000000000001</c:v>
                </c:pt>
                <c:pt idx="8">
                  <c:v>0.73160000000000003</c:v>
                </c:pt>
                <c:pt idx="9">
                  <c:v>0.77880000000000005</c:v>
                </c:pt>
                <c:pt idx="10">
                  <c:v>0.82599999999999996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CiModifier!$A$12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CiModifier!$B$12:$L$12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0.45140000000000002</c:v>
                </c:pt>
                <c:pt idx="2">
                  <c:v>0.48979999999999996</c:v>
                </c:pt>
                <c:pt idx="3">
                  <c:v>0.5282</c:v>
                </c:pt>
                <c:pt idx="4">
                  <c:v>0.56659999999999999</c:v>
                </c:pt>
                <c:pt idx="5">
                  <c:v>0.60499999999999998</c:v>
                </c:pt>
                <c:pt idx="6">
                  <c:v>0.64339999999999997</c:v>
                </c:pt>
                <c:pt idx="7">
                  <c:v>0.68179999999999996</c:v>
                </c:pt>
                <c:pt idx="8">
                  <c:v>0.72019999999999995</c:v>
                </c:pt>
                <c:pt idx="9">
                  <c:v>0.75860000000000005</c:v>
                </c:pt>
                <c:pt idx="10">
                  <c:v>0.79699999999999993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CiModifier!$A$13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CiModifier!$B$13:$L$13</c:f>
              <c:numCache>
                <c:formatCode>General</c:formatCode>
                <c:ptCount val="11"/>
                <c:pt idx="0">
                  <c:v>0.47199999999999998</c:v>
                </c:pt>
                <c:pt idx="1">
                  <c:v>0.50160000000000005</c:v>
                </c:pt>
                <c:pt idx="2">
                  <c:v>0.53119999999999989</c:v>
                </c:pt>
                <c:pt idx="3">
                  <c:v>0.56079999999999997</c:v>
                </c:pt>
                <c:pt idx="4">
                  <c:v>0.59040000000000004</c:v>
                </c:pt>
                <c:pt idx="5">
                  <c:v>0.62</c:v>
                </c:pt>
                <c:pt idx="6">
                  <c:v>0.64959999999999996</c:v>
                </c:pt>
                <c:pt idx="7">
                  <c:v>0.67920000000000003</c:v>
                </c:pt>
                <c:pt idx="8">
                  <c:v>0.70879999999999999</c:v>
                </c:pt>
                <c:pt idx="9">
                  <c:v>0.73839999999999995</c:v>
                </c:pt>
                <c:pt idx="10">
                  <c:v>0.76800000000000002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CiModifier!$A$14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CiModifier!$B$4:$L$4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CiModifier!$B$14:$L$14</c:f>
              <c:numCache>
                <c:formatCode>General</c:formatCode>
                <c:ptCount val="11"/>
                <c:pt idx="0">
                  <c:v>0.53100000000000003</c:v>
                </c:pt>
                <c:pt idx="1">
                  <c:v>0.55180000000000007</c:v>
                </c:pt>
                <c:pt idx="2">
                  <c:v>0.5726</c:v>
                </c:pt>
                <c:pt idx="3">
                  <c:v>0.59339999999999993</c:v>
                </c:pt>
                <c:pt idx="4">
                  <c:v>0.61419999999999997</c:v>
                </c:pt>
                <c:pt idx="5">
                  <c:v>0.63500000000000001</c:v>
                </c:pt>
                <c:pt idx="6">
                  <c:v>0.65579999999999994</c:v>
                </c:pt>
                <c:pt idx="7">
                  <c:v>0.67659999999999998</c:v>
                </c:pt>
                <c:pt idx="8">
                  <c:v>0.69739999999999991</c:v>
                </c:pt>
                <c:pt idx="9">
                  <c:v>0.71819999999999995</c:v>
                </c:pt>
                <c:pt idx="10">
                  <c:v>0.73899999999999988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93160"/>
        <c:axId val="472893552"/>
      </c:scatterChart>
      <c:valAx>
        <c:axId val="472893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3552"/>
        <c:crosses val="autoZero"/>
        <c:crossBetween val="midCat"/>
      </c:valAx>
      <c:valAx>
        <c:axId val="47289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88888888888894"/>
          <c:y val="8.6432268883056301E-2"/>
          <c:w val="0.10944843780256305"/>
          <c:h val="0.77472262909874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Sensitive by fWater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CiModifier!$B$4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CiModifier!$B$5:$B$14</c:f>
              <c:numCache>
                <c:formatCode>General</c:formatCode>
                <c:ptCount val="10"/>
                <c:pt idx="0">
                  <c:v>0</c:v>
                </c:pt>
                <c:pt idx="1">
                  <c:v>5.8999999999999997E-2</c:v>
                </c:pt>
                <c:pt idx="2">
                  <c:v>0.11799999999999999</c:v>
                </c:pt>
                <c:pt idx="3">
                  <c:v>0.17699999999999999</c:v>
                </c:pt>
                <c:pt idx="4">
                  <c:v>0.23599999999999999</c:v>
                </c:pt>
                <c:pt idx="5">
                  <c:v>0.29499999999999998</c:v>
                </c:pt>
                <c:pt idx="6">
                  <c:v>0.35399999999999998</c:v>
                </c:pt>
                <c:pt idx="7">
                  <c:v>0.41299999999999998</c:v>
                </c:pt>
                <c:pt idx="8">
                  <c:v>0.47199999999999998</c:v>
                </c:pt>
                <c:pt idx="9">
                  <c:v>0.53100000000000003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CiModifier!$C$4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CiModifier!$C$5:$C$14</c:f>
              <c:numCache>
                <c:formatCode>General</c:formatCode>
                <c:ptCount val="10"/>
                <c:pt idx="0">
                  <c:v>0.1</c:v>
                </c:pt>
                <c:pt idx="1">
                  <c:v>0.1502</c:v>
                </c:pt>
                <c:pt idx="2">
                  <c:v>0.20040000000000002</c:v>
                </c:pt>
                <c:pt idx="3">
                  <c:v>0.25060000000000004</c:v>
                </c:pt>
                <c:pt idx="4">
                  <c:v>0.30080000000000001</c:v>
                </c:pt>
                <c:pt idx="5">
                  <c:v>0.35099999999999998</c:v>
                </c:pt>
                <c:pt idx="6">
                  <c:v>0.4012</c:v>
                </c:pt>
                <c:pt idx="7">
                  <c:v>0.45140000000000002</c:v>
                </c:pt>
                <c:pt idx="8">
                  <c:v>0.50160000000000005</c:v>
                </c:pt>
                <c:pt idx="9">
                  <c:v>0.55180000000000007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CiModifier!$D$4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CiModifier!$D$5:$D$14</c:f>
              <c:numCache>
                <c:formatCode>General</c:formatCode>
                <c:ptCount val="10"/>
                <c:pt idx="0">
                  <c:v>0.2</c:v>
                </c:pt>
                <c:pt idx="1">
                  <c:v>0.2414</c:v>
                </c:pt>
                <c:pt idx="2">
                  <c:v>0.2828</c:v>
                </c:pt>
                <c:pt idx="3">
                  <c:v>0.32419999999999999</c:v>
                </c:pt>
                <c:pt idx="4">
                  <c:v>0.36559999999999998</c:v>
                </c:pt>
                <c:pt idx="5">
                  <c:v>0.40700000000000003</c:v>
                </c:pt>
                <c:pt idx="6">
                  <c:v>0.44840000000000002</c:v>
                </c:pt>
                <c:pt idx="7">
                  <c:v>0.48979999999999996</c:v>
                </c:pt>
                <c:pt idx="8">
                  <c:v>0.53119999999999989</c:v>
                </c:pt>
                <c:pt idx="9">
                  <c:v>0.5726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CiModifier!$E$4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CiModifier!$E$5:$E$14</c:f>
              <c:numCache>
                <c:formatCode>General</c:formatCode>
                <c:ptCount val="10"/>
                <c:pt idx="0">
                  <c:v>0.3</c:v>
                </c:pt>
                <c:pt idx="1">
                  <c:v>0.33260000000000001</c:v>
                </c:pt>
                <c:pt idx="2">
                  <c:v>0.36519999999999997</c:v>
                </c:pt>
                <c:pt idx="3">
                  <c:v>0.39779999999999999</c:v>
                </c:pt>
                <c:pt idx="4">
                  <c:v>0.4304</c:v>
                </c:pt>
                <c:pt idx="5">
                  <c:v>0.46299999999999997</c:v>
                </c:pt>
                <c:pt idx="6">
                  <c:v>0.49559999999999998</c:v>
                </c:pt>
                <c:pt idx="7">
                  <c:v>0.5282</c:v>
                </c:pt>
                <c:pt idx="8">
                  <c:v>0.56079999999999997</c:v>
                </c:pt>
                <c:pt idx="9">
                  <c:v>0.59339999999999993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CiModifier!$F$4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CiModifier!$F$5:$F$14</c:f>
              <c:numCache>
                <c:formatCode>General</c:formatCode>
                <c:ptCount val="10"/>
                <c:pt idx="0">
                  <c:v>0.4</c:v>
                </c:pt>
                <c:pt idx="1">
                  <c:v>0.42380000000000001</c:v>
                </c:pt>
                <c:pt idx="2">
                  <c:v>0.4476</c:v>
                </c:pt>
                <c:pt idx="3">
                  <c:v>0.47139999999999999</c:v>
                </c:pt>
                <c:pt idx="4">
                  <c:v>0.49519999999999997</c:v>
                </c:pt>
                <c:pt idx="5">
                  <c:v>0.51900000000000002</c:v>
                </c:pt>
                <c:pt idx="6">
                  <c:v>0.54279999999999995</c:v>
                </c:pt>
                <c:pt idx="7">
                  <c:v>0.56659999999999999</c:v>
                </c:pt>
                <c:pt idx="8">
                  <c:v>0.59040000000000004</c:v>
                </c:pt>
                <c:pt idx="9">
                  <c:v>0.61419999999999997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CiModifier!$G$4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CiModifier!$G$5:$G$14</c:f>
              <c:numCache>
                <c:formatCode>General</c:formatCode>
                <c:ptCount val="10"/>
                <c:pt idx="0">
                  <c:v>0.5</c:v>
                </c:pt>
                <c:pt idx="1">
                  <c:v>0.51500000000000001</c:v>
                </c:pt>
                <c:pt idx="2">
                  <c:v>0.53</c:v>
                </c:pt>
                <c:pt idx="3">
                  <c:v>0.54499999999999993</c:v>
                </c:pt>
                <c:pt idx="4">
                  <c:v>0.55999999999999994</c:v>
                </c:pt>
                <c:pt idx="5">
                  <c:v>0.57499999999999996</c:v>
                </c:pt>
                <c:pt idx="6">
                  <c:v>0.59</c:v>
                </c:pt>
                <c:pt idx="7">
                  <c:v>0.60499999999999998</c:v>
                </c:pt>
                <c:pt idx="8">
                  <c:v>0.62</c:v>
                </c:pt>
                <c:pt idx="9">
                  <c:v>0.63500000000000001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CiModifier!$H$4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CiModifier!$H$5:$H$14</c:f>
              <c:numCache>
                <c:formatCode>General</c:formatCode>
                <c:ptCount val="10"/>
                <c:pt idx="0">
                  <c:v>0.6</c:v>
                </c:pt>
                <c:pt idx="1">
                  <c:v>0.60619999999999996</c:v>
                </c:pt>
                <c:pt idx="2">
                  <c:v>0.61239999999999994</c:v>
                </c:pt>
                <c:pt idx="3">
                  <c:v>0.61859999999999993</c:v>
                </c:pt>
                <c:pt idx="4">
                  <c:v>0.62480000000000002</c:v>
                </c:pt>
                <c:pt idx="5">
                  <c:v>0.63100000000000001</c:v>
                </c:pt>
                <c:pt idx="6">
                  <c:v>0.63719999999999999</c:v>
                </c:pt>
                <c:pt idx="7">
                  <c:v>0.64339999999999997</c:v>
                </c:pt>
                <c:pt idx="8">
                  <c:v>0.64959999999999996</c:v>
                </c:pt>
                <c:pt idx="9">
                  <c:v>0.65579999999999994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CiModifier!$I$4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CiModifier!$I$5:$I$14</c:f>
              <c:numCache>
                <c:formatCode>General</c:formatCode>
                <c:ptCount val="10"/>
                <c:pt idx="0">
                  <c:v>0.7</c:v>
                </c:pt>
                <c:pt idx="1">
                  <c:v>0.69739999999999991</c:v>
                </c:pt>
                <c:pt idx="2">
                  <c:v>0.69479999999999997</c:v>
                </c:pt>
                <c:pt idx="3">
                  <c:v>0.69219999999999993</c:v>
                </c:pt>
                <c:pt idx="4">
                  <c:v>0.68959999999999999</c:v>
                </c:pt>
                <c:pt idx="5">
                  <c:v>0.68699999999999994</c:v>
                </c:pt>
                <c:pt idx="6">
                  <c:v>0.68440000000000001</c:v>
                </c:pt>
                <c:pt idx="7">
                  <c:v>0.68179999999999996</c:v>
                </c:pt>
                <c:pt idx="8">
                  <c:v>0.67920000000000003</c:v>
                </c:pt>
                <c:pt idx="9">
                  <c:v>0.67659999999999998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CiModifier!$J$4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CiModifier!$J$5:$J$14</c:f>
              <c:numCache>
                <c:formatCode>General</c:formatCode>
                <c:ptCount val="10"/>
                <c:pt idx="0">
                  <c:v>0.8</c:v>
                </c:pt>
                <c:pt idx="1">
                  <c:v>0.78860000000000008</c:v>
                </c:pt>
                <c:pt idx="2">
                  <c:v>0.7772</c:v>
                </c:pt>
                <c:pt idx="3">
                  <c:v>0.76580000000000004</c:v>
                </c:pt>
                <c:pt idx="4">
                  <c:v>0.75439999999999996</c:v>
                </c:pt>
                <c:pt idx="5">
                  <c:v>0.74299999999999999</c:v>
                </c:pt>
                <c:pt idx="6">
                  <c:v>0.73160000000000003</c:v>
                </c:pt>
                <c:pt idx="7">
                  <c:v>0.72019999999999995</c:v>
                </c:pt>
                <c:pt idx="8">
                  <c:v>0.70879999999999999</c:v>
                </c:pt>
                <c:pt idx="9">
                  <c:v>0.69739999999999991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CiModifier!$K$4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CiModifier!$K$5:$K$14</c:f>
              <c:numCache>
                <c:formatCode>General</c:formatCode>
                <c:ptCount val="10"/>
                <c:pt idx="0">
                  <c:v>0.9</c:v>
                </c:pt>
                <c:pt idx="1">
                  <c:v>0.87980000000000003</c:v>
                </c:pt>
                <c:pt idx="2">
                  <c:v>0.85960000000000003</c:v>
                </c:pt>
                <c:pt idx="3">
                  <c:v>0.83940000000000003</c:v>
                </c:pt>
                <c:pt idx="4">
                  <c:v>0.81920000000000004</c:v>
                </c:pt>
                <c:pt idx="5">
                  <c:v>0.79900000000000004</c:v>
                </c:pt>
                <c:pt idx="6">
                  <c:v>0.77880000000000005</c:v>
                </c:pt>
                <c:pt idx="7">
                  <c:v>0.75860000000000005</c:v>
                </c:pt>
                <c:pt idx="8">
                  <c:v>0.73839999999999995</c:v>
                </c:pt>
                <c:pt idx="9">
                  <c:v>0.71819999999999995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CiModifier!$L$4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CiModifier!$A$5:$A$14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CiModifier!$L$5:$L$14</c:f>
              <c:numCache>
                <c:formatCode>General</c:formatCode>
                <c:ptCount val="10"/>
                <c:pt idx="0">
                  <c:v>1</c:v>
                </c:pt>
                <c:pt idx="1">
                  <c:v>0.97099999999999997</c:v>
                </c:pt>
                <c:pt idx="2">
                  <c:v>0.94199999999999995</c:v>
                </c:pt>
                <c:pt idx="3">
                  <c:v>0.91300000000000003</c:v>
                </c:pt>
                <c:pt idx="4">
                  <c:v>0.88400000000000001</c:v>
                </c:pt>
                <c:pt idx="5">
                  <c:v>0.85499999999999998</c:v>
                </c:pt>
                <c:pt idx="6">
                  <c:v>0.82599999999999996</c:v>
                </c:pt>
                <c:pt idx="7">
                  <c:v>0.79699999999999993</c:v>
                </c:pt>
                <c:pt idx="8">
                  <c:v>0.76800000000000002</c:v>
                </c:pt>
                <c:pt idx="9">
                  <c:v>0.73899999999999988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94336"/>
        <c:axId val="472894728"/>
      </c:scatterChart>
      <c:valAx>
        <c:axId val="4728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Ozone 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4728"/>
        <c:crosses val="autoZero"/>
        <c:crossBetween val="midCat"/>
      </c:valAx>
      <c:valAx>
        <c:axId val="472894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36111111111125"/>
          <c:y val="7.2543379994167392E-2"/>
          <c:w val="0.11497222222222223"/>
          <c:h val="0.8368110236220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Intermediate by O3</a:t>
            </a:r>
            <a:r>
              <a:rPr lang="en-US" baseline="0"/>
              <a:t> Dose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CiModifier!$A$24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CiModifier!$B$24:$L$24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CiModifier!$A$25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CiModifier!$B$25:$L$25</c:f>
              <c:numCache>
                <c:formatCode>General</c:formatCode>
                <c:ptCount val="11"/>
                <c:pt idx="0">
                  <c:v>3.1E-2</c:v>
                </c:pt>
                <c:pt idx="1">
                  <c:v>0.1236</c:v>
                </c:pt>
                <c:pt idx="2">
                  <c:v>0.2162</c:v>
                </c:pt>
                <c:pt idx="3">
                  <c:v>0.30879999999999996</c:v>
                </c:pt>
                <c:pt idx="4">
                  <c:v>0.40140000000000003</c:v>
                </c:pt>
                <c:pt idx="5">
                  <c:v>0.49399999999999999</c:v>
                </c:pt>
                <c:pt idx="6">
                  <c:v>0.58660000000000001</c:v>
                </c:pt>
                <c:pt idx="7">
                  <c:v>0.67919999999999991</c:v>
                </c:pt>
                <c:pt idx="8">
                  <c:v>0.77180000000000004</c:v>
                </c:pt>
                <c:pt idx="9">
                  <c:v>0.86440000000000006</c:v>
                </c:pt>
                <c:pt idx="10">
                  <c:v>0.95699999999999996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CiModifier!$A$26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CiModifier!$B$26:$L$26</c:f>
              <c:numCache>
                <c:formatCode>General</c:formatCode>
                <c:ptCount val="11"/>
                <c:pt idx="0">
                  <c:v>6.2E-2</c:v>
                </c:pt>
                <c:pt idx="1">
                  <c:v>0.1472</c:v>
                </c:pt>
                <c:pt idx="2">
                  <c:v>0.2324</c:v>
                </c:pt>
                <c:pt idx="3">
                  <c:v>0.31759999999999999</c:v>
                </c:pt>
                <c:pt idx="4">
                  <c:v>0.40279999999999999</c:v>
                </c:pt>
                <c:pt idx="5">
                  <c:v>0.48799999999999999</c:v>
                </c:pt>
                <c:pt idx="6">
                  <c:v>0.57319999999999993</c:v>
                </c:pt>
                <c:pt idx="7">
                  <c:v>0.65839999999999999</c:v>
                </c:pt>
                <c:pt idx="8">
                  <c:v>0.74360000000000004</c:v>
                </c:pt>
                <c:pt idx="9">
                  <c:v>0.82879999999999998</c:v>
                </c:pt>
                <c:pt idx="10">
                  <c:v>0.91400000000000003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CiModifier!$A$27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CiModifier!$B$27:$L$27</c:f>
              <c:numCache>
                <c:formatCode>General</c:formatCode>
                <c:ptCount val="11"/>
                <c:pt idx="0">
                  <c:v>9.2999999999999999E-2</c:v>
                </c:pt>
                <c:pt idx="1">
                  <c:v>0.17080000000000001</c:v>
                </c:pt>
                <c:pt idx="2">
                  <c:v>0.24859999999999999</c:v>
                </c:pt>
                <c:pt idx="3">
                  <c:v>0.32639999999999997</c:v>
                </c:pt>
                <c:pt idx="4">
                  <c:v>0.4042</c:v>
                </c:pt>
                <c:pt idx="5">
                  <c:v>0.48199999999999998</c:v>
                </c:pt>
                <c:pt idx="6">
                  <c:v>0.55979999999999996</c:v>
                </c:pt>
                <c:pt idx="7">
                  <c:v>0.63759999999999994</c:v>
                </c:pt>
                <c:pt idx="8">
                  <c:v>0.71540000000000004</c:v>
                </c:pt>
                <c:pt idx="9">
                  <c:v>0.79320000000000002</c:v>
                </c:pt>
                <c:pt idx="10">
                  <c:v>0.871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CiModifier!$A$28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CiModifier!$B$28:$L$28</c:f>
              <c:numCache>
                <c:formatCode>General</c:formatCode>
                <c:ptCount val="11"/>
                <c:pt idx="0">
                  <c:v>0.124</c:v>
                </c:pt>
                <c:pt idx="1">
                  <c:v>0.19439999999999999</c:v>
                </c:pt>
                <c:pt idx="2">
                  <c:v>0.26479999999999998</c:v>
                </c:pt>
                <c:pt idx="3">
                  <c:v>0.3352</c:v>
                </c:pt>
                <c:pt idx="4">
                  <c:v>0.40560000000000002</c:v>
                </c:pt>
                <c:pt idx="5">
                  <c:v>0.47599999999999998</c:v>
                </c:pt>
                <c:pt idx="6">
                  <c:v>0.5464</c:v>
                </c:pt>
                <c:pt idx="7">
                  <c:v>0.61680000000000001</c:v>
                </c:pt>
                <c:pt idx="8">
                  <c:v>0.68720000000000003</c:v>
                </c:pt>
                <c:pt idx="9">
                  <c:v>0.75760000000000005</c:v>
                </c:pt>
                <c:pt idx="10">
                  <c:v>0.82800000000000007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CiModifier!$A$29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CiModifier!$B$29:$L$29</c:f>
              <c:numCache>
                <c:formatCode>General</c:formatCode>
                <c:ptCount val="11"/>
                <c:pt idx="0">
                  <c:v>0.155</c:v>
                </c:pt>
                <c:pt idx="1">
                  <c:v>0.21799999999999997</c:v>
                </c:pt>
                <c:pt idx="2">
                  <c:v>0.28100000000000003</c:v>
                </c:pt>
                <c:pt idx="3">
                  <c:v>0.34399999999999997</c:v>
                </c:pt>
                <c:pt idx="4">
                  <c:v>0.40699999999999997</c:v>
                </c:pt>
                <c:pt idx="5">
                  <c:v>0.47</c:v>
                </c:pt>
                <c:pt idx="6">
                  <c:v>0.53299999999999992</c:v>
                </c:pt>
                <c:pt idx="7">
                  <c:v>0.59599999999999997</c:v>
                </c:pt>
                <c:pt idx="8">
                  <c:v>0.65900000000000003</c:v>
                </c:pt>
                <c:pt idx="9">
                  <c:v>0.72199999999999998</c:v>
                </c:pt>
                <c:pt idx="10">
                  <c:v>0.78500000000000003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CiModifier!$A$30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CiModifier!$B$30:$L$30</c:f>
              <c:numCache>
                <c:formatCode>General</c:formatCode>
                <c:ptCount val="11"/>
                <c:pt idx="0">
                  <c:v>0.186</c:v>
                </c:pt>
                <c:pt idx="1">
                  <c:v>0.24159999999999998</c:v>
                </c:pt>
                <c:pt idx="2">
                  <c:v>0.29720000000000002</c:v>
                </c:pt>
                <c:pt idx="3">
                  <c:v>0.3528</c:v>
                </c:pt>
                <c:pt idx="4">
                  <c:v>0.40839999999999999</c:v>
                </c:pt>
                <c:pt idx="5">
                  <c:v>0.46399999999999997</c:v>
                </c:pt>
                <c:pt idx="6">
                  <c:v>0.51959999999999995</c:v>
                </c:pt>
                <c:pt idx="7">
                  <c:v>0.57519999999999993</c:v>
                </c:pt>
                <c:pt idx="8">
                  <c:v>0.63080000000000003</c:v>
                </c:pt>
                <c:pt idx="9">
                  <c:v>0.68640000000000001</c:v>
                </c:pt>
                <c:pt idx="10">
                  <c:v>0.74199999999999999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CiModifier!$A$31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CiModifier!$B$31:$L$31</c:f>
              <c:numCache>
                <c:formatCode>General</c:formatCode>
                <c:ptCount val="11"/>
                <c:pt idx="0">
                  <c:v>0.217</c:v>
                </c:pt>
                <c:pt idx="1">
                  <c:v>0.26519999999999999</c:v>
                </c:pt>
                <c:pt idx="2">
                  <c:v>0.31340000000000001</c:v>
                </c:pt>
                <c:pt idx="3">
                  <c:v>0.36159999999999998</c:v>
                </c:pt>
                <c:pt idx="4">
                  <c:v>0.4098</c:v>
                </c:pt>
                <c:pt idx="5">
                  <c:v>0.45799999999999996</c:v>
                </c:pt>
                <c:pt idx="6">
                  <c:v>0.50619999999999998</c:v>
                </c:pt>
                <c:pt idx="7">
                  <c:v>0.5544</c:v>
                </c:pt>
                <c:pt idx="8">
                  <c:v>0.60260000000000002</c:v>
                </c:pt>
                <c:pt idx="9">
                  <c:v>0.65080000000000005</c:v>
                </c:pt>
                <c:pt idx="10">
                  <c:v>0.69900000000000007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CiModifier!$A$32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CiModifier!$B$32:$L$32</c:f>
              <c:numCache>
                <c:formatCode>General</c:formatCode>
                <c:ptCount val="11"/>
                <c:pt idx="0">
                  <c:v>0.248</c:v>
                </c:pt>
                <c:pt idx="1">
                  <c:v>0.28879999999999995</c:v>
                </c:pt>
                <c:pt idx="2">
                  <c:v>0.3296</c:v>
                </c:pt>
                <c:pt idx="3">
                  <c:v>0.37039999999999995</c:v>
                </c:pt>
                <c:pt idx="4">
                  <c:v>0.41120000000000001</c:v>
                </c:pt>
                <c:pt idx="5">
                  <c:v>0.45199999999999996</c:v>
                </c:pt>
                <c:pt idx="6">
                  <c:v>0.4927999999999999</c:v>
                </c:pt>
                <c:pt idx="7">
                  <c:v>0.53359999999999996</c:v>
                </c:pt>
                <c:pt idx="8">
                  <c:v>0.57440000000000002</c:v>
                </c:pt>
                <c:pt idx="9">
                  <c:v>0.61519999999999997</c:v>
                </c:pt>
                <c:pt idx="10">
                  <c:v>0.65600000000000003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CiModifier!$A$33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CiModifier!$B$23:$L$23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CiModifier!$B$33:$L$33</c:f>
              <c:numCache>
                <c:formatCode>General</c:formatCode>
                <c:ptCount val="11"/>
                <c:pt idx="0">
                  <c:v>0.27899999999999997</c:v>
                </c:pt>
                <c:pt idx="1">
                  <c:v>0.31240000000000001</c:v>
                </c:pt>
                <c:pt idx="2">
                  <c:v>0.3458</c:v>
                </c:pt>
                <c:pt idx="3">
                  <c:v>0.37919999999999998</c:v>
                </c:pt>
                <c:pt idx="4">
                  <c:v>0.41259999999999997</c:v>
                </c:pt>
                <c:pt idx="5">
                  <c:v>0.44599999999999995</c:v>
                </c:pt>
                <c:pt idx="6">
                  <c:v>0.47939999999999994</c:v>
                </c:pt>
                <c:pt idx="7">
                  <c:v>0.51279999999999992</c:v>
                </c:pt>
                <c:pt idx="8">
                  <c:v>0.54620000000000002</c:v>
                </c:pt>
                <c:pt idx="9">
                  <c:v>0.5796</c:v>
                </c:pt>
                <c:pt idx="10">
                  <c:v>0.61299999999999999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95512"/>
        <c:axId val="472895904"/>
      </c:scatterChart>
      <c:valAx>
        <c:axId val="472895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5904"/>
        <c:crosses val="autoZero"/>
        <c:crossBetween val="midCat"/>
      </c:valAx>
      <c:valAx>
        <c:axId val="472895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88888888888894"/>
          <c:y val="8.6432268883056301E-2"/>
          <c:w val="0.10957983193277311"/>
          <c:h val="0.77472262909874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Sensitive by fWater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CiModifier!$B$23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CiModifier!$B$24:$B$33</c:f>
              <c:numCache>
                <c:formatCode>General</c:formatCode>
                <c:ptCount val="10"/>
                <c:pt idx="0">
                  <c:v>0</c:v>
                </c:pt>
                <c:pt idx="1">
                  <c:v>3.1E-2</c:v>
                </c:pt>
                <c:pt idx="2">
                  <c:v>6.2E-2</c:v>
                </c:pt>
                <c:pt idx="3">
                  <c:v>9.2999999999999999E-2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0.27899999999999997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CiModifier!$C$23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CiModifier!$C$24:$C$33</c:f>
              <c:numCache>
                <c:formatCode>General</c:formatCode>
                <c:ptCount val="10"/>
                <c:pt idx="0">
                  <c:v>0.1</c:v>
                </c:pt>
                <c:pt idx="1">
                  <c:v>0.1236</c:v>
                </c:pt>
                <c:pt idx="2">
                  <c:v>0.1472</c:v>
                </c:pt>
                <c:pt idx="3">
                  <c:v>0.17080000000000001</c:v>
                </c:pt>
                <c:pt idx="4">
                  <c:v>0.19439999999999999</c:v>
                </c:pt>
                <c:pt idx="5">
                  <c:v>0.21799999999999997</c:v>
                </c:pt>
                <c:pt idx="6">
                  <c:v>0.24159999999999998</c:v>
                </c:pt>
                <c:pt idx="7">
                  <c:v>0.26519999999999999</c:v>
                </c:pt>
                <c:pt idx="8">
                  <c:v>0.28879999999999995</c:v>
                </c:pt>
                <c:pt idx="9">
                  <c:v>0.31240000000000001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CiModifier!$D$23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CiModifier!$D$24:$D$33</c:f>
              <c:numCache>
                <c:formatCode>General</c:formatCode>
                <c:ptCount val="10"/>
                <c:pt idx="0">
                  <c:v>0.2</c:v>
                </c:pt>
                <c:pt idx="1">
                  <c:v>0.2162</c:v>
                </c:pt>
                <c:pt idx="2">
                  <c:v>0.2324</c:v>
                </c:pt>
                <c:pt idx="3">
                  <c:v>0.24859999999999999</c:v>
                </c:pt>
                <c:pt idx="4">
                  <c:v>0.26479999999999998</c:v>
                </c:pt>
                <c:pt idx="5">
                  <c:v>0.28100000000000003</c:v>
                </c:pt>
                <c:pt idx="6">
                  <c:v>0.29720000000000002</c:v>
                </c:pt>
                <c:pt idx="7">
                  <c:v>0.31340000000000001</c:v>
                </c:pt>
                <c:pt idx="8">
                  <c:v>0.3296</c:v>
                </c:pt>
                <c:pt idx="9">
                  <c:v>0.3458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CiModifier!$E$23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CiModifier!$E$24:$E$33</c:f>
              <c:numCache>
                <c:formatCode>General</c:formatCode>
                <c:ptCount val="10"/>
                <c:pt idx="0">
                  <c:v>0.3</c:v>
                </c:pt>
                <c:pt idx="1">
                  <c:v>0.30879999999999996</c:v>
                </c:pt>
                <c:pt idx="2">
                  <c:v>0.31759999999999999</c:v>
                </c:pt>
                <c:pt idx="3">
                  <c:v>0.32639999999999997</c:v>
                </c:pt>
                <c:pt idx="4">
                  <c:v>0.3352</c:v>
                </c:pt>
                <c:pt idx="5">
                  <c:v>0.34399999999999997</c:v>
                </c:pt>
                <c:pt idx="6">
                  <c:v>0.3528</c:v>
                </c:pt>
                <c:pt idx="7">
                  <c:v>0.36159999999999998</c:v>
                </c:pt>
                <c:pt idx="8">
                  <c:v>0.37039999999999995</c:v>
                </c:pt>
                <c:pt idx="9">
                  <c:v>0.37919999999999998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CiModifier!$F$23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CiModifier!$F$24:$F$33</c:f>
              <c:numCache>
                <c:formatCode>General</c:formatCode>
                <c:ptCount val="10"/>
                <c:pt idx="0">
                  <c:v>0.4</c:v>
                </c:pt>
                <c:pt idx="1">
                  <c:v>0.40140000000000003</c:v>
                </c:pt>
                <c:pt idx="2">
                  <c:v>0.40279999999999999</c:v>
                </c:pt>
                <c:pt idx="3">
                  <c:v>0.4042</c:v>
                </c:pt>
                <c:pt idx="4">
                  <c:v>0.40560000000000002</c:v>
                </c:pt>
                <c:pt idx="5">
                  <c:v>0.40699999999999997</c:v>
                </c:pt>
                <c:pt idx="6">
                  <c:v>0.40839999999999999</c:v>
                </c:pt>
                <c:pt idx="7">
                  <c:v>0.4098</c:v>
                </c:pt>
                <c:pt idx="8">
                  <c:v>0.41120000000000001</c:v>
                </c:pt>
                <c:pt idx="9">
                  <c:v>0.41259999999999997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CiModifier!$G$23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CiModifier!$G$24:$G$33</c:f>
              <c:numCache>
                <c:formatCode>General</c:formatCode>
                <c:ptCount val="10"/>
                <c:pt idx="0">
                  <c:v>0.5</c:v>
                </c:pt>
                <c:pt idx="1">
                  <c:v>0.49399999999999999</c:v>
                </c:pt>
                <c:pt idx="2">
                  <c:v>0.48799999999999999</c:v>
                </c:pt>
                <c:pt idx="3">
                  <c:v>0.48199999999999998</c:v>
                </c:pt>
                <c:pt idx="4">
                  <c:v>0.47599999999999998</c:v>
                </c:pt>
                <c:pt idx="5">
                  <c:v>0.47</c:v>
                </c:pt>
                <c:pt idx="6">
                  <c:v>0.46399999999999997</c:v>
                </c:pt>
                <c:pt idx="7">
                  <c:v>0.45799999999999996</c:v>
                </c:pt>
                <c:pt idx="8">
                  <c:v>0.45199999999999996</c:v>
                </c:pt>
                <c:pt idx="9">
                  <c:v>0.44599999999999995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CiModifier!$H$23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CiModifier!$H$24:$H$33</c:f>
              <c:numCache>
                <c:formatCode>General</c:formatCode>
                <c:ptCount val="10"/>
                <c:pt idx="0">
                  <c:v>0.6</c:v>
                </c:pt>
                <c:pt idx="1">
                  <c:v>0.58660000000000001</c:v>
                </c:pt>
                <c:pt idx="2">
                  <c:v>0.57319999999999993</c:v>
                </c:pt>
                <c:pt idx="3">
                  <c:v>0.55979999999999996</c:v>
                </c:pt>
                <c:pt idx="4">
                  <c:v>0.5464</c:v>
                </c:pt>
                <c:pt idx="5">
                  <c:v>0.53299999999999992</c:v>
                </c:pt>
                <c:pt idx="6">
                  <c:v>0.51959999999999995</c:v>
                </c:pt>
                <c:pt idx="7">
                  <c:v>0.50619999999999998</c:v>
                </c:pt>
                <c:pt idx="8">
                  <c:v>0.4927999999999999</c:v>
                </c:pt>
                <c:pt idx="9">
                  <c:v>0.47939999999999994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CiModifier!$I$23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CiModifier!$I$24:$I$33</c:f>
              <c:numCache>
                <c:formatCode>General</c:formatCode>
                <c:ptCount val="10"/>
                <c:pt idx="0">
                  <c:v>0.7</c:v>
                </c:pt>
                <c:pt idx="1">
                  <c:v>0.67919999999999991</c:v>
                </c:pt>
                <c:pt idx="2">
                  <c:v>0.65839999999999999</c:v>
                </c:pt>
                <c:pt idx="3">
                  <c:v>0.63759999999999994</c:v>
                </c:pt>
                <c:pt idx="4">
                  <c:v>0.61680000000000001</c:v>
                </c:pt>
                <c:pt idx="5">
                  <c:v>0.59599999999999997</c:v>
                </c:pt>
                <c:pt idx="6">
                  <c:v>0.57519999999999993</c:v>
                </c:pt>
                <c:pt idx="7">
                  <c:v>0.5544</c:v>
                </c:pt>
                <c:pt idx="8">
                  <c:v>0.53359999999999996</c:v>
                </c:pt>
                <c:pt idx="9">
                  <c:v>0.51279999999999992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CiModifier!$J$23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CiModifier!$J$24:$J$33</c:f>
              <c:numCache>
                <c:formatCode>General</c:formatCode>
                <c:ptCount val="10"/>
                <c:pt idx="0">
                  <c:v>0.8</c:v>
                </c:pt>
                <c:pt idx="1">
                  <c:v>0.77180000000000004</c:v>
                </c:pt>
                <c:pt idx="2">
                  <c:v>0.74360000000000004</c:v>
                </c:pt>
                <c:pt idx="3">
                  <c:v>0.71540000000000004</c:v>
                </c:pt>
                <c:pt idx="4">
                  <c:v>0.68720000000000003</c:v>
                </c:pt>
                <c:pt idx="5">
                  <c:v>0.65900000000000003</c:v>
                </c:pt>
                <c:pt idx="6">
                  <c:v>0.63080000000000003</c:v>
                </c:pt>
                <c:pt idx="7">
                  <c:v>0.60260000000000002</c:v>
                </c:pt>
                <c:pt idx="8">
                  <c:v>0.57440000000000002</c:v>
                </c:pt>
                <c:pt idx="9">
                  <c:v>0.54620000000000002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CiModifier!$K$23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CiModifier!$K$24:$K$33</c:f>
              <c:numCache>
                <c:formatCode>General</c:formatCode>
                <c:ptCount val="10"/>
                <c:pt idx="0">
                  <c:v>0.9</c:v>
                </c:pt>
                <c:pt idx="1">
                  <c:v>0.86440000000000006</c:v>
                </c:pt>
                <c:pt idx="2">
                  <c:v>0.82879999999999998</c:v>
                </c:pt>
                <c:pt idx="3">
                  <c:v>0.79320000000000002</c:v>
                </c:pt>
                <c:pt idx="4">
                  <c:v>0.75760000000000005</c:v>
                </c:pt>
                <c:pt idx="5">
                  <c:v>0.72199999999999998</c:v>
                </c:pt>
                <c:pt idx="6">
                  <c:v>0.68640000000000001</c:v>
                </c:pt>
                <c:pt idx="7">
                  <c:v>0.65080000000000005</c:v>
                </c:pt>
                <c:pt idx="8">
                  <c:v>0.61519999999999997</c:v>
                </c:pt>
                <c:pt idx="9">
                  <c:v>0.5796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CiModifier!$L$23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CiModifier!$A$24:$A$33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CiModifier!$L$24:$L$33</c:f>
              <c:numCache>
                <c:formatCode>General</c:formatCode>
                <c:ptCount val="10"/>
                <c:pt idx="0">
                  <c:v>1</c:v>
                </c:pt>
                <c:pt idx="1">
                  <c:v>0.95699999999999996</c:v>
                </c:pt>
                <c:pt idx="2">
                  <c:v>0.91400000000000003</c:v>
                </c:pt>
                <c:pt idx="3">
                  <c:v>0.871</c:v>
                </c:pt>
                <c:pt idx="4">
                  <c:v>0.82800000000000007</c:v>
                </c:pt>
                <c:pt idx="5">
                  <c:v>0.78500000000000003</c:v>
                </c:pt>
                <c:pt idx="6">
                  <c:v>0.74199999999999999</c:v>
                </c:pt>
                <c:pt idx="7">
                  <c:v>0.69900000000000007</c:v>
                </c:pt>
                <c:pt idx="8">
                  <c:v>0.65600000000000003</c:v>
                </c:pt>
                <c:pt idx="9">
                  <c:v>0.61299999999999999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96688"/>
        <c:axId val="472897080"/>
      </c:scatterChart>
      <c:valAx>
        <c:axId val="4728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Ozone 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7080"/>
        <c:crosses val="autoZero"/>
        <c:crossBetween val="midCat"/>
      </c:valAx>
      <c:valAx>
        <c:axId val="472897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36111111111125"/>
          <c:y val="7.2543379994167392E-2"/>
          <c:w val="0.11497222222222223"/>
          <c:h val="0.8645888013998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Tolerant by O3</a:t>
            </a:r>
            <a:r>
              <a:rPr lang="en-US" baseline="0"/>
              <a:t> Dose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CiModifier!$A$43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CiModifier!$B$43:$L$43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CiModifier!$A$44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CiModifier!$B$44:$L$44</c:f>
              <c:numCache>
                <c:formatCode>General</c:formatCode>
                <c:ptCount val="11"/>
                <c:pt idx="0">
                  <c:v>4.3499999999999997E-2</c:v>
                </c:pt>
                <c:pt idx="1">
                  <c:v>0.13300000000000001</c:v>
                </c:pt>
                <c:pt idx="2">
                  <c:v>0.2225</c:v>
                </c:pt>
                <c:pt idx="3">
                  <c:v>0.312</c:v>
                </c:pt>
                <c:pt idx="4">
                  <c:v>0.40150000000000002</c:v>
                </c:pt>
                <c:pt idx="5">
                  <c:v>0.49099999999999999</c:v>
                </c:pt>
                <c:pt idx="6">
                  <c:v>0.58050000000000002</c:v>
                </c:pt>
                <c:pt idx="7">
                  <c:v>0.66999999999999993</c:v>
                </c:pt>
                <c:pt idx="8">
                  <c:v>0.75950000000000006</c:v>
                </c:pt>
                <c:pt idx="9">
                  <c:v>0.84899999999999998</c:v>
                </c:pt>
                <c:pt idx="10">
                  <c:v>0.9385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CiModifier!$A$45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CiModifier!$B$45:$L$45</c:f>
              <c:numCache>
                <c:formatCode>General</c:formatCode>
                <c:ptCount val="11"/>
                <c:pt idx="0">
                  <c:v>8.6999999999999994E-2</c:v>
                </c:pt>
                <c:pt idx="1">
                  <c:v>0.16599999999999998</c:v>
                </c:pt>
                <c:pt idx="2">
                  <c:v>0.245</c:v>
                </c:pt>
                <c:pt idx="3">
                  <c:v>0.32399999999999995</c:v>
                </c:pt>
                <c:pt idx="4">
                  <c:v>0.40300000000000002</c:v>
                </c:pt>
                <c:pt idx="5">
                  <c:v>0.48199999999999998</c:v>
                </c:pt>
                <c:pt idx="6">
                  <c:v>0.56099999999999994</c:v>
                </c:pt>
                <c:pt idx="7">
                  <c:v>0.6399999999999999</c:v>
                </c:pt>
                <c:pt idx="8">
                  <c:v>0.71899999999999997</c:v>
                </c:pt>
                <c:pt idx="9">
                  <c:v>0.79800000000000004</c:v>
                </c:pt>
                <c:pt idx="10">
                  <c:v>0.877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CiModifier!$A$46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CiModifier!$B$46:$L$46</c:f>
              <c:numCache>
                <c:formatCode>General</c:formatCode>
                <c:ptCount val="11"/>
                <c:pt idx="0">
                  <c:v>0.1305</c:v>
                </c:pt>
                <c:pt idx="1">
                  <c:v>0.19900000000000001</c:v>
                </c:pt>
                <c:pt idx="2">
                  <c:v>0.26749999999999996</c:v>
                </c:pt>
                <c:pt idx="3">
                  <c:v>0.33599999999999997</c:v>
                </c:pt>
                <c:pt idx="4">
                  <c:v>0.40449999999999997</c:v>
                </c:pt>
                <c:pt idx="5">
                  <c:v>0.47299999999999998</c:v>
                </c:pt>
                <c:pt idx="6">
                  <c:v>0.54149999999999998</c:v>
                </c:pt>
                <c:pt idx="7">
                  <c:v>0.61</c:v>
                </c:pt>
                <c:pt idx="8">
                  <c:v>0.67849999999999999</c:v>
                </c:pt>
                <c:pt idx="9">
                  <c:v>0.747</c:v>
                </c:pt>
                <c:pt idx="10">
                  <c:v>0.8155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CiModifier!$A$47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CiModifier!$B$47:$L$47</c:f>
              <c:numCache>
                <c:formatCode>General</c:formatCode>
                <c:ptCount val="11"/>
                <c:pt idx="0">
                  <c:v>0.17399999999999999</c:v>
                </c:pt>
                <c:pt idx="1">
                  <c:v>0.23199999999999998</c:v>
                </c:pt>
                <c:pt idx="2">
                  <c:v>0.28999999999999998</c:v>
                </c:pt>
                <c:pt idx="3">
                  <c:v>0.34799999999999998</c:v>
                </c:pt>
                <c:pt idx="4">
                  <c:v>0.40599999999999997</c:v>
                </c:pt>
                <c:pt idx="5">
                  <c:v>0.46399999999999997</c:v>
                </c:pt>
                <c:pt idx="6">
                  <c:v>0.52200000000000002</c:v>
                </c:pt>
                <c:pt idx="7">
                  <c:v>0.57999999999999996</c:v>
                </c:pt>
                <c:pt idx="8">
                  <c:v>0.63800000000000001</c:v>
                </c:pt>
                <c:pt idx="9">
                  <c:v>0.69599999999999995</c:v>
                </c:pt>
                <c:pt idx="10">
                  <c:v>0.754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CiModifier!$A$48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CiModifier!$B$48:$L$48</c:f>
              <c:numCache>
                <c:formatCode>General</c:formatCode>
                <c:ptCount val="11"/>
                <c:pt idx="0">
                  <c:v>0.21749999999999997</c:v>
                </c:pt>
                <c:pt idx="1">
                  <c:v>0.26500000000000001</c:v>
                </c:pt>
                <c:pt idx="2">
                  <c:v>0.3125</c:v>
                </c:pt>
                <c:pt idx="3">
                  <c:v>0.36</c:v>
                </c:pt>
                <c:pt idx="4">
                  <c:v>0.40749999999999997</c:v>
                </c:pt>
                <c:pt idx="5">
                  <c:v>0.45499999999999996</c:v>
                </c:pt>
                <c:pt idx="6">
                  <c:v>0.50249999999999995</c:v>
                </c:pt>
                <c:pt idx="7">
                  <c:v>0.54999999999999993</c:v>
                </c:pt>
                <c:pt idx="8">
                  <c:v>0.59749999999999992</c:v>
                </c:pt>
                <c:pt idx="9">
                  <c:v>0.64500000000000002</c:v>
                </c:pt>
                <c:pt idx="10">
                  <c:v>0.69249999999999989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CiModifier!$A$49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CiModifier!$B$49:$L$49</c:f>
              <c:numCache>
                <c:formatCode>General</c:formatCode>
                <c:ptCount val="11"/>
                <c:pt idx="0">
                  <c:v>0.26100000000000001</c:v>
                </c:pt>
                <c:pt idx="1">
                  <c:v>0.29799999999999999</c:v>
                </c:pt>
                <c:pt idx="2">
                  <c:v>0.33499999999999996</c:v>
                </c:pt>
                <c:pt idx="3">
                  <c:v>0.372</c:v>
                </c:pt>
                <c:pt idx="4">
                  <c:v>0.40899999999999997</c:v>
                </c:pt>
                <c:pt idx="5">
                  <c:v>0.44599999999999995</c:v>
                </c:pt>
                <c:pt idx="6">
                  <c:v>0.48299999999999998</c:v>
                </c:pt>
                <c:pt idx="7">
                  <c:v>0.52</c:v>
                </c:pt>
                <c:pt idx="8">
                  <c:v>0.55699999999999994</c:v>
                </c:pt>
                <c:pt idx="9">
                  <c:v>0.59399999999999997</c:v>
                </c:pt>
                <c:pt idx="10">
                  <c:v>0.63100000000000001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CiModifier!$A$50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CiModifier!$B$50:$L$50</c:f>
              <c:numCache>
                <c:formatCode>General</c:formatCode>
                <c:ptCount val="11"/>
                <c:pt idx="0">
                  <c:v>0.30449999999999999</c:v>
                </c:pt>
                <c:pt idx="1">
                  <c:v>0.33099999999999996</c:v>
                </c:pt>
                <c:pt idx="2">
                  <c:v>0.35749999999999993</c:v>
                </c:pt>
                <c:pt idx="3">
                  <c:v>0.38399999999999995</c:v>
                </c:pt>
                <c:pt idx="4">
                  <c:v>0.41049999999999998</c:v>
                </c:pt>
                <c:pt idx="5">
                  <c:v>0.43699999999999994</c:v>
                </c:pt>
                <c:pt idx="6">
                  <c:v>0.46349999999999997</c:v>
                </c:pt>
                <c:pt idx="7">
                  <c:v>0.49</c:v>
                </c:pt>
                <c:pt idx="8">
                  <c:v>0.51649999999999996</c:v>
                </c:pt>
                <c:pt idx="9">
                  <c:v>0.54299999999999993</c:v>
                </c:pt>
                <c:pt idx="10">
                  <c:v>0.5694999999999999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CiModifier!$A$51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CiModifier!$B$51:$L$51</c:f>
              <c:numCache>
                <c:formatCode>General</c:formatCode>
                <c:ptCount val="11"/>
                <c:pt idx="0">
                  <c:v>0.34799999999999998</c:v>
                </c:pt>
                <c:pt idx="1">
                  <c:v>0.36399999999999999</c:v>
                </c:pt>
                <c:pt idx="2">
                  <c:v>0.37999999999999995</c:v>
                </c:pt>
                <c:pt idx="3">
                  <c:v>0.39599999999999996</c:v>
                </c:pt>
                <c:pt idx="4">
                  <c:v>0.41199999999999992</c:v>
                </c:pt>
                <c:pt idx="5">
                  <c:v>0.42799999999999994</c:v>
                </c:pt>
                <c:pt idx="6">
                  <c:v>0.44399999999999995</c:v>
                </c:pt>
                <c:pt idx="7">
                  <c:v>0.45999999999999996</c:v>
                </c:pt>
                <c:pt idx="8">
                  <c:v>0.47599999999999992</c:v>
                </c:pt>
                <c:pt idx="9">
                  <c:v>0.49199999999999999</c:v>
                </c:pt>
                <c:pt idx="10">
                  <c:v>0.5079999999999999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CiModifier!$A$52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CiModifier!$B$42:$L$42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CiModifier!$B$52:$L$52</c:f>
              <c:numCache>
                <c:formatCode>General</c:formatCode>
                <c:ptCount val="11"/>
                <c:pt idx="0">
                  <c:v>0.39149999999999996</c:v>
                </c:pt>
                <c:pt idx="1">
                  <c:v>0.39700000000000002</c:v>
                </c:pt>
                <c:pt idx="2">
                  <c:v>0.40249999999999997</c:v>
                </c:pt>
                <c:pt idx="3">
                  <c:v>0.40799999999999997</c:v>
                </c:pt>
                <c:pt idx="4">
                  <c:v>0.41349999999999992</c:v>
                </c:pt>
                <c:pt idx="5">
                  <c:v>0.41899999999999993</c:v>
                </c:pt>
                <c:pt idx="6">
                  <c:v>0.42449999999999993</c:v>
                </c:pt>
                <c:pt idx="7">
                  <c:v>0.42999999999999994</c:v>
                </c:pt>
                <c:pt idx="8">
                  <c:v>0.43549999999999989</c:v>
                </c:pt>
                <c:pt idx="9">
                  <c:v>0.441</c:v>
                </c:pt>
                <c:pt idx="10">
                  <c:v>0.4464999999999999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97864"/>
        <c:axId val="472898256"/>
      </c:scatterChart>
      <c:valAx>
        <c:axId val="472897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8256"/>
        <c:crosses val="autoZero"/>
        <c:crossBetween val="midCat"/>
      </c:valAx>
      <c:valAx>
        <c:axId val="47289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88888888888894"/>
          <c:y val="8.6432268883056301E-2"/>
          <c:w val="0.10957983193277311"/>
          <c:h val="0.77472234904474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Tolerant by fWater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CiModifier!$B$42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CiModifier!$B$43:$B$52</c:f>
              <c:numCache>
                <c:formatCode>General</c:formatCode>
                <c:ptCount val="10"/>
                <c:pt idx="0">
                  <c:v>0</c:v>
                </c:pt>
                <c:pt idx="1">
                  <c:v>4.3499999999999997E-2</c:v>
                </c:pt>
                <c:pt idx="2">
                  <c:v>8.6999999999999994E-2</c:v>
                </c:pt>
                <c:pt idx="3">
                  <c:v>0.1305</c:v>
                </c:pt>
                <c:pt idx="4">
                  <c:v>0.17399999999999999</c:v>
                </c:pt>
                <c:pt idx="5">
                  <c:v>0.21749999999999997</c:v>
                </c:pt>
                <c:pt idx="6">
                  <c:v>0.26100000000000001</c:v>
                </c:pt>
                <c:pt idx="7">
                  <c:v>0.30449999999999999</c:v>
                </c:pt>
                <c:pt idx="8">
                  <c:v>0.34799999999999998</c:v>
                </c:pt>
                <c:pt idx="9">
                  <c:v>0.39149999999999996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CiModifier!$C$42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CiModifier!$C$43:$C$52</c:f>
              <c:numCache>
                <c:formatCode>General</c:formatCode>
                <c:ptCount val="10"/>
                <c:pt idx="0">
                  <c:v>0.1</c:v>
                </c:pt>
                <c:pt idx="1">
                  <c:v>0.13300000000000001</c:v>
                </c:pt>
                <c:pt idx="2">
                  <c:v>0.16599999999999998</c:v>
                </c:pt>
                <c:pt idx="3">
                  <c:v>0.19900000000000001</c:v>
                </c:pt>
                <c:pt idx="4">
                  <c:v>0.23199999999999998</c:v>
                </c:pt>
                <c:pt idx="5">
                  <c:v>0.26500000000000001</c:v>
                </c:pt>
                <c:pt idx="6">
                  <c:v>0.29799999999999999</c:v>
                </c:pt>
                <c:pt idx="7">
                  <c:v>0.33099999999999996</c:v>
                </c:pt>
                <c:pt idx="8">
                  <c:v>0.36399999999999999</c:v>
                </c:pt>
                <c:pt idx="9">
                  <c:v>0.39700000000000002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CiModifier!$D$42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CiModifier!$D$43:$D$52</c:f>
              <c:numCache>
                <c:formatCode>General</c:formatCode>
                <c:ptCount val="10"/>
                <c:pt idx="0">
                  <c:v>0.2</c:v>
                </c:pt>
                <c:pt idx="1">
                  <c:v>0.2225</c:v>
                </c:pt>
                <c:pt idx="2">
                  <c:v>0.245</c:v>
                </c:pt>
                <c:pt idx="3">
                  <c:v>0.26749999999999996</c:v>
                </c:pt>
                <c:pt idx="4">
                  <c:v>0.28999999999999998</c:v>
                </c:pt>
                <c:pt idx="5">
                  <c:v>0.3125</c:v>
                </c:pt>
                <c:pt idx="6">
                  <c:v>0.33499999999999996</c:v>
                </c:pt>
                <c:pt idx="7">
                  <c:v>0.35749999999999993</c:v>
                </c:pt>
                <c:pt idx="8">
                  <c:v>0.37999999999999995</c:v>
                </c:pt>
                <c:pt idx="9">
                  <c:v>0.40249999999999997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CiModifier!$E$42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CiModifier!$E$43:$E$52</c:f>
              <c:numCache>
                <c:formatCode>General</c:formatCode>
                <c:ptCount val="10"/>
                <c:pt idx="0">
                  <c:v>0.3</c:v>
                </c:pt>
                <c:pt idx="1">
                  <c:v>0.312</c:v>
                </c:pt>
                <c:pt idx="2">
                  <c:v>0.32399999999999995</c:v>
                </c:pt>
                <c:pt idx="3">
                  <c:v>0.33599999999999997</c:v>
                </c:pt>
                <c:pt idx="4">
                  <c:v>0.34799999999999998</c:v>
                </c:pt>
                <c:pt idx="5">
                  <c:v>0.36</c:v>
                </c:pt>
                <c:pt idx="6">
                  <c:v>0.372</c:v>
                </c:pt>
                <c:pt idx="7">
                  <c:v>0.38399999999999995</c:v>
                </c:pt>
                <c:pt idx="8">
                  <c:v>0.39599999999999996</c:v>
                </c:pt>
                <c:pt idx="9">
                  <c:v>0.40799999999999997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CiModifier!$F$42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CiModifier!$F$43:$F$52</c:f>
              <c:numCache>
                <c:formatCode>General</c:formatCode>
                <c:ptCount val="10"/>
                <c:pt idx="0">
                  <c:v>0.4</c:v>
                </c:pt>
                <c:pt idx="1">
                  <c:v>0.40150000000000002</c:v>
                </c:pt>
                <c:pt idx="2">
                  <c:v>0.40300000000000002</c:v>
                </c:pt>
                <c:pt idx="3">
                  <c:v>0.40449999999999997</c:v>
                </c:pt>
                <c:pt idx="4">
                  <c:v>0.40599999999999997</c:v>
                </c:pt>
                <c:pt idx="5">
                  <c:v>0.40749999999999997</c:v>
                </c:pt>
                <c:pt idx="6">
                  <c:v>0.40899999999999997</c:v>
                </c:pt>
                <c:pt idx="7">
                  <c:v>0.41049999999999998</c:v>
                </c:pt>
                <c:pt idx="8">
                  <c:v>0.41199999999999992</c:v>
                </c:pt>
                <c:pt idx="9">
                  <c:v>0.41349999999999992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CiModifier!$G$42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CiModifier!$G$43:$G$52</c:f>
              <c:numCache>
                <c:formatCode>General</c:formatCode>
                <c:ptCount val="10"/>
                <c:pt idx="0">
                  <c:v>0.5</c:v>
                </c:pt>
                <c:pt idx="1">
                  <c:v>0.49099999999999999</c:v>
                </c:pt>
                <c:pt idx="2">
                  <c:v>0.48199999999999998</c:v>
                </c:pt>
                <c:pt idx="3">
                  <c:v>0.47299999999999998</c:v>
                </c:pt>
                <c:pt idx="4">
                  <c:v>0.46399999999999997</c:v>
                </c:pt>
                <c:pt idx="5">
                  <c:v>0.45499999999999996</c:v>
                </c:pt>
                <c:pt idx="6">
                  <c:v>0.44599999999999995</c:v>
                </c:pt>
                <c:pt idx="7">
                  <c:v>0.43699999999999994</c:v>
                </c:pt>
                <c:pt idx="8">
                  <c:v>0.42799999999999994</c:v>
                </c:pt>
                <c:pt idx="9">
                  <c:v>0.41899999999999993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CiModifier!$H$42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CiModifier!$H$43:$H$52</c:f>
              <c:numCache>
                <c:formatCode>General</c:formatCode>
                <c:ptCount val="10"/>
                <c:pt idx="0">
                  <c:v>0.6</c:v>
                </c:pt>
                <c:pt idx="1">
                  <c:v>0.58050000000000002</c:v>
                </c:pt>
                <c:pt idx="2">
                  <c:v>0.56099999999999994</c:v>
                </c:pt>
                <c:pt idx="3">
                  <c:v>0.54149999999999998</c:v>
                </c:pt>
                <c:pt idx="4">
                  <c:v>0.52200000000000002</c:v>
                </c:pt>
                <c:pt idx="5">
                  <c:v>0.50249999999999995</c:v>
                </c:pt>
                <c:pt idx="6">
                  <c:v>0.48299999999999998</c:v>
                </c:pt>
                <c:pt idx="7">
                  <c:v>0.46349999999999997</c:v>
                </c:pt>
                <c:pt idx="8">
                  <c:v>0.44399999999999995</c:v>
                </c:pt>
                <c:pt idx="9">
                  <c:v>0.42449999999999993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CiModifier!$I$42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CiModifier!$I$43:$I$52</c:f>
              <c:numCache>
                <c:formatCode>General</c:formatCode>
                <c:ptCount val="10"/>
                <c:pt idx="0">
                  <c:v>0.7</c:v>
                </c:pt>
                <c:pt idx="1">
                  <c:v>0.66999999999999993</c:v>
                </c:pt>
                <c:pt idx="2">
                  <c:v>0.6399999999999999</c:v>
                </c:pt>
                <c:pt idx="3">
                  <c:v>0.61</c:v>
                </c:pt>
                <c:pt idx="4">
                  <c:v>0.57999999999999996</c:v>
                </c:pt>
                <c:pt idx="5">
                  <c:v>0.54999999999999993</c:v>
                </c:pt>
                <c:pt idx="6">
                  <c:v>0.52</c:v>
                </c:pt>
                <c:pt idx="7">
                  <c:v>0.49</c:v>
                </c:pt>
                <c:pt idx="8">
                  <c:v>0.45999999999999996</c:v>
                </c:pt>
                <c:pt idx="9">
                  <c:v>0.42999999999999994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CiModifier!$J$42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CiModifier!$J$43:$J$52</c:f>
              <c:numCache>
                <c:formatCode>General</c:formatCode>
                <c:ptCount val="10"/>
                <c:pt idx="0">
                  <c:v>0.8</c:v>
                </c:pt>
                <c:pt idx="1">
                  <c:v>0.75950000000000006</c:v>
                </c:pt>
                <c:pt idx="2">
                  <c:v>0.71899999999999997</c:v>
                </c:pt>
                <c:pt idx="3">
                  <c:v>0.67849999999999999</c:v>
                </c:pt>
                <c:pt idx="4">
                  <c:v>0.63800000000000001</c:v>
                </c:pt>
                <c:pt idx="5">
                  <c:v>0.59749999999999992</c:v>
                </c:pt>
                <c:pt idx="6">
                  <c:v>0.55699999999999994</c:v>
                </c:pt>
                <c:pt idx="7">
                  <c:v>0.51649999999999996</c:v>
                </c:pt>
                <c:pt idx="8">
                  <c:v>0.47599999999999992</c:v>
                </c:pt>
                <c:pt idx="9">
                  <c:v>0.43549999999999989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CiModifier!$K$42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CiModifier!$K$43:$K$52</c:f>
              <c:numCache>
                <c:formatCode>General</c:formatCode>
                <c:ptCount val="10"/>
                <c:pt idx="0">
                  <c:v>0.9</c:v>
                </c:pt>
                <c:pt idx="1">
                  <c:v>0.84899999999999998</c:v>
                </c:pt>
                <c:pt idx="2">
                  <c:v>0.79800000000000004</c:v>
                </c:pt>
                <c:pt idx="3">
                  <c:v>0.747</c:v>
                </c:pt>
                <c:pt idx="4">
                  <c:v>0.69599999999999995</c:v>
                </c:pt>
                <c:pt idx="5">
                  <c:v>0.64500000000000002</c:v>
                </c:pt>
                <c:pt idx="6">
                  <c:v>0.59399999999999997</c:v>
                </c:pt>
                <c:pt idx="7">
                  <c:v>0.54299999999999993</c:v>
                </c:pt>
                <c:pt idx="8">
                  <c:v>0.49199999999999999</c:v>
                </c:pt>
                <c:pt idx="9">
                  <c:v>0.441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CiModifier!$L$42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CiModifier!$A$43:$A$52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CiModifier!$L$43:$L$52</c:f>
              <c:numCache>
                <c:formatCode>General</c:formatCode>
                <c:ptCount val="10"/>
                <c:pt idx="0">
                  <c:v>1</c:v>
                </c:pt>
                <c:pt idx="1">
                  <c:v>0.9385</c:v>
                </c:pt>
                <c:pt idx="2">
                  <c:v>0.877</c:v>
                </c:pt>
                <c:pt idx="3">
                  <c:v>0.8155</c:v>
                </c:pt>
                <c:pt idx="4">
                  <c:v>0.754</c:v>
                </c:pt>
                <c:pt idx="5">
                  <c:v>0.69249999999999989</c:v>
                </c:pt>
                <c:pt idx="6">
                  <c:v>0.63100000000000001</c:v>
                </c:pt>
                <c:pt idx="7">
                  <c:v>0.5694999999999999</c:v>
                </c:pt>
                <c:pt idx="8">
                  <c:v>0.5079999999999999</c:v>
                </c:pt>
                <c:pt idx="9">
                  <c:v>0.4464999999999999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99040"/>
        <c:axId val="472899432"/>
      </c:scatterChart>
      <c:valAx>
        <c:axId val="4728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Ozone 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9432"/>
        <c:crosses val="autoZero"/>
        <c:crossBetween val="midCat"/>
      </c:valAx>
      <c:valAx>
        <c:axId val="472899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36111111111125"/>
          <c:y val="7.2543379994167392E-2"/>
          <c:w val="0.11497222222222223"/>
          <c:h val="0.851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CiModifier!$A$60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CiModifier!$B$59:$L$59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CiModifier!$B$60:$L$60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00216"/>
        <c:axId val="472900608"/>
      </c:scatterChart>
      <c:valAx>
        <c:axId val="472900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00608"/>
        <c:crosses val="autoZero"/>
        <c:crossBetween val="midCat"/>
      </c:valAx>
      <c:valAx>
        <c:axId val="47290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0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O3Effect!$D$2:$D$32</c:f>
              <c:numCache>
                <c:formatCode>General</c:formatCode>
                <c:ptCount val="3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</c:numCache>
            </c:numRef>
          </c:cat>
          <c:val>
            <c:numRef>
              <c:f>O3Effect!$E$2:$E$32</c:f>
              <c:numCache>
                <c:formatCode>General</c:formatCode>
                <c:ptCount val="31"/>
                <c:pt idx="0">
                  <c:v>0</c:v>
                </c:pt>
                <c:pt idx="1">
                  <c:v>5.1999999999999998E-3</c:v>
                </c:pt>
                <c:pt idx="2">
                  <c:v>1.04E-2</c:v>
                </c:pt>
                <c:pt idx="3">
                  <c:v>1.5599999999999999E-2</c:v>
                </c:pt>
                <c:pt idx="4">
                  <c:v>2.0799999999999999E-2</c:v>
                </c:pt>
                <c:pt idx="5">
                  <c:v>2.5999999999999999E-2</c:v>
                </c:pt>
                <c:pt idx="6">
                  <c:v>3.1199999999999999E-2</c:v>
                </c:pt>
                <c:pt idx="7">
                  <c:v>3.6400000000000002E-2</c:v>
                </c:pt>
                <c:pt idx="8">
                  <c:v>4.1599999999999998E-2</c:v>
                </c:pt>
                <c:pt idx="9">
                  <c:v>4.6799999999999994E-2</c:v>
                </c:pt>
                <c:pt idx="10">
                  <c:v>5.1999999999999998E-2</c:v>
                </c:pt>
                <c:pt idx="11">
                  <c:v>5.7199999999999994E-2</c:v>
                </c:pt>
                <c:pt idx="12">
                  <c:v>6.2399999999999997E-2</c:v>
                </c:pt>
                <c:pt idx="13">
                  <c:v>6.7599999999999993E-2</c:v>
                </c:pt>
                <c:pt idx="14">
                  <c:v>7.2800000000000004E-2</c:v>
                </c:pt>
                <c:pt idx="15">
                  <c:v>7.8E-2</c:v>
                </c:pt>
                <c:pt idx="16">
                  <c:v>8.3199999999999996E-2</c:v>
                </c:pt>
                <c:pt idx="17">
                  <c:v>8.8399999999999992E-2</c:v>
                </c:pt>
                <c:pt idx="18">
                  <c:v>9.3599999999999989E-2</c:v>
                </c:pt>
                <c:pt idx="19">
                  <c:v>9.8799999999999999E-2</c:v>
                </c:pt>
                <c:pt idx="20">
                  <c:v>0.104</c:v>
                </c:pt>
                <c:pt idx="21">
                  <c:v>0.10919999999999999</c:v>
                </c:pt>
                <c:pt idx="22">
                  <c:v>0.11439999999999999</c:v>
                </c:pt>
                <c:pt idx="23">
                  <c:v>0.1196</c:v>
                </c:pt>
                <c:pt idx="24">
                  <c:v>0.12479999999999999</c:v>
                </c:pt>
                <c:pt idx="25">
                  <c:v>0.13</c:v>
                </c:pt>
                <c:pt idx="26">
                  <c:v>0.13519999999999999</c:v>
                </c:pt>
                <c:pt idx="27">
                  <c:v>0.1404</c:v>
                </c:pt>
                <c:pt idx="28">
                  <c:v>0.14560000000000001</c:v>
                </c:pt>
                <c:pt idx="29">
                  <c:v>0.15079999999999999</c:v>
                </c:pt>
                <c:pt idx="30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07224"/>
        <c:axId val="480607616"/>
      </c:lineChart>
      <c:catAx>
        <c:axId val="48060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O3 (ppb-h)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07616"/>
        <c:crosses val="autoZero"/>
        <c:auto val="1"/>
        <c:lblAlgn val="ctr"/>
        <c:lblOffset val="100"/>
        <c:noMultiLvlLbl val="0"/>
      </c:catAx>
      <c:valAx>
        <c:axId val="4806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O3Effect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0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O3Effect!$D$2:$D$32</c:f>
              <c:numCache>
                <c:formatCode>General</c:formatCode>
                <c:ptCount val="3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</c:numCache>
            </c:numRef>
          </c:cat>
          <c:val>
            <c:numRef>
              <c:f>O3Effect!$F$2:$F$32</c:f>
              <c:numCache>
                <c:formatCode>General</c:formatCode>
                <c:ptCount val="31"/>
                <c:pt idx="0">
                  <c:v>1</c:v>
                </c:pt>
                <c:pt idx="1">
                  <c:v>0.99480000000000002</c:v>
                </c:pt>
                <c:pt idx="2">
                  <c:v>0.98960000000000004</c:v>
                </c:pt>
                <c:pt idx="3">
                  <c:v>0.98440000000000005</c:v>
                </c:pt>
                <c:pt idx="4">
                  <c:v>0.97919999999999996</c:v>
                </c:pt>
                <c:pt idx="5">
                  <c:v>0.97399999999999998</c:v>
                </c:pt>
                <c:pt idx="6">
                  <c:v>0.96879999999999999</c:v>
                </c:pt>
                <c:pt idx="7">
                  <c:v>0.96360000000000001</c:v>
                </c:pt>
                <c:pt idx="8">
                  <c:v>0.95840000000000003</c:v>
                </c:pt>
                <c:pt idx="9">
                  <c:v>0.95320000000000005</c:v>
                </c:pt>
                <c:pt idx="10">
                  <c:v>0.94799999999999995</c:v>
                </c:pt>
                <c:pt idx="11">
                  <c:v>0.94279999999999997</c:v>
                </c:pt>
                <c:pt idx="12">
                  <c:v>0.93759999999999999</c:v>
                </c:pt>
                <c:pt idx="13">
                  <c:v>0.93240000000000001</c:v>
                </c:pt>
                <c:pt idx="14">
                  <c:v>0.92720000000000002</c:v>
                </c:pt>
                <c:pt idx="15">
                  <c:v>0.92200000000000004</c:v>
                </c:pt>
                <c:pt idx="16">
                  <c:v>0.91680000000000006</c:v>
                </c:pt>
                <c:pt idx="17">
                  <c:v>0.91159999999999997</c:v>
                </c:pt>
                <c:pt idx="18">
                  <c:v>0.90639999999999998</c:v>
                </c:pt>
                <c:pt idx="19">
                  <c:v>0.9012</c:v>
                </c:pt>
                <c:pt idx="20">
                  <c:v>0.89600000000000002</c:v>
                </c:pt>
                <c:pt idx="21">
                  <c:v>0.89080000000000004</c:v>
                </c:pt>
                <c:pt idx="22">
                  <c:v>0.88560000000000005</c:v>
                </c:pt>
                <c:pt idx="23">
                  <c:v>0.88039999999999996</c:v>
                </c:pt>
                <c:pt idx="24">
                  <c:v>0.87519999999999998</c:v>
                </c:pt>
                <c:pt idx="25">
                  <c:v>0.87</c:v>
                </c:pt>
                <c:pt idx="26">
                  <c:v>0.86480000000000001</c:v>
                </c:pt>
                <c:pt idx="27">
                  <c:v>0.85960000000000003</c:v>
                </c:pt>
                <c:pt idx="28">
                  <c:v>0.85440000000000005</c:v>
                </c:pt>
                <c:pt idx="29">
                  <c:v>0.84919999999999995</c:v>
                </c:pt>
                <c:pt idx="30">
                  <c:v>0.84399999999999997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08400"/>
        <c:axId val="480608792"/>
      </c:lineChart>
      <c:catAx>
        <c:axId val="4806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O3 (ppb-h)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08792"/>
        <c:crosses val="autoZero"/>
        <c:auto val="1"/>
        <c:lblAlgn val="ctr"/>
        <c:lblOffset val="100"/>
        <c:noMultiLvlLbl val="0"/>
      </c:catAx>
      <c:valAx>
        <c:axId val="480608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fOzone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PnET-II'!$W$2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PnET-II'!$W$3:$W$14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10.647132827886741</c:v>
                </c:pt>
                <c:pt idx="2">
                  <c:v>23.291546912530823</c:v>
                </c:pt>
                <c:pt idx="3">
                  <c:v>31.778631347854631</c:v>
                </c:pt>
                <c:pt idx="4">
                  <c:v>35.912200500940614</c:v>
                </c:pt>
                <c:pt idx="5">
                  <c:v>35.599546329279221</c:v>
                </c:pt>
                <c:pt idx="6">
                  <c:v>31.165488901464464</c:v>
                </c:pt>
                <c:pt idx="7">
                  <c:v>24.011860932310015</c:v>
                </c:pt>
                <c:pt idx="8">
                  <c:v>17.872605139954405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PnET-II'!$R$21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PnET-II'!$R$22:$R$33</c:f>
              <c:numCache>
                <c:formatCode>General</c:formatCode>
                <c:ptCount val="12"/>
                <c:pt idx="0">
                  <c:v>0</c:v>
                </c:pt>
                <c:pt idx="1">
                  <c:v>10.152741213681848</c:v>
                </c:pt>
                <c:pt idx="2">
                  <c:v>23.399658454143832</c:v>
                </c:pt>
                <c:pt idx="3">
                  <c:v>31.870864175493892</c:v>
                </c:pt>
                <c:pt idx="4">
                  <c:v>35.139680322199084</c:v>
                </c:pt>
                <c:pt idx="5">
                  <c:v>32.988240347914747</c:v>
                </c:pt>
                <c:pt idx="6">
                  <c:v>25.554557333939695</c:v>
                </c:pt>
                <c:pt idx="7">
                  <c:v>14.070525796956231</c:v>
                </c:pt>
                <c:pt idx="8">
                  <c:v>2.2049047386074161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86344"/>
        <c:axId val="482586736"/>
      </c:lineChart>
      <c:catAx>
        <c:axId val="48258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2586736"/>
        <c:crosses val="autoZero"/>
        <c:auto val="1"/>
        <c:lblAlgn val="ctr"/>
        <c:lblOffset val="100"/>
        <c:noMultiLvlLbl val="0"/>
      </c:catAx>
      <c:valAx>
        <c:axId val="48258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8258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PnET-II'!$Z$2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PnET-II'!$Z$3:$Z$14</c:f>
              <c:numCache>
                <c:formatCode>General</c:formatCode>
                <c:ptCount val="12"/>
                <c:pt idx="0">
                  <c:v>0.12286808818273674</c:v>
                </c:pt>
                <c:pt idx="1">
                  <c:v>1.8407855242628399</c:v>
                </c:pt>
                <c:pt idx="2">
                  <c:v>5.5383418094084709</c:v>
                </c:pt>
                <c:pt idx="3">
                  <c:v>10.251491163083575</c:v>
                </c:pt>
                <c:pt idx="4">
                  <c:v>15.516003947429867</c:v>
                </c:pt>
                <c:pt idx="5">
                  <c:v>20.352259364031852</c:v>
                </c:pt>
                <c:pt idx="6">
                  <c:v>23.308836667362556</c:v>
                </c:pt>
                <c:pt idx="7">
                  <c:v>23.242375173493208</c:v>
                </c:pt>
                <c:pt idx="8">
                  <c:v>22.163633521530283</c:v>
                </c:pt>
                <c:pt idx="9">
                  <c:v>35.312235377968406</c:v>
                </c:pt>
                <c:pt idx="10">
                  <c:v>62.795522092282283</c:v>
                </c:pt>
                <c:pt idx="11">
                  <c:v>110.7131259336563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PnET-II'!$Z$21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PnET-II'!$Z$22:$Z$33</c:f>
              <c:numCache>
                <c:formatCode>General</c:formatCode>
                <c:ptCount val="12"/>
                <c:pt idx="0">
                  <c:v>0</c:v>
                </c:pt>
                <c:pt idx="1">
                  <c:v>1.8338720701161906</c:v>
                </c:pt>
                <c:pt idx="2">
                  <c:v>5.7006104028715621</c:v>
                </c:pt>
                <c:pt idx="3">
                  <c:v>10.281244616186708</c:v>
                </c:pt>
                <c:pt idx="4">
                  <c:v>15.182233641638975</c:v>
                </c:pt>
                <c:pt idx="5">
                  <c:v>18.859375827820404</c:v>
                </c:pt>
                <c:pt idx="6">
                  <c:v>19.112390788631682</c:v>
                </c:pt>
                <c:pt idx="7">
                  <c:v>13.619620752555713</c:v>
                </c:pt>
                <c:pt idx="8">
                  <c:v>2.7342796527817743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87520"/>
        <c:axId val="482587912"/>
      </c:lineChart>
      <c:catAx>
        <c:axId val="4825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2587912"/>
        <c:crosses val="autoZero"/>
        <c:auto val="1"/>
        <c:lblAlgn val="ctr"/>
        <c:lblOffset val="100"/>
        <c:noMultiLvlLbl val="0"/>
      </c:catAx>
      <c:valAx>
        <c:axId val="482587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825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PnET-II'!$K$2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PnET-II'!$K$3:$K$14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PnET-II'!$J$21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PnET-II'!$E$3:$E$14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PnET-II'!$J$22:$J$33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0.99793388429752061</c:v>
                </c:pt>
                <c:pt idx="6">
                  <c:v>0.92561983471074383</c:v>
                </c:pt>
                <c:pt idx="7">
                  <c:v>0.75</c:v>
                </c:pt>
                <c:pt idx="8">
                  <c:v>0.47107438016528924</c:v>
                </c:pt>
                <c:pt idx="9">
                  <c:v>8.8842975206611566E-2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88696"/>
        <c:axId val="482589088"/>
      </c:lineChart>
      <c:catAx>
        <c:axId val="4825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89088"/>
        <c:crosses val="autoZero"/>
        <c:auto val="1"/>
        <c:lblAlgn val="ctr"/>
        <c:lblOffset val="100"/>
        <c:noMultiLvlLbl val="0"/>
      </c:catAx>
      <c:valAx>
        <c:axId val="4825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8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'Amax A&amp;B worksheet'!$B$2:$B$7</c:f>
              <c:numCache>
                <c:formatCode>General</c:formatCode>
                <c:ptCount val="6"/>
                <c:pt idx="0">
                  <c:v>14</c:v>
                </c:pt>
                <c:pt idx="1">
                  <c:v>64</c:v>
                </c:pt>
                <c:pt idx="2">
                  <c:v>114</c:v>
                </c:pt>
                <c:pt idx="3">
                  <c:v>164</c:v>
                </c:pt>
                <c:pt idx="4">
                  <c:v>214</c:v>
                </c:pt>
                <c:pt idx="5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66144"/>
        <c:axId val="413766536"/>
      </c:lineChart>
      <c:catAx>
        <c:axId val="4137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6536"/>
        <c:crosses val="autoZero"/>
        <c:auto val="1"/>
        <c:lblAlgn val="ctr"/>
        <c:lblOffset val="100"/>
        <c:noMultiLvlLbl val="0"/>
      </c:catAx>
      <c:valAx>
        <c:axId val="4137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0.40289256198347106</c:v>
                </c:pt>
                <c:pt idx="2">
                  <c:v>0.7024793388429752</c:v>
                </c:pt>
                <c:pt idx="3">
                  <c:v>0.89876033057851235</c:v>
                </c:pt>
                <c:pt idx="4">
                  <c:v>0.99173553719008267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DTemp!$J$1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0.40289256198347106</c:v>
                </c:pt>
                <c:pt idx="2">
                  <c:v>0.7024793388429752</c:v>
                </c:pt>
                <c:pt idx="3">
                  <c:v>0.89876033057851235</c:v>
                </c:pt>
                <c:pt idx="4">
                  <c:v>0.99173553719008267</c:v>
                </c:pt>
                <c:pt idx="5">
                  <c:v>0.98140495867768596</c:v>
                </c:pt>
                <c:pt idx="6">
                  <c:v>0.86776859504132231</c:v>
                </c:pt>
                <c:pt idx="7">
                  <c:v>0.65082644628099173</c:v>
                </c:pt>
                <c:pt idx="8">
                  <c:v>0.33057851239669422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67320"/>
        <c:axId val="413767712"/>
      </c:lineChart>
      <c:catAx>
        <c:axId val="4137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7712"/>
        <c:crosses val="autoZero"/>
        <c:auto val="1"/>
        <c:lblAlgn val="ctr"/>
        <c:lblOffset val="100"/>
        <c:noMultiLvlLbl val="0"/>
      </c:catAx>
      <c:valAx>
        <c:axId val="413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DTemp!$S$1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DTemp!$S$2:$S$13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10.028352085993442</c:v>
                </c:pt>
                <c:pt idx="2">
                  <c:v>16.804753817800119</c:v>
                </c:pt>
                <c:pt idx="3">
                  <c:v>21.21861625275837</c:v>
                </c:pt>
                <c:pt idx="4">
                  <c:v>23.218823121913047</c:v>
                </c:pt>
                <c:pt idx="5">
                  <c:v>23.19307209452063</c:v>
                </c:pt>
                <c:pt idx="6">
                  <c:v>22.495424991010037</c:v>
                </c:pt>
                <c:pt idx="7">
                  <c:v>20.893997510158151</c:v>
                </c:pt>
                <c:pt idx="8">
                  <c:v>17.78506404820763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DTemp!$T$1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10.028352085993442</c:v>
                </c:pt>
                <c:pt idx="2">
                  <c:v>16.804753817800119</c:v>
                </c:pt>
                <c:pt idx="3">
                  <c:v>21.21861625275837</c:v>
                </c:pt>
                <c:pt idx="4">
                  <c:v>23.218823121913047</c:v>
                </c:pt>
                <c:pt idx="5">
                  <c:v>22.862155037170293</c:v>
                </c:pt>
                <c:pt idx="6">
                  <c:v>20.530097417810502</c:v>
                </c:pt>
                <c:pt idx="7">
                  <c:v>17.36740702634836</c:v>
                </c:pt>
                <c:pt idx="8">
                  <c:v>16.098260060792189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68496"/>
        <c:axId val="413768888"/>
      </c:lineChart>
      <c:catAx>
        <c:axId val="4137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8888"/>
        <c:crosses val="autoZero"/>
        <c:auto val="1"/>
        <c:lblAlgn val="ctr"/>
        <c:lblOffset val="100"/>
        <c:noMultiLvlLbl val="0"/>
      </c:catAx>
      <c:valAx>
        <c:axId val="4137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35</xdr:row>
      <xdr:rowOff>168587</xdr:rowOff>
    </xdr:from>
    <xdr:to>
      <xdr:col>23</xdr:col>
      <xdr:colOff>985457</xdr:colOff>
      <xdr:row>49</xdr:row>
      <xdr:rowOff>115655</xdr:rowOff>
    </xdr:to>
    <xdr:graphicFrame macro="">
      <xdr:nvGraphicFramePr>
        <xdr:cNvPr id="2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35</xdr:row>
      <xdr:rowOff>171931</xdr:rowOff>
    </xdr:from>
    <xdr:to>
      <xdr:col>25</xdr:col>
      <xdr:colOff>1303844</xdr:colOff>
      <xdr:row>49</xdr:row>
      <xdr:rowOff>103895</xdr:rowOff>
    </xdr:to>
    <xdr:graphicFrame macro="">
      <xdr:nvGraphicFramePr>
        <xdr:cNvPr id="3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35</xdr:row>
      <xdr:rowOff>167127</xdr:rowOff>
    </xdr:from>
    <xdr:to>
      <xdr:col>31</xdr:col>
      <xdr:colOff>71316</xdr:colOff>
      <xdr:row>49</xdr:row>
      <xdr:rowOff>115654</xdr:rowOff>
    </xdr:to>
    <xdr:graphicFrame macro="">
      <xdr:nvGraphicFramePr>
        <xdr:cNvPr id="4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35</xdr:row>
      <xdr:rowOff>167125</xdr:rowOff>
    </xdr:from>
    <xdr:to>
      <xdr:col>36</xdr:col>
      <xdr:colOff>15747</xdr:colOff>
      <xdr:row>49</xdr:row>
      <xdr:rowOff>115654</xdr:rowOff>
    </xdr:to>
    <xdr:graphicFrame macro="">
      <xdr:nvGraphicFramePr>
        <xdr:cNvPr id="5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35</xdr:row>
      <xdr:rowOff>183023</xdr:rowOff>
    </xdr:from>
    <xdr:to>
      <xdr:col>42</xdr:col>
      <xdr:colOff>10824</xdr:colOff>
      <xdr:row>49</xdr:row>
      <xdr:rowOff>117592</xdr:rowOff>
    </xdr:to>
    <xdr:graphicFrame macro="">
      <xdr:nvGraphicFramePr>
        <xdr:cNvPr id="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35</xdr:row>
      <xdr:rowOff>151432</xdr:rowOff>
    </xdr:from>
    <xdr:to>
      <xdr:col>19</xdr:col>
      <xdr:colOff>400482</xdr:colOff>
      <xdr:row>49</xdr:row>
      <xdr:rowOff>97415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73025</xdr:colOff>
      <xdr:row>14</xdr:row>
      <xdr:rowOff>34925</xdr:rowOff>
    </xdr:from>
    <xdr:to>
      <xdr:col>14</xdr:col>
      <xdr:colOff>101600</xdr:colOff>
      <xdr:row>28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358775</xdr:colOff>
      <xdr:row>13</xdr:row>
      <xdr:rowOff>158750</xdr:rowOff>
    </xdr:from>
    <xdr:to>
      <xdr:col>8</xdr:col>
      <xdr:colOff>384175</xdr:colOff>
      <xdr:row>28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14287</xdr:rowOff>
    </xdr:from>
    <xdr:to>
      <xdr:col>18</xdr:col>
      <xdr:colOff>533400</xdr:colOff>
      <xdr:row>18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601435</xdr:colOff>
      <xdr:row>1</xdr:row>
      <xdr:rowOff>6123</xdr:rowOff>
    </xdr:from>
    <xdr:to>
      <xdr:col>25</xdr:col>
      <xdr:colOff>378278</xdr:colOff>
      <xdr:row>17</xdr:row>
      <xdr:rowOff>159884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48985</xdr:colOff>
      <xdr:row>20</xdr:row>
      <xdr:rowOff>680</xdr:rowOff>
    </xdr:from>
    <xdr:to>
      <xdr:col>18</xdr:col>
      <xdr:colOff>500742</xdr:colOff>
      <xdr:row>36</xdr:row>
      <xdr:rowOff>154441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564697</xdr:colOff>
      <xdr:row>19</xdr:row>
      <xdr:rowOff>157162</xdr:rowOff>
    </xdr:from>
    <xdr:to>
      <xdr:col>25</xdr:col>
      <xdr:colOff>336097</xdr:colOff>
      <xdr:row>36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48986</xdr:colOff>
      <xdr:row>39</xdr:row>
      <xdr:rowOff>27894</xdr:rowOff>
    </xdr:from>
    <xdr:to>
      <xdr:col>18</xdr:col>
      <xdr:colOff>500743</xdr:colOff>
      <xdr:row>56</xdr:row>
      <xdr:rowOff>18370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564695</xdr:colOff>
      <xdr:row>39</xdr:row>
      <xdr:rowOff>21090</xdr:rowOff>
    </xdr:from>
    <xdr:to>
      <xdr:col>25</xdr:col>
      <xdr:colOff>336095</xdr:colOff>
      <xdr:row>56</xdr:row>
      <xdr:rowOff>11567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108857</xdr:colOff>
      <xdr:row>58</xdr:row>
      <xdr:rowOff>13608</xdr:rowOff>
    </xdr:from>
    <xdr:to>
      <xdr:col>18</xdr:col>
      <xdr:colOff>560614</xdr:colOff>
      <xdr:row>75</xdr:row>
      <xdr:rowOff>4083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109537</xdr:rowOff>
    </xdr:from>
    <xdr:to>
      <xdr:col>14</xdr:col>
      <xdr:colOff>57150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16</xdr:row>
      <xdr:rowOff>104775</xdr:rowOff>
    </xdr:from>
    <xdr:to>
      <xdr:col>14</xdr:col>
      <xdr:colOff>76200</xdr:colOff>
      <xdr:row>30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85725</xdr:colOff>
      <xdr:row>18</xdr:row>
      <xdr:rowOff>85725</xdr:rowOff>
    </xdr:from>
    <xdr:to>
      <xdr:col>29</xdr:col>
      <xdr:colOff>19050</xdr:colOff>
      <xdr:row>32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18</xdr:row>
      <xdr:rowOff>76200</xdr:rowOff>
    </xdr:from>
    <xdr:to>
      <xdr:col>23</xdr:col>
      <xdr:colOff>95250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16</xdr:col>
      <xdr:colOff>600075</xdr:colOff>
      <xdr:row>32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14287</xdr:rowOff>
    </xdr:from>
    <xdr:to>
      <xdr:col>14</xdr:col>
      <xdr:colOff>428625</xdr:colOff>
      <xdr:row>20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128587</xdr:rowOff>
    </xdr:from>
    <xdr:to>
      <xdr:col>7</xdr:col>
      <xdr:colOff>333374</xdr:colOff>
      <xdr:row>26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14</xdr:row>
      <xdr:rowOff>128587</xdr:rowOff>
    </xdr:from>
    <xdr:to>
      <xdr:col>14</xdr:col>
      <xdr:colOff>542925</xdr:colOff>
      <xdr:row>26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128587</xdr:rowOff>
    </xdr:from>
    <xdr:to>
      <xdr:col>13</xdr:col>
      <xdr:colOff>571500</xdr:colOff>
      <xdr:row>15</xdr:row>
      <xdr:rowOff>14287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14</xdr:row>
      <xdr:rowOff>176212</xdr:rowOff>
    </xdr:from>
    <xdr:to>
      <xdr:col>13</xdr:col>
      <xdr:colOff>571500</xdr:colOff>
      <xdr:row>29</xdr:row>
      <xdr:rowOff>61912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20</xdr:row>
      <xdr:rowOff>166687</xdr:rowOff>
    </xdr:from>
    <xdr:to>
      <xdr:col>19</xdr:col>
      <xdr:colOff>0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20</xdr:row>
      <xdr:rowOff>176212</xdr:rowOff>
    </xdr:from>
    <xdr:to>
      <xdr:col>6</xdr:col>
      <xdr:colOff>0</xdr:colOff>
      <xdr:row>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20</xdr:row>
      <xdr:rowOff>166687</xdr:rowOff>
    </xdr:from>
    <xdr:to>
      <xdr:col>12</xdr:col>
      <xdr:colOff>0</xdr:colOff>
      <xdr:row>34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428626</xdr:colOff>
      <xdr:row>18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gustafson/Documents/LANDIS%20docs/CO2HalfSatEff%20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miranda/AppData/Local/Box/Box%20Edit/Documents/vlTCj4l7h0SlzJRw8NVRqA==/Brians%20CO2_psn_equations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Species 1</v>
          </cell>
          <cell r="C1" t="str">
            <v>Species 2</v>
          </cell>
        </row>
        <row r="7">
          <cell r="A7">
            <v>300</v>
          </cell>
          <cell r="B7">
            <v>567.5</v>
          </cell>
          <cell r="C7">
            <v>595</v>
          </cell>
        </row>
        <row r="8">
          <cell r="A8">
            <v>350</v>
          </cell>
          <cell r="B8">
            <v>530</v>
          </cell>
          <cell r="C8">
            <v>600</v>
          </cell>
        </row>
        <row r="9">
          <cell r="A9">
            <v>365</v>
          </cell>
          <cell r="B9">
            <v>518.75</v>
          </cell>
          <cell r="C9">
            <v>601.5</v>
          </cell>
        </row>
        <row r="10">
          <cell r="A10">
            <v>400</v>
          </cell>
          <cell r="B10">
            <v>492.5</v>
          </cell>
          <cell r="C10">
            <v>605</v>
          </cell>
        </row>
        <row r="11">
          <cell r="A11">
            <v>450</v>
          </cell>
          <cell r="B11">
            <v>455</v>
          </cell>
          <cell r="C11">
            <v>610</v>
          </cell>
        </row>
        <row r="12">
          <cell r="A12">
            <v>500</v>
          </cell>
          <cell r="B12">
            <v>417.5</v>
          </cell>
          <cell r="C12">
            <v>615</v>
          </cell>
        </row>
        <row r="13">
          <cell r="A13">
            <v>550</v>
          </cell>
          <cell r="B13">
            <v>380</v>
          </cell>
          <cell r="C13">
            <v>620</v>
          </cell>
        </row>
        <row r="14">
          <cell r="A14">
            <v>600</v>
          </cell>
          <cell r="B14">
            <v>342.5</v>
          </cell>
          <cell r="C14">
            <v>625</v>
          </cell>
        </row>
        <row r="15">
          <cell r="A15">
            <v>650</v>
          </cell>
          <cell r="B15">
            <v>305</v>
          </cell>
          <cell r="C15">
            <v>630</v>
          </cell>
        </row>
        <row r="16">
          <cell r="A16">
            <v>700</v>
          </cell>
          <cell r="B16">
            <v>267.5</v>
          </cell>
          <cell r="C16">
            <v>635</v>
          </cell>
        </row>
        <row r="17">
          <cell r="A17">
            <v>750</v>
          </cell>
          <cell r="B17">
            <v>230</v>
          </cell>
          <cell r="C17">
            <v>640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Italians"/>
      <sheetName val="Modified Ollinger"/>
      <sheetName val="Franks"/>
      <sheetName val="Effect of T on Gamma"/>
    </sheetNames>
    <sheetDataSet>
      <sheetData sheetId="0"/>
      <sheetData sheetId="1">
        <row r="2">
          <cell r="B2">
            <v>2.5</v>
          </cell>
          <cell r="C2">
            <v>200</v>
          </cell>
        </row>
        <row r="3">
          <cell r="B3">
            <v>1</v>
          </cell>
          <cell r="C3">
            <v>250</v>
          </cell>
        </row>
        <row r="4">
          <cell r="B4">
            <v>40</v>
          </cell>
          <cell r="C4">
            <v>300</v>
          </cell>
        </row>
        <row r="5">
          <cell r="B5">
            <v>350</v>
          </cell>
          <cell r="C5">
            <v>350</v>
          </cell>
        </row>
        <row r="6">
          <cell r="B6">
            <v>10</v>
          </cell>
          <cell r="C6">
            <v>400</v>
          </cell>
        </row>
        <row r="7">
          <cell r="B7">
            <v>22</v>
          </cell>
          <cell r="C7">
            <v>450</v>
          </cell>
        </row>
        <row r="8">
          <cell r="C8">
            <v>500</v>
          </cell>
        </row>
        <row r="9">
          <cell r="C9">
            <v>550</v>
          </cell>
        </row>
        <row r="10">
          <cell r="C10">
            <v>600</v>
          </cell>
        </row>
        <row r="11">
          <cell r="B11">
            <v>1.2</v>
          </cell>
          <cell r="C11">
            <v>650</v>
          </cell>
        </row>
        <row r="12">
          <cell r="B12">
            <v>71.900000000000006</v>
          </cell>
          <cell r="C12">
            <v>750</v>
          </cell>
        </row>
        <row r="13">
          <cell r="B13">
            <v>-46</v>
          </cell>
          <cell r="C13">
            <v>1000</v>
          </cell>
        </row>
      </sheetData>
      <sheetData sheetId="2" refreshError="1"/>
      <sheetData sheetId="3">
        <row r="1">
          <cell r="H1" t="str">
            <v>delamax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8"/>
  <sheetViews>
    <sheetView tabSelected="1" zoomScale="88" zoomScaleNormal="88" workbookViewId="0">
      <selection activeCell="D26" sqref="D26"/>
    </sheetView>
  </sheetViews>
  <sheetFormatPr defaultRowHeight="15"/>
  <cols>
    <col min="1" max="6" width="9.140625" style="27"/>
    <col min="7" max="8" width="0" style="27" hidden="1" customWidth="1"/>
    <col min="9" max="9" width="9.140625" style="27"/>
    <col min="10" max="10" width="14.42578125" style="27" customWidth="1"/>
    <col min="11" max="11" width="15" style="27" customWidth="1"/>
    <col min="12" max="12" width="15.140625" style="27" customWidth="1"/>
    <col min="13" max="13" width="19.42578125" style="27" customWidth="1"/>
    <col min="14" max="14" width="19.7109375" style="27" customWidth="1"/>
    <col min="15" max="15" width="21.7109375" style="27" customWidth="1"/>
    <col min="16" max="16" width="19.140625" style="27" customWidth="1"/>
    <col min="17" max="17" width="13.42578125" style="27" customWidth="1"/>
    <col min="18" max="18" width="19.140625" style="27" customWidth="1"/>
    <col min="19" max="20" width="13.7109375" style="27" customWidth="1"/>
    <col min="21" max="21" width="21.7109375" style="27" customWidth="1"/>
    <col min="22" max="22" width="15.28515625" style="27" customWidth="1"/>
    <col min="23" max="23" width="19.42578125" style="27" customWidth="1"/>
    <col min="24" max="24" width="21.42578125" style="27" customWidth="1"/>
    <col min="25" max="25" width="23.28515625" style="27" customWidth="1"/>
    <col min="26" max="26" width="20.5703125" style="27" customWidth="1"/>
    <col min="27" max="27" width="7" style="27" customWidth="1"/>
    <col min="28" max="28" width="14.85546875" style="27" customWidth="1"/>
    <col min="29" max="30" width="9.140625" style="27"/>
    <col min="31" max="31" width="13.7109375" style="27" customWidth="1"/>
    <col min="32" max="32" width="9.140625" style="27"/>
    <col min="33" max="33" width="14.140625" style="27" customWidth="1"/>
    <col min="34" max="34" width="10.28515625" style="27" bestFit="1" customWidth="1"/>
    <col min="35" max="35" width="9.140625" style="27"/>
    <col min="36" max="36" width="16.28515625" style="27" customWidth="1"/>
    <col min="37" max="37" width="16.85546875" style="27" customWidth="1"/>
    <col min="38" max="43" width="9.140625" style="27"/>
    <col min="44" max="44" width="11.7109375" style="27" customWidth="1"/>
    <col min="45" max="16384" width="9.140625" style="27"/>
  </cols>
  <sheetData>
    <row r="1" spans="1:57" ht="15.75" thickBot="1">
      <c r="A1" s="56" t="s">
        <v>205</v>
      </c>
    </row>
    <row r="2" spans="1:57" ht="15.75" thickBot="1">
      <c r="B2" s="27" t="s">
        <v>17</v>
      </c>
      <c r="C2" s="27" t="s">
        <v>18</v>
      </c>
      <c r="D2" s="27" t="s">
        <v>19</v>
      </c>
      <c r="E2" s="27" t="s">
        <v>16</v>
      </c>
      <c r="F2" s="27" t="s">
        <v>110</v>
      </c>
      <c r="G2" s="43" t="s">
        <v>103</v>
      </c>
      <c r="H2" s="43" t="s">
        <v>104</v>
      </c>
      <c r="I2" s="43" t="s">
        <v>108</v>
      </c>
      <c r="J2" s="18" t="s">
        <v>58</v>
      </c>
      <c r="K2" s="18" t="s">
        <v>35</v>
      </c>
      <c r="L2" s="18" t="s">
        <v>9</v>
      </c>
      <c r="M2" s="9"/>
      <c r="N2" s="21" t="s">
        <v>59</v>
      </c>
      <c r="O2" s="23" t="s">
        <v>60</v>
      </c>
      <c r="P2" s="6" t="s">
        <v>62</v>
      </c>
      <c r="Q2" s="26" t="s">
        <v>64</v>
      </c>
      <c r="R2" s="22" t="s">
        <v>66</v>
      </c>
      <c r="S2" s="18" t="s">
        <v>12</v>
      </c>
      <c r="T2" s="18"/>
      <c r="U2" s="21" t="s">
        <v>67</v>
      </c>
      <c r="V2" s="22" t="s">
        <v>69</v>
      </c>
      <c r="W2" s="22" t="s">
        <v>71</v>
      </c>
      <c r="X2" s="14" t="s">
        <v>34</v>
      </c>
      <c r="Y2" s="14"/>
      <c r="Z2" s="22" t="s">
        <v>74</v>
      </c>
      <c r="AA2" s="33"/>
      <c r="AB2" s="32" t="s">
        <v>36</v>
      </c>
      <c r="AC2" s="31" t="s">
        <v>84</v>
      </c>
      <c r="AD2" s="31" t="s">
        <v>85</v>
      </c>
      <c r="AE2" s="29" t="s">
        <v>86</v>
      </c>
      <c r="AF2" s="29"/>
      <c r="AG2" s="29"/>
      <c r="AL2" s="37"/>
      <c r="AM2" s="38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7">
        <v>-15</v>
      </c>
      <c r="C3" s="27">
        <v>5</v>
      </c>
      <c r="D3" s="27">
        <f>(Tmin+Tmax)/2</f>
        <v>-5</v>
      </c>
      <c r="E3" s="27">
        <f>(Tave+Tmax)/2</f>
        <v>0</v>
      </c>
      <c r="F3" s="27">
        <f>(Tmin+Tave)/2</f>
        <v>-10</v>
      </c>
      <c r="G3" s="11">
        <f>0.61078 * EXP(17.26939 *Tday / (Tday + 237.3))</f>
        <v>0.61077999999999999</v>
      </c>
      <c r="H3" s="8">
        <f>0.61078 * EXP(17.26939 * Tmin / (Tmin + 237.3))</f>
        <v>0.19046355243449331</v>
      </c>
      <c r="I3" s="8">
        <f>es_PnET_Succession-emean_PnET_Succession</f>
        <v>0.42031644756550668</v>
      </c>
      <c r="J3" s="27">
        <f>MAX(0,(PsnTMax - Tday) * (Tday - PsnTMin) / (((PsnTMax - PsnTMin) / 2)*(PsnTMax - PsnTMin) / 2))</f>
        <v>0</v>
      </c>
      <c r="K3" s="8">
        <f>IF(Tday&gt;PsnTOpt,1,MAX(0,((PsnTMax-Tday)*(Tday-PsnTMin))/(((PsnTMax-PsnTMin)/2)^2)))</f>
        <v>0</v>
      </c>
      <c r="L3" s="8">
        <f>MAX(0,1 - DVPD1 * (VPD_PnET_Succession^DVPD2))</f>
        <v>0.99116670419529562</v>
      </c>
      <c r="M3" s="8"/>
      <c r="N3" s="8">
        <f>dayspan * (Amax * DVPD_pnet_suc * DayLength * MC) / Billion</f>
        <v>2.6204861792196903</v>
      </c>
      <c r="O3" s="24">
        <f>Dtemp_pnet_suc * RefNetPsn_pnet_suc</f>
        <v>0</v>
      </c>
      <c r="P3" s="35">
        <f xml:space="preserve"> Fol / SLWLayer</f>
        <v>0.875</v>
      </c>
      <c r="Q3" s="15" t="e">
        <f xml:space="preserve"> (1 / IMAX) * MIN(NSC, MaintRespFTempResp * biomass)</f>
        <v>#REF!</v>
      </c>
      <c r="R3" s="24">
        <f xml:space="preserve"> fWater* fRad* fAge *FTempPSNRefNetPsn_pnet_suc * Fol</f>
        <v>0</v>
      </c>
      <c r="S3" s="8">
        <f>BaseFolRespFrac*(RespQ10^((Tave-PsnTOpt)/10))</f>
        <v>1.3397168281703668E-2</v>
      </c>
      <c r="T3" s="8"/>
      <c r="U3" s="8">
        <f xml:space="preserve"> FTempRespDay_pnet_suc * dayspan * (DayLength+NightLength) * MC / Billion * Amax</f>
        <v>7.0839938779798842E-2</v>
      </c>
      <c r="V3" s="24">
        <f xml:space="preserve"> fWater* FTempRespDayRefResp_pnet_suc * Fol</f>
        <v>0.99175914291718381</v>
      </c>
      <c r="W3" s="24">
        <f xml:space="preserve"> NetPsn_pnet_suc + FolResp_pnet_suc</f>
        <v>0.99175914291718381</v>
      </c>
      <c r="X3" s="8">
        <f>(WUEconst/VPD_PnET_Succession) * (1 + 1 - Delgs)</f>
        <v>26.905528105428488</v>
      </c>
      <c r="Y3" s="8"/>
      <c r="Z3" s="34">
        <f xml:space="preserve"> GrossPsn_pnet_suc / WUE / DelAmax * MCO2_MC</f>
        <v>0.12286808818273674</v>
      </c>
      <c r="AA3" s="8"/>
      <c r="AB3" s="31" t="s">
        <v>52</v>
      </c>
      <c r="AC3" s="31" t="s">
        <v>91</v>
      </c>
      <c r="AD3" s="29">
        <v>3.6665999999999999</v>
      </c>
      <c r="AE3" s="27" t="s">
        <v>131</v>
      </c>
      <c r="AL3" s="3"/>
      <c r="AM3" s="39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7">
        <v>-10</v>
      </c>
      <c r="C4" s="27">
        <v>10</v>
      </c>
      <c r="D4" s="27">
        <f t="shared" ref="D4:D14" si="0">(B4+C4)/2</f>
        <v>0</v>
      </c>
      <c r="E4" s="27">
        <f t="shared" ref="E4:E14" si="1">(D4+C4)/2</f>
        <v>5</v>
      </c>
      <c r="F4" s="27">
        <f>(B4+D4)/2</f>
        <v>-5</v>
      </c>
      <c r="G4" s="11">
        <f t="shared" ref="G4:G14" si="2">0.61078 * EXP(17.26939 * E4 / (E4 + 237.3))</f>
        <v>0.87227141748882542</v>
      </c>
      <c r="H4" s="8">
        <f t="shared" ref="H4:H14" si="3">0.61078 * EXP(17.26939 * B4 / (B4 + 237.3))</f>
        <v>0.28570929427727804</v>
      </c>
      <c r="I4" s="8">
        <f t="shared" ref="I4:I14" si="4">G4-H4</f>
        <v>0.58656212321154744</v>
      </c>
      <c r="J4" s="27">
        <f t="shared" ref="J4:J14" si="5">MAX(0,(PsnTMax - E4) * (E4 - PsnTMin) / (((PsnTMax - PsnTMin) / 2)*(PsnTMax - PsnTMin) / 2))</f>
        <v>0.25413223140495866</v>
      </c>
      <c r="K4" s="8">
        <f t="shared" ref="K4:K14" si="6">IF(E4&gt;PsnTOpt,1,MAX(0,(PsnTMax - E4) * (E4 - PsnTMin) / (((PsnTMax - PsnTMin) / 2)*(PsnTMax - PsnTMin) / 2)))</f>
        <v>0.25413223140495866</v>
      </c>
      <c r="L4" s="8">
        <f t="shared" ref="L4:L14" si="7">MAX(0,1 - DVPD1 * (I4^DVPD2))</f>
        <v>0.98279724378067812</v>
      </c>
      <c r="M4" s="8"/>
      <c r="N4" s="8">
        <f t="shared" ref="N4:N14" si="8">dayspan * (Amax * L4 * DayLength * MC) / Billion</f>
        <v>2.5983586649971078</v>
      </c>
      <c r="O4" s="24">
        <f>J4 * N4</f>
        <v>0.6603266855261245</v>
      </c>
      <c r="P4" s="8"/>
      <c r="Q4" s="15"/>
      <c r="R4" s="24">
        <f t="shared" ref="R4:R14" si="9" xml:space="preserve"> fWater* fRad* fAge *O4 * Fol</f>
        <v>9.2445735973657435</v>
      </c>
      <c r="S4" s="8">
        <f t="shared" ref="S4:S14" si="10">BaseFolRespFrac*(RespQ10^((D4-PsnTOpt)/10))</f>
        <v>1.8946457081379979E-2</v>
      </c>
      <c r="T4" s="8"/>
      <c r="U4" s="8">
        <f t="shared" ref="U4:U14" si="11" xml:space="preserve"> S4 * dayspan * (DayLength+NightLength) * MC / Billion * Amax</f>
        <v>0.10018280218007129</v>
      </c>
      <c r="V4" s="24">
        <f t="shared" ref="V4:V14" si="12" xml:space="preserve"> fWater* U4 * Fol</f>
        <v>1.4025592305209982</v>
      </c>
      <c r="W4" s="24">
        <f t="shared" ref="W4:W14" si="13" xml:space="preserve"> R4 + V4</f>
        <v>10.647132827886741</v>
      </c>
      <c r="X4" s="8">
        <f t="shared" ref="X4:X14" si="14">(WUEconst/I4) * (1 + 1 - Delgs)</f>
        <v>19.279860641579468</v>
      </c>
      <c r="Y4" s="8"/>
      <c r="Z4" s="34">
        <f t="shared" ref="Z4:Z14" si="15" xml:space="preserve"> W4/ X4 / DelAmax * MCO2_MC</f>
        <v>1.8407855242628399</v>
      </c>
      <c r="AA4" s="8"/>
      <c r="AB4" s="31" t="s">
        <v>47</v>
      </c>
      <c r="AC4" s="31" t="s">
        <v>91</v>
      </c>
      <c r="AD4" s="29">
        <v>12</v>
      </c>
      <c r="AE4" s="27" t="s">
        <v>130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7">
        <v>-5</v>
      </c>
      <c r="C5" s="27">
        <v>15</v>
      </c>
      <c r="D5" s="27">
        <f t="shared" si="0"/>
        <v>5</v>
      </c>
      <c r="E5" s="27">
        <f t="shared" si="1"/>
        <v>10</v>
      </c>
      <c r="F5" s="27">
        <f t="shared" ref="F5:F14" si="16">(B5+D5)/2</f>
        <v>0</v>
      </c>
      <c r="G5" s="11">
        <f t="shared" si="2"/>
        <v>1.2278921229539039</v>
      </c>
      <c r="H5" s="8">
        <f t="shared" si="3"/>
        <v>0.42116823077156701</v>
      </c>
      <c r="I5" s="8">
        <f>G5-H5</f>
        <v>0.80672389218233698</v>
      </c>
      <c r="J5" s="27">
        <f t="shared" si="5"/>
        <v>0.5950413223140496</v>
      </c>
      <c r="K5" s="8">
        <f t="shared" si="6"/>
        <v>0.5950413223140496</v>
      </c>
      <c r="L5" s="8">
        <f>MAX(0,1 - DVPD1 * (I5^DVPD2))</f>
        <v>0.96745982808910902</v>
      </c>
      <c r="M5" s="8"/>
      <c r="N5" s="8">
        <f t="shared" si="8"/>
        <v>2.5578089918951101</v>
      </c>
      <c r="O5" s="24">
        <f t="shared" ref="O5:O14" si="17">J5 * N5</f>
        <v>1.5220020447640326</v>
      </c>
      <c r="P5" s="8"/>
      <c r="Q5" s="15"/>
      <c r="R5" s="24">
        <f t="shared" si="9"/>
        <v>21.308028626696455</v>
      </c>
      <c r="S5" s="8">
        <f t="shared" si="10"/>
        <v>2.679433656340733E-2</v>
      </c>
      <c r="T5" s="8"/>
      <c r="U5" s="8">
        <f t="shared" si="11"/>
        <v>0.14167987755959766</v>
      </c>
      <c r="V5" s="24">
        <f t="shared" si="12"/>
        <v>1.9835182858343672</v>
      </c>
      <c r="W5" s="24">
        <f t="shared" si="13"/>
        <v>23.291546912530823</v>
      </c>
      <c r="X5" s="8">
        <f t="shared" si="14"/>
        <v>14.018223710413622</v>
      </c>
      <c r="Y5" s="8"/>
      <c r="Z5" s="34">
        <f t="shared" si="15"/>
        <v>5.5383418094084709</v>
      </c>
      <c r="AA5" s="8"/>
      <c r="AB5" s="31" t="s">
        <v>92</v>
      </c>
      <c r="AC5" s="31"/>
      <c r="AD5" s="29">
        <v>1000000000</v>
      </c>
      <c r="AL5" s="7"/>
      <c r="AM5" s="7"/>
      <c r="AN5" s="7"/>
      <c r="AO5" s="7"/>
      <c r="AP5" s="7"/>
      <c r="AQ5" s="7"/>
      <c r="AR5" s="7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>
      <c r="B6" s="27">
        <v>0</v>
      </c>
      <c r="C6" s="27">
        <v>20</v>
      </c>
      <c r="D6" s="27">
        <f t="shared" si="0"/>
        <v>10</v>
      </c>
      <c r="E6" s="27">
        <f t="shared" si="1"/>
        <v>15</v>
      </c>
      <c r="F6" s="27">
        <f t="shared" si="16"/>
        <v>5</v>
      </c>
      <c r="G6" s="11">
        <f t="shared" si="2"/>
        <v>1.7052285488209411</v>
      </c>
      <c r="H6" s="8">
        <f t="shared" si="3"/>
        <v>0.61077999999999999</v>
      </c>
      <c r="I6" s="8">
        <f t="shared" si="4"/>
        <v>1.094448548820941</v>
      </c>
      <c r="J6" s="27">
        <f t="shared" si="5"/>
        <v>0.8326446280991735</v>
      </c>
      <c r="K6" s="8">
        <f t="shared" si="6"/>
        <v>0.8326446280991735</v>
      </c>
      <c r="L6" s="8">
        <f t="shared" si="7"/>
        <v>0.94010911869918679</v>
      </c>
      <c r="M6" s="8"/>
      <c r="N6" s="8">
        <f t="shared" si="8"/>
        <v>2.4854980923816581</v>
      </c>
      <c r="O6" s="24">
        <f t="shared" si="17"/>
        <v>2.069536634772331</v>
      </c>
      <c r="P6" s="8"/>
      <c r="Q6" s="15"/>
      <c r="R6" s="24">
        <f t="shared" si="9"/>
        <v>28.973512886812635</v>
      </c>
      <c r="S6" s="8">
        <f t="shared" si="10"/>
        <v>3.7892914162759958E-2</v>
      </c>
      <c r="T6" s="8"/>
      <c r="U6" s="8">
        <f t="shared" si="11"/>
        <v>0.20036560436014259</v>
      </c>
      <c r="V6" s="24">
        <f t="shared" si="12"/>
        <v>2.8051184610419964</v>
      </c>
      <c r="W6" s="24">
        <f t="shared" si="13"/>
        <v>31.778631347854631</v>
      </c>
      <c r="X6" s="8">
        <f t="shared" si="14"/>
        <v>10.332907842338232</v>
      </c>
      <c r="Y6" s="8"/>
      <c r="Z6" s="34">
        <f t="shared" si="15"/>
        <v>10.251491163083575</v>
      </c>
      <c r="AA6" s="8"/>
      <c r="AB6" s="32" t="s">
        <v>154</v>
      </c>
      <c r="AC6" s="31"/>
      <c r="AD6" s="31"/>
    </row>
    <row r="7" spans="1:57">
      <c r="B7" s="27">
        <v>5</v>
      </c>
      <c r="C7" s="27">
        <v>25</v>
      </c>
      <c r="D7" s="27">
        <f t="shared" si="0"/>
        <v>15</v>
      </c>
      <c r="E7" s="27">
        <f t="shared" si="1"/>
        <v>20</v>
      </c>
      <c r="F7" s="27">
        <f t="shared" si="16"/>
        <v>10</v>
      </c>
      <c r="G7" s="11">
        <f t="shared" si="2"/>
        <v>2.3380938419374377</v>
      </c>
      <c r="H7" s="8">
        <f t="shared" si="3"/>
        <v>0.87227141748882542</v>
      </c>
      <c r="I7" s="8">
        <f t="shared" si="4"/>
        <v>1.4658224244486124</v>
      </c>
      <c r="J7" s="27">
        <f t="shared" si="5"/>
        <v>0.96694214876033058</v>
      </c>
      <c r="K7" s="8">
        <f t="shared" si="6"/>
        <v>0.96694214876033058</v>
      </c>
      <c r="L7" s="8">
        <f t="shared" si="7"/>
        <v>0.89256823099917959</v>
      </c>
      <c r="M7" s="8"/>
      <c r="N7" s="8">
        <f t="shared" si="8"/>
        <v>2.3598075918448704</v>
      </c>
      <c r="O7" s="24">
        <f t="shared" si="17"/>
        <v>2.2817974235194201</v>
      </c>
      <c r="P7" s="8"/>
      <c r="Q7" s="15"/>
      <c r="R7" s="24">
        <f t="shared" si="9"/>
        <v>31.945163929271882</v>
      </c>
      <c r="S7" s="8">
        <f t="shared" si="10"/>
        <v>5.3588673126814659E-2</v>
      </c>
      <c r="T7" s="8"/>
      <c r="U7" s="8">
        <f t="shared" si="11"/>
        <v>0.28335975511919531</v>
      </c>
      <c r="V7" s="24">
        <f t="shared" si="12"/>
        <v>3.9670365716687344</v>
      </c>
      <c r="W7" s="24">
        <f t="shared" si="13"/>
        <v>35.912200500940614</v>
      </c>
      <c r="X7" s="8">
        <f t="shared" si="14"/>
        <v>7.7150109075467039</v>
      </c>
      <c r="Y7" s="8"/>
      <c r="Z7" s="34">
        <f t="shared" si="15"/>
        <v>15.516003947429867</v>
      </c>
      <c r="AA7" s="8"/>
      <c r="AB7" s="31" t="s">
        <v>11</v>
      </c>
      <c r="AC7" s="31" t="s">
        <v>116</v>
      </c>
      <c r="AD7" s="29">
        <f>AE7*60*60</f>
        <v>43200</v>
      </c>
      <c r="AE7" s="31">
        <v>12</v>
      </c>
      <c r="AF7" s="31" t="s">
        <v>117</v>
      </c>
    </row>
    <row r="8" spans="1:57">
      <c r="B8" s="27">
        <v>10</v>
      </c>
      <c r="C8" s="27">
        <v>30</v>
      </c>
      <c r="D8" s="27">
        <f t="shared" si="0"/>
        <v>20</v>
      </c>
      <c r="E8" s="27">
        <f t="shared" si="1"/>
        <v>25</v>
      </c>
      <c r="F8" s="27">
        <f t="shared" si="16"/>
        <v>15</v>
      </c>
      <c r="G8" s="11">
        <f t="shared" si="2"/>
        <v>3.1674898302368564</v>
      </c>
      <c r="H8" s="8">
        <f t="shared" si="3"/>
        <v>1.2278921229539039</v>
      </c>
      <c r="I8" s="8">
        <f t="shared" si="4"/>
        <v>1.9395977072829524</v>
      </c>
      <c r="J8" s="27">
        <f t="shared" si="5"/>
        <v>0.99793388429752061</v>
      </c>
      <c r="K8" s="8">
        <f t="shared" si="6"/>
        <v>1</v>
      </c>
      <c r="L8" s="8">
        <f t="shared" si="7"/>
        <v>0.81189803669513572</v>
      </c>
      <c r="M8" s="8"/>
      <c r="N8" s="8">
        <f t="shared" si="8"/>
        <v>2.1465285053360676</v>
      </c>
      <c r="O8" s="24">
        <f t="shared" si="17"/>
        <v>2.1420935290853733</v>
      </c>
      <c r="P8" s="8"/>
      <c r="Q8" s="15"/>
      <c r="R8" s="24">
        <f t="shared" si="9"/>
        <v>29.989309407195226</v>
      </c>
      <c r="S8" s="8">
        <f t="shared" si="10"/>
        <v>7.5785828325519916E-2</v>
      </c>
      <c r="T8" s="8"/>
      <c r="U8" s="8">
        <f t="shared" si="11"/>
        <v>0.40073120872028517</v>
      </c>
      <c r="V8" s="24">
        <f t="shared" si="12"/>
        <v>5.6102369220839927</v>
      </c>
      <c r="W8" s="41">
        <f t="shared" si="13"/>
        <v>35.599546329279221</v>
      </c>
      <c r="X8" s="8">
        <f t="shared" si="14"/>
        <v>5.8305059604289591</v>
      </c>
      <c r="Y8" s="8"/>
      <c r="Z8" s="34">
        <f t="shared" si="15"/>
        <v>20.352259364031852</v>
      </c>
      <c r="AA8" s="8"/>
      <c r="AB8" s="10" t="s">
        <v>111</v>
      </c>
      <c r="AC8" s="31" t="s">
        <v>116</v>
      </c>
      <c r="AD8" s="48">
        <f>86400-DayLength</f>
        <v>43200</v>
      </c>
    </row>
    <row r="9" spans="1:57">
      <c r="B9" s="27">
        <v>15</v>
      </c>
      <c r="C9" s="27">
        <v>35</v>
      </c>
      <c r="D9" s="27">
        <f t="shared" si="0"/>
        <v>25</v>
      </c>
      <c r="E9" s="27">
        <f t="shared" si="1"/>
        <v>30</v>
      </c>
      <c r="F9" s="27">
        <f t="shared" si="16"/>
        <v>20</v>
      </c>
      <c r="G9" s="11">
        <f t="shared" si="2"/>
        <v>4.2426356531114431</v>
      </c>
      <c r="H9" s="8">
        <f t="shared" si="3"/>
        <v>1.7052285488209411</v>
      </c>
      <c r="I9" s="8">
        <f t="shared" si="4"/>
        <v>2.537407104290502</v>
      </c>
      <c r="J9" s="27">
        <f t="shared" si="5"/>
        <v>0.92561983471074383</v>
      </c>
      <c r="K9" s="8">
        <f t="shared" si="6"/>
        <v>1</v>
      </c>
      <c r="L9" s="8">
        <f t="shared" si="7"/>
        <v>0.67807825935480448</v>
      </c>
      <c r="M9" s="8"/>
      <c r="N9" s="8">
        <f t="shared" si="8"/>
        <v>1.7927304252126062</v>
      </c>
      <c r="O9" s="24">
        <f t="shared" si="17"/>
        <v>1.6593868398662139</v>
      </c>
      <c r="P9" s="8"/>
      <c r="Q9" s="15"/>
      <c r="R9" s="24">
        <f t="shared" si="9"/>
        <v>23.231415758126996</v>
      </c>
      <c r="S9" s="8">
        <f t="shared" si="10"/>
        <v>0.10717734625362932</v>
      </c>
      <c r="T9" s="8"/>
      <c r="U9" s="8">
        <f t="shared" si="11"/>
        <v>0.56671951023839062</v>
      </c>
      <c r="V9" s="24">
        <f t="shared" si="12"/>
        <v>7.9340731433374687</v>
      </c>
      <c r="W9" s="41">
        <f t="shared" si="13"/>
        <v>31.165488901464464</v>
      </c>
      <c r="X9" s="8">
        <f t="shared" si="14"/>
        <v>4.4568472966066368</v>
      </c>
      <c r="Y9" s="8"/>
      <c r="Z9" s="34">
        <f t="shared" si="15"/>
        <v>23.308836667362556</v>
      </c>
      <c r="AA9" s="8"/>
      <c r="AB9" s="31" t="s">
        <v>46</v>
      </c>
      <c r="AC9" s="31" t="s">
        <v>87</v>
      </c>
      <c r="AD9" s="31">
        <v>30</v>
      </c>
    </row>
    <row r="10" spans="1:57">
      <c r="B10" s="27">
        <v>20</v>
      </c>
      <c r="C10" s="27">
        <v>40</v>
      </c>
      <c r="D10" s="27">
        <f t="shared" si="0"/>
        <v>30</v>
      </c>
      <c r="E10" s="27">
        <f t="shared" si="1"/>
        <v>35</v>
      </c>
      <c r="F10" s="27">
        <f t="shared" si="16"/>
        <v>25</v>
      </c>
      <c r="G10" s="11">
        <f t="shared" si="2"/>
        <v>5.6220563085635584</v>
      </c>
      <c r="H10" s="8">
        <f t="shared" si="3"/>
        <v>2.3380938419374377</v>
      </c>
      <c r="I10" s="8">
        <f t="shared" si="4"/>
        <v>3.2839624666261207</v>
      </c>
      <c r="J10" s="27">
        <f t="shared" si="5"/>
        <v>0.75</v>
      </c>
      <c r="K10" s="8">
        <f t="shared" si="6"/>
        <v>1</v>
      </c>
      <c r="L10" s="8">
        <f t="shared" si="7"/>
        <v>0.46077952588954418</v>
      </c>
      <c r="M10" s="8"/>
      <c r="N10" s="8">
        <f t="shared" si="8"/>
        <v>1.2182273417278124</v>
      </c>
      <c r="O10" s="24">
        <f t="shared" si="17"/>
        <v>0.91367050629585933</v>
      </c>
      <c r="P10" s="8"/>
      <c r="Q10" s="15"/>
      <c r="R10" s="24">
        <f t="shared" si="9"/>
        <v>12.791387088142031</v>
      </c>
      <c r="S10" s="8">
        <f t="shared" si="10"/>
        <v>0.1515716566510398</v>
      </c>
      <c r="T10" s="8"/>
      <c r="U10" s="8">
        <f t="shared" si="11"/>
        <v>0.80146241744057012</v>
      </c>
      <c r="V10" s="24">
        <f t="shared" si="12"/>
        <v>11.220473844167982</v>
      </c>
      <c r="W10" s="41">
        <f t="shared" si="13"/>
        <v>24.011860932310015</v>
      </c>
      <c r="X10" s="8">
        <f t="shared" si="14"/>
        <v>3.4436556775772398</v>
      </c>
      <c r="Y10" s="8"/>
      <c r="Z10" s="34">
        <f t="shared" si="15"/>
        <v>23.242375173493208</v>
      </c>
      <c r="AA10" s="8"/>
      <c r="AB10" s="31" t="s">
        <v>25</v>
      </c>
      <c r="AC10" s="31" t="s">
        <v>88</v>
      </c>
      <c r="AD10" s="31">
        <v>5</v>
      </c>
    </row>
    <row r="11" spans="1:57">
      <c r="B11" s="27">
        <v>25</v>
      </c>
      <c r="C11" s="27">
        <v>45</v>
      </c>
      <c r="D11" s="27">
        <f t="shared" si="0"/>
        <v>35</v>
      </c>
      <c r="E11" s="27">
        <f t="shared" si="1"/>
        <v>40</v>
      </c>
      <c r="F11" s="27">
        <f t="shared" si="16"/>
        <v>30</v>
      </c>
      <c r="G11" s="11">
        <f t="shared" si="2"/>
        <v>7.3747231460360023</v>
      </c>
      <c r="H11" s="8">
        <f t="shared" si="3"/>
        <v>3.1674898302368564</v>
      </c>
      <c r="I11" s="8">
        <f t="shared" si="4"/>
        <v>4.2072333157991455</v>
      </c>
      <c r="J11" s="27">
        <f t="shared" si="5"/>
        <v>0.47107438016528924</v>
      </c>
      <c r="K11" s="8">
        <f t="shared" si="6"/>
        <v>1</v>
      </c>
      <c r="L11" s="8">
        <f t="shared" si="7"/>
        <v>0.11495939132148625</v>
      </c>
      <c r="M11" s="8"/>
      <c r="N11" s="8">
        <f t="shared" si="8"/>
        <v>0.30393423715139817</v>
      </c>
      <c r="O11" s="24">
        <f t="shared" si="17"/>
        <v>0.14317563237710493</v>
      </c>
      <c r="P11" s="8"/>
      <c r="Q11" s="15"/>
      <c r="R11" s="24">
        <f t="shared" si="9"/>
        <v>2.0044588532794689</v>
      </c>
      <c r="S11" s="8">
        <f t="shared" si="10"/>
        <v>0.21435469250725864</v>
      </c>
      <c r="T11" s="8"/>
      <c r="U11" s="8">
        <f t="shared" si="11"/>
        <v>1.1334390204767812</v>
      </c>
      <c r="V11" s="24">
        <f t="shared" si="12"/>
        <v>15.868146286674937</v>
      </c>
      <c r="W11" s="41">
        <f t="shared" si="13"/>
        <v>17.872605139954405</v>
      </c>
      <c r="X11" s="8">
        <f t="shared" si="14"/>
        <v>2.6879507610572184</v>
      </c>
      <c r="Y11" s="8"/>
      <c r="Z11" s="34">
        <f t="shared" si="15"/>
        <v>22.163633521530283</v>
      </c>
      <c r="AA11" s="8"/>
      <c r="AB11" s="31" t="s">
        <v>90</v>
      </c>
      <c r="AC11" s="31" t="s">
        <v>89</v>
      </c>
      <c r="AD11" s="29">
        <f>AE11/IMAX</f>
        <v>14</v>
      </c>
      <c r="AE11" s="31">
        <v>70</v>
      </c>
      <c r="AF11" s="31" t="s">
        <v>118</v>
      </c>
    </row>
    <row r="12" spans="1:57">
      <c r="B12" s="27">
        <v>30</v>
      </c>
      <c r="C12" s="27">
        <v>50</v>
      </c>
      <c r="D12" s="27">
        <f t="shared" si="0"/>
        <v>40</v>
      </c>
      <c r="E12" s="27">
        <f t="shared" si="1"/>
        <v>45</v>
      </c>
      <c r="F12" s="27">
        <f t="shared" si="16"/>
        <v>35</v>
      </c>
      <c r="G12" s="11">
        <f t="shared" si="2"/>
        <v>9.5812372781996284</v>
      </c>
      <c r="H12" s="8">
        <f t="shared" si="3"/>
        <v>4.2426356531114431</v>
      </c>
      <c r="I12" s="8">
        <f t="shared" si="4"/>
        <v>5.3386016250881854</v>
      </c>
      <c r="J12" s="27">
        <f t="shared" si="5"/>
        <v>8.8842975206611566E-2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24">
        <f t="shared" si="17"/>
        <v>0</v>
      </c>
      <c r="P12" s="8"/>
      <c r="Q12" s="15"/>
      <c r="R12" s="24">
        <f t="shared" si="9"/>
        <v>0</v>
      </c>
      <c r="S12" s="8">
        <f t="shared" si="10"/>
        <v>0.30314331330207961</v>
      </c>
      <c r="T12" s="8"/>
      <c r="U12" s="8">
        <f t="shared" si="11"/>
        <v>1.6029248348811402</v>
      </c>
      <c r="V12" s="24">
        <f t="shared" si="12"/>
        <v>22.440947688335964</v>
      </c>
      <c r="W12" s="41">
        <f t="shared" si="13"/>
        <v>22.440947688335964</v>
      </c>
      <c r="X12" s="8">
        <f t="shared" si="14"/>
        <v>2.1183142679167029</v>
      </c>
      <c r="Y12" s="8"/>
      <c r="Z12" s="34">
        <f t="shared" si="15"/>
        <v>35.312235377968406</v>
      </c>
      <c r="AA12" s="8"/>
      <c r="AB12" s="31" t="s">
        <v>5</v>
      </c>
      <c r="AC12" s="31" t="s">
        <v>76</v>
      </c>
      <c r="AD12" s="31">
        <v>170</v>
      </c>
      <c r="AE12" s="27" t="s">
        <v>94</v>
      </c>
    </row>
    <row r="13" spans="1:57">
      <c r="B13" s="27">
        <v>35</v>
      </c>
      <c r="C13" s="27">
        <v>55</v>
      </c>
      <c r="D13" s="27">
        <f t="shared" si="0"/>
        <v>45</v>
      </c>
      <c r="E13" s="27">
        <f t="shared" si="1"/>
        <v>50</v>
      </c>
      <c r="F13" s="27">
        <f t="shared" si="16"/>
        <v>40</v>
      </c>
      <c r="G13" s="11">
        <f t="shared" si="2"/>
        <v>12.335046017492973</v>
      </c>
      <c r="H13" s="8">
        <f t="shared" si="3"/>
        <v>5.6220563085635584</v>
      </c>
      <c r="I13" s="8">
        <f t="shared" si="4"/>
        <v>6.7129897089294142</v>
      </c>
      <c r="J13" s="27">
        <f t="shared" si="5"/>
        <v>0</v>
      </c>
      <c r="K13" s="8">
        <f t="shared" si="6"/>
        <v>1</v>
      </c>
      <c r="L13" s="8">
        <f t="shared" si="7"/>
        <v>0</v>
      </c>
      <c r="M13" s="8"/>
      <c r="N13" s="8">
        <f t="shared" si="8"/>
        <v>0</v>
      </c>
      <c r="O13" s="24">
        <f t="shared" si="17"/>
        <v>0</v>
      </c>
      <c r="P13" s="8"/>
      <c r="Q13" s="15"/>
      <c r="R13" s="24">
        <f t="shared" si="9"/>
        <v>0</v>
      </c>
      <c r="S13" s="8">
        <f t="shared" si="10"/>
        <v>0.42870938501451727</v>
      </c>
      <c r="T13" s="8"/>
      <c r="U13" s="8">
        <f t="shared" si="11"/>
        <v>2.2668780409535625</v>
      </c>
      <c r="V13" s="24">
        <f t="shared" si="12"/>
        <v>31.736292573349875</v>
      </c>
      <c r="W13" s="41">
        <f t="shared" si="13"/>
        <v>31.736292573349875</v>
      </c>
      <c r="X13" s="8">
        <f t="shared" si="14"/>
        <v>1.6846198912095649</v>
      </c>
      <c r="Y13" s="8"/>
      <c r="Z13" s="34">
        <f t="shared" si="15"/>
        <v>62.795522092282283</v>
      </c>
      <c r="AA13" s="8"/>
      <c r="AB13" s="31" t="s">
        <v>93</v>
      </c>
      <c r="AC13" s="31"/>
      <c r="AD13" s="31">
        <v>1</v>
      </c>
      <c r="AE13" s="50" t="s">
        <v>132</v>
      </c>
      <c r="AF13" s="50"/>
      <c r="AG13" s="50"/>
      <c r="AH13" s="50"/>
      <c r="AI13" s="50"/>
    </row>
    <row r="14" spans="1:57" ht="15.75" thickBot="1">
      <c r="B14" s="27">
        <v>40</v>
      </c>
      <c r="C14" s="27">
        <v>60</v>
      </c>
      <c r="D14" s="27">
        <f t="shared" si="0"/>
        <v>50</v>
      </c>
      <c r="E14" s="27">
        <f t="shared" si="1"/>
        <v>55</v>
      </c>
      <c r="F14" s="27">
        <f t="shared" si="16"/>
        <v>45</v>
      </c>
      <c r="G14" s="12">
        <f t="shared" si="2"/>
        <v>15.743681776119971</v>
      </c>
      <c r="H14" s="13">
        <f t="shared" si="3"/>
        <v>7.3747231460360023</v>
      </c>
      <c r="I14" s="13">
        <f t="shared" si="4"/>
        <v>8.3689586300839682</v>
      </c>
      <c r="J14" s="27">
        <f t="shared" si="5"/>
        <v>0</v>
      </c>
      <c r="K14" s="8">
        <f t="shared" si="6"/>
        <v>1</v>
      </c>
      <c r="L14" s="8">
        <f t="shared" si="7"/>
        <v>0</v>
      </c>
      <c r="M14" s="13"/>
      <c r="N14" s="8">
        <f t="shared" si="8"/>
        <v>0</v>
      </c>
      <c r="O14" s="24">
        <f t="shared" si="17"/>
        <v>0</v>
      </c>
      <c r="P14" s="13"/>
      <c r="Q14" s="16"/>
      <c r="R14" s="24">
        <f t="shared" si="9"/>
        <v>0</v>
      </c>
      <c r="S14" s="8">
        <f t="shared" si="10"/>
        <v>0.60628662660415922</v>
      </c>
      <c r="T14" s="13"/>
      <c r="U14" s="8">
        <f t="shared" si="11"/>
        <v>3.2058496697622805</v>
      </c>
      <c r="V14" s="24">
        <f t="shared" si="12"/>
        <v>44.881895376671928</v>
      </c>
      <c r="W14" s="42">
        <f t="shared" si="13"/>
        <v>44.881895376671928</v>
      </c>
      <c r="X14" s="8">
        <f t="shared" si="14"/>
        <v>1.3512835339507625</v>
      </c>
      <c r="Y14" s="13"/>
      <c r="Z14" s="34">
        <f t="shared" si="15"/>
        <v>110.7131259336563</v>
      </c>
      <c r="AA14" s="8"/>
      <c r="AB14" s="31" t="s">
        <v>95</v>
      </c>
      <c r="AC14" s="31"/>
      <c r="AD14" s="31">
        <v>1</v>
      </c>
      <c r="AE14" s="50" t="s">
        <v>133</v>
      </c>
      <c r="AF14" s="50"/>
      <c r="AG14" s="50"/>
      <c r="AH14" s="50"/>
      <c r="AI14" s="50"/>
    </row>
    <row r="15" spans="1:57">
      <c r="A15" s="56" t="s">
        <v>183</v>
      </c>
      <c r="B15" s="49" t="s">
        <v>123</v>
      </c>
      <c r="C15" s="49" t="s">
        <v>123</v>
      </c>
      <c r="D15" s="49" t="s">
        <v>123</v>
      </c>
      <c r="E15" s="49" t="s">
        <v>123</v>
      </c>
      <c r="F15" s="49" t="s">
        <v>123</v>
      </c>
      <c r="G15" s="49" t="s">
        <v>123</v>
      </c>
      <c r="H15" s="49" t="s">
        <v>124</v>
      </c>
      <c r="I15" s="49" t="s">
        <v>184</v>
      </c>
      <c r="J15" s="27" t="s">
        <v>75</v>
      </c>
      <c r="K15" s="27" t="s">
        <v>78</v>
      </c>
      <c r="L15" s="27" t="s">
        <v>75</v>
      </c>
      <c r="N15" s="28" t="s">
        <v>79</v>
      </c>
      <c r="O15" s="31" t="s">
        <v>83</v>
      </c>
      <c r="P15" s="28" t="s">
        <v>121</v>
      </c>
      <c r="Q15" s="30" t="s">
        <v>80</v>
      </c>
      <c r="R15" s="31" t="s">
        <v>81</v>
      </c>
      <c r="S15" s="27" t="s">
        <v>119</v>
      </c>
      <c r="U15" s="27" t="s">
        <v>82</v>
      </c>
      <c r="V15" s="31" t="s">
        <v>81</v>
      </c>
      <c r="W15" s="31" t="s">
        <v>81</v>
      </c>
      <c r="X15" s="27" t="s">
        <v>120</v>
      </c>
      <c r="Z15" s="31" t="s">
        <v>125</v>
      </c>
      <c r="AB15" s="31" t="s">
        <v>96</v>
      </c>
      <c r="AC15" s="31"/>
      <c r="AD15" s="31">
        <v>1</v>
      </c>
    </row>
    <row r="16" spans="1:57">
      <c r="AB16" s="31" t="s">
        <v>98</v>
      </c>
      <c r="AC16" s="31"/>
      <c r="AD16" s="31">
        <v>10.9</v>
      </c>
    </row>
    <row r="17" spans="1:49">
      <c r="AB17" s="31" t="s">
        <v>40</v>
      </c>
      <c r="AC17" s="31"/>
      <c r="AD17" s="29">
        <f>1+(((1.22*(((AD27*0.68)-68)/((AD27*0.68)+136)))-0.55455)/0.55455)</f>
        <v>1.0999909836804616</v>
      </c>
    </row>
    <row r="18" spans="1:49">
      <c r="AB18" s="31" t="s">
        <v>100</v>
      </c>
      <c r="AC18" s="31" t="s">
        <v>97</v>
      </c>
      <c r="AD18" s="31">
        <v>2</v>
      </c>
    </row>
    <row r="19" spans="1:49">
      <c r="A19" s="56" t="s">
        <v>55</v>
      </c>
      <c r="AB19" s="31" t="s">
        <v>2</v>
      </c>
      <c r="AC19" s="31" t="s">
        <v>97</v>
      </c>
      <c r="AD19" s="31">
        <v>24</v>
      </c>
      <c r="AE19" s="2" t="s">
        <v>126</v>
      </c>
    </row>
    <row r="20" spans="1:49" ht="15.75" thickBot="1">
      <c r="G20" s="27" t="s">
        <v>105</v>
      </c>
      <c r="H20" s="27" t="s">
        <v>105</v>
      </c>
      <c r="I20" s="27" t="s">
        <v>105</v>
      </c>
      <c r="J20" s="27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AB20" s="31" t="s">
        <v>3</v>
      </c>
      <c r="AC20" s="31" t="s">
        <v>97</v>
      </c>
      <c r="AD20" s="29">
        <f>PsnTOpt+(PsnTOpt-PsnTMin)</f>
        <v>46</v>
      </c>
    </row>
    <row r="21" spans="1:49" ht="15.75" thickBot="1">
      <c r="G21" s="9" t="s">
        <v>106</v>
      </c>
      <c r="H21" s="9" t="s">
        <v>107</v>
      </c>
      <c r="I21" s="9" t="s">
        <v>109</v>
      </c>
      <c r="J21" s="18" t="s">
        <v>58</v>
      </c>
      <c r="K21" s="19"/>
      <c r="L21" s="18" t="s">
        <v>9</v>
      </c>
      <c r="M21" s="20" t="s">
        <v>56</v>
      </c>
      <c r="N21" s="20" t="s">
        <v>56</v>
      </c>
      <c r="O21" s="22" t="s">
        <v>56</v>
      </c>
      <c r="P21" s="6" t="s">
        <v>61</v>
      </c>
      <c r="Q21" s="26" t="s">
        <v>63</v>
      </c>
      <c r="R21" s="23" t="s">
        <v>65</v>
      </c>
      <c r="S21" s="40" t="s">
        <v>57</v>
      </c>
      <c r="T21" s="47" t="s">
        <v>112</v>
      </c>
      <c r="U21" s="6" t="s">
        <v>99</v>
      </c>
      <c r="V21" s="22" t="s">
        <v>68</v>
      </c>
      <c r="W21" s="22" t="s">
        <v>70</v>
      </c>
      <c r="X21" s="14" t="s">
        <v>122</v>
      </c>
      <c r="Y21" s="6" t="s">
        <v>72</v>
      </c>
      <c r="Z21" s="40" t="s">
        <v>73</v>
      </c>
      <c r="AA21" s="8"/>
      <c r="AB21" s="31" t="s">
        <v>30</v>
      </c>
      <c r="AC21" s="31"/>
      <c r="AD21" s="10">
        <v>0.05</v>
      </c>
      <c r="AQ21" s="8"/>
      <c r="AR21" s="8"/>
      <c r="AS21" s="8"/>
      <c r="AT21" s="8"/>
      <c r="AU21" s="8"/>
      <c r="AV21" s="8"/>
      <c r="AW21" s="8"/>
    </row>
    <row r="22" spans="1:49" ht="15.75" thickBot="1">
      <c r="G22" s="11">
        <f>IF(Tday &lt;0,0.61078 * EXP(21.87456 * Tday / (Tday + 265.5)),0.61078 * EXP(17.26939 * Tday / (Tday + 237.3)))</f>
        <v>0.61077999999999999</v>
      </c>
      <c r="H22" s="8">
        <f>IF(Tmin &lt; 0,0.61078 * EXP(21.87456 * Tmin / (Tmin + 265.5)), 0.61078 * EXP(17.26939 * Tmin / (Tmin + 237.3)))</f>
        <v>0.16482477446204352</v>
      </c>
      <c r="I22" s="8">
        <f>es_PnET_II - emean_PnET_II</f>
        <v>0.44595522553795647</v>
      </c>
      <c r="J22" s="27">
        <f>MAX(0,(PsnTMax - Tday) * (Tday - PsnTMin) / (((PsnTMax - PsnTMin) / 2)*(PsnTMax - PsnTMin) / 2))</f>
        <v>0</v>
      </c>
      <c r="K22" s="35"/>
      <c r="L22" s="35">
        <f>MAX(0,1 - DVPD1 * (VPD_PnET_II^DVPD2))</f>
        <v>0.99005619684076951</v>
      </c>
      <c r="M22" s="8">
        <f t="shared" ref="M22:M33" si="18">(Amax*AMaxFrac) + BaseFolResp_pnet_ii</f>
        <v>187</v>
      </c>
      <c r="N22" s="44">
        <f>(GrossAmax_temp1_pnet_ii * DVPD_pnet_ii * Dtemp_pnet_ii * DayLength * MC) /Billion</f>
        <v>0</v>
      </c>
      <c r="O22" s="45">
        <f>GrossAmax_temp2_pnet_ii * fRad*dayspan</f>
        <v>0</v>
      </c>
      <c r="P22" s="35">
        <f xml:space="preserve"> Fol / SLWLayer</f>
        <v>0.875</v>
      </c>
      <c r="Q22" s="46" t="e">
        <f>CanopyGrossPsnActMo * WoodMRespA</f>
        <v>#NAME?</v>
      </c>
      <c r="R22" s="45">
        <f>LayerGrossPsnRate_pnet_ii*(Fol)</f>
        <v>0</v>
      </c>
      <c r="S22" s="35">
        <f>(BaseFolResp_pnet_ii*(RespQ10^((Tday-PsnTOpt)/10))*DayLength*MC)/Billion</f>
        <v>1.6697133696678547E-3</v>
      </c>
      <c r="T22" s="35">
        <f>(BaseFolResp_pnet_ii*(RespQ10^((Tnight-PsnTOpt)/10))*NightLength*MC)/Billion</f>
        <v>8.3485668483392755E-4</v>
      </c>
      <c r="U22" s="35">
        <f>BaseFolRespFrac * Amax</f>
        <v>17</v>
      </c>
      <c r="V22" s="45">
        <f>(DayResp_pnet_ii + NightResp)* dayspan * Fol</f>
        <v>1.0519194228907485</v>
      </c>
      <c r="W22" s="45">
        <f>GrossAmax_pnet_ii * fRad*fWater</f>
        <v>0</v>
      </c>
      <c r="X22" s="8">
        <f>(WUEconst/VPD_PnET_Succession) * (1 + 1 - Delgs)</f>
        <v>26.905528105428488</v>
      </c>
      <c r="Y22" s="35">
        <f>LayerGrossPsn_pnet_ii - LayerResp_pnet_ii</f>
        <v>-1.0519194228907485</v>
      </c>
      <c r="Z22" s="34">
        <f>(LayerGrossPsn_pnet_ii/ DelAmax /X22)*MCO2_MC</f>
        <v>0</v>
      </c>
      <c r="AA22" s="8"/>
      <c r="AB22" s="31" t="s">
        <v>31</v>
      </c>
      <c r="AC22" s="31"/>
      <c r="AD22" s="10">
        <v>2</v>
      </c>
      <c r="AQ22" s="8"/>
      <c r="AR22" s="8"/>
      <c r="AS22" s="8"/>
      <c r="AT22" s="8"/>
      <c r="AU22" s="8"/>
      <c r="AV22" s="8"/>
      <c r="AW22" s="8"/>
    </row>
    <row r="23" spans="1:49" ht="15.75" thickBot="1">
      <c r="G23" s="11">
        <f>IF(E4 &lt;0,0.61078 * EXP(21.87456 * E4 / (E4 + 265.5)),0.61078 * EXP(17.26939 * E4 / (E4 + 237.3)))</f>
        <v>0.87227141748882542</v>
      </c>
      <c r="H23" s="8">
        <f>IF(B4 &lt; 0,0.61078 * EXP(21.87456 * B4 / (B4 + 265.5)), 0.61078 * EXP(17.26939 * B4 / (B4 + 237.3)))</f>
        <v>0.25945665773474508</v>
      </c>
      <c r="I23" s="8">
        <f t="shared" ref="I23:I33" si="19">G23 - H23</f>
        <v>0.61281475975408028</v>
      </c>
      <c r="J23" s="27">
        <f t="shared" ref="J23:J33" si="20">MAX(0,(PsnTMax - E4) * (E4 - PsnTMin) / (((PsnTMax - PsnTMin) / 2)*(PsnTMax - PsnTMin) / 2))</f>
        <v>0.25413223140495866</v>
      </c>
      <c r="K23" s="8"/>
      <c r="L23" s="8">
        <f t="shared" ref="L23:L33" si="21">MAX(0,1 - DVPD1 * (I23^DVPD2))</f>
        <v>0.98122290351137742</v>
      </c>
      <c r="M23" s="8">
        <f t="shared" si="18"/>
        <v>187</v>
      </c>
      <c r="N23" s="7">
        <f t="shared" ref="N23:N33" si="22">(M23 * L23 * J23 * DayLength * MC) /Billion</f>
        <v>2.4173193365909163E-2</v>
      </c>
      <c r="O23" s="24">
        <f t="shared" ref="O23:O33" si="23">N23 * fRad * dayspan</f>
        <v>0.72519580097727487</v>
      </c>
      <c r="P23" s="8"/>
      <c r="Q23" s="15"/>
      <c r="R23" s="45">
        <f t="shared" ref="R23:R33" si="24">W23*(Fol)</f>
        <v>10.152741213681848</v>
      </c>
      <c r="S23" s="35">
        <f t="shared" ref="S23:S33" si="25">(BaseFolResp_pnet_ii*(RespQ10^((E4-PsnTOpt)/10))*DayLength*MC)/Billion</f>
        <v>2.3613312926599609E-3</v>
      </c>
      <c r="T23" s="35">
        <f t="shared" ref="T23:T33" si="26">(BaseFolResp_pnet_ii*(RespQ10^((F4-PsnTOpt)/10))*NightLength*MC)/Billion</f>
        <v>1.1806656463299809E-3</v>
      </c>
      <c r="U23" s="8"/>
      <c r="V23" s="24">
        <f t="shared" ref="V23:V33" si="27">(S23 + T23) * dayspan*Fol</f>
        <v>1.4876387143757757</v>
      </c>
      <c r="W23" s="45">
        <f t="shared" ref="W23:W33" si="28">O23 * fRad*fWater</f>
        <v>0.72519580097727487</v>
      </c>
      <c r="X23" s="8">
        <f t="shared" ref="X23:X33" si="29">(WUEconst/I23) * (1 + 1 - Delgs)</f>
        <v>18.453922352793494</v>
      </c>
      <c r="Y23" s="8">
        <f>R23 - V23</f>
        <v>8.665102499306073</v>
      </c>
      <c r="Z23" s="34">
        <f t="shared" ref="Z23:Z33" si="30">(R23/DelAmax/X23)*MCO2_MC</f>
        <v>1.8338720701161906</v>
      </c>
      <c r="AA23" s="8"/>
      <c r="AB23" s="31" t="s">
        <v>101</v>
      </c>
      <c r="AC23" s="31"/>
      <c r="AD23" s="31">
        <v>2</v>
      </c>
      <c r="AQ23" s="8"/>
      <c r="AR23" s="8"/>
      <c r="AS23" s="8"/>
      <c r="AT23" s="8"/>
      <c r="AU23" s="8"/>
      <c r="AV23" s="8"/>
      <c r="AW23" s="8"/>
    </row>
    <row r="24" spans="1:49" ht="15.75" thickBot="1">
      <c r="G24" s="11">
        <f t="shared" ref="G24:G33" si="31">IF(E5 &lt;0,0.61078 * EXP(21.87456 * E5 / (E5 + 265.5)),0.61078 * EXP(17.26939 * E5 / (E5 + 237.3)))</f>
        <v>1.2278921229539039</v>
      </c>
      <c r="H24" s="8">
        <f t="shared" ref="H24:H33" si="32">IF(B5 &lt; 0,0.61078 * EXP(21.87456 * B5 / (B5 + 265.5)), 0.61078 * EXP(17.26939 * B5 / (B5 + 237.3)))</f>
        <v>0.40136836884191091</v>
      </c>
      <c r="I24" s="8">
        <f t="shared" si="19"/>
        <v>0.82652375411199297</v>
      </c>
      <c r="J24" s="27">
        <f t="shared" si="20"/>
        <v>0.5950413223140496</v>
      </c>
      <c r="K24" s="8"/>
      <c r="L24" s="8">
        <f t="shared" si="21"/>
        <v>0.96584292419443085</v>
      </c>
      <c r="M24" s="8">
        <f t="shared" si="18"/>
        <v>187</v>
      </c>
      <c r="N24" s="7">
        <f t="shared" si="22"/>
        <v>5.5713472509866267E-2</v>
      </c>
      <c r="O24" s="24">
        <f t="shared" si="23"/>
        <v>1.6714041752959881</v>
      </c>
      <c r="P24" s="8"/>
      <c r="Q24" s="15"/>
      <c r="R24" s="45">
        <f t="shared" si="24"/>
        <v>23.399658454143832</v>
      </c>
      <c r="S24" s="35">
        <f t="shared" si="25"/>
        <v>3.3394267393357093E-3</v>
      </c>
      <c r="T24" s="35">
        <f t="shared" si="26"/>
        <v>1.6697133696678547E-3</v>
      </c>
      <c r="U24" s="8"/>
      <c r="V24" s="24">
        <f t="shared" si="27"/>
        <v>2.1038388457814965</v>
      </c>
      <c r="W24" s="45">
        <f t="shared" si="28"/>
        <v>1.6714041752959881</v>
      </c>
      <c r="X24" s="8">
        <f t="shared" si="29"/>
        <v>13.682408928824644</v>
      </c>
      <c r="Y24" s="8">
        <f t="shared" ref="Y24:Y33" si="33">R24 - V24</f>
        <v>21.295819608362336</v>
      </c>
      <c r="Z24" s="34">
        <f t="shared" si="30"/>
        <v>5.7006104028715621</v>
      </c>
      <c r="AA24" s="8"/>
      <c r="AB24" s="31" t="s">
        <v>102</v>
      </c>
      <c r="AC24" s="31"/>
      <c r="AD24" s="31">
        <v>0.1</v>
      </c>
      <c r="AE24" s="36"/>
      <c r="AQ24" s="8"/>
      <c r="AR24" s="8"/>
      <c r="AS24" s="8"/>
      <c r="AT24" s="8"/>
      <c r="AU24" s="8"/>
      <c r="AV24" s="8"/>
      <c r="AW24" s="8"/>
    </row>
    <row r="25" spans="1:49" ht="15.75" thickBot="1">
      <c r="G25" s="11">
        <f t="shared" si="31"/>
        <v>1.7052285488209411</v>
      </c>
      <c r="H25" s="8">
        <f t="shared" si="32"/>
        <v>0.61077999999999999</v>
      </c>
      <c r="I25" s="8">
        <f t="shared" si="19"/>
        <v>1.094448548820941</v>
      </c>
      <c r="J25" s="27">
        <f t="shared" si="20"/>
        <v>0.8326446280991735</v>
      </c>
      <c r="K25" s="8"/>
      <c r="L25" s="8">
        <f t="shared" si="21"/>
        <v>0.94010911869918679</v>
      </c>
      <c r="M25" s="8">
        <f t="shared" si="18"/>
        <v>187</v>
      </c>
      <c r="N25" s="7">
        <f t="shared" si="22"/>
        <v>7.5883009941652119E-2</v>
      </c>
      <c r="O25" s="24">
        <f t="shared" si="23"/>
        <v>2.2764902982495636</v>
      </c>
      <c r="P25" s="8"/>
      <c r="Q25" s="15"/>
      <c r="R25" s="45">
        <f t="shared" si="24"/>
        <v>31.870864175493892</v>
      </c>
      <c r="S25" s="35">
        <f t="shared" si="25"/>
        <v>4.7226625853199217E-3</v>
      </c>
      <c r="T25" s="35">
        <f t="shared" si="26"/>
        <v>2.3613312926599609E-3</v>
      </c>
      <c r="U25" s="8"/>
      <c r="V25" s="24">
        <f t="shared" si="27"/>
        <v>2.9752774287515509</v>
      </c>
      <c r="W25" s="45">
        <f t="shared" si="28"/>
        <v>2.2764902982495636</v>
      </c>
      <c r="X25" s="8">
        <f t="shared" si="29"/>
        <v>10.332907842338232</v>
      </c>
      <c r="Y25" s="8">
        <f t="shared" si="33"/>
        <v>28.895586746742342</v>
      </c>
      <c r="Z25" s="34">
        <f t="shared" si="30"/>
        <v>10.281244616186708</v>
      </c>
      <c r="AA25" s="8"/>
      <c r="AB25" s="24" t="s">
        <v>41</v>
      </c>
      <c r="AC25" s="31"/>
      <c r="AD25" s="29">
        <f xml:space="preserve"> DelAmax / ((AD27 - AD27*0.68) / (350 - 238))</f>
        <v>0.96249211072040386</v>
      </c>
      <c r="AE25" s="36"/>
      <c r="AF25" s="8"/>
      <c r="AG25" s="8"/>
      <c r="AQ25" s="8"/>
      <c r="AR25" s="8"/>
      <c r="AS25" s="8"/>
      <c r="AT25" s="8"/>
      <c r="AU25" s="8"/>
      <c r="AV25" s="8"/>
      <c r="AW25" s="8"/>
    </row>
    <row r="26" spans="1:49" ht="15.75" thickBot="1">
      <c r="G26" s="11">
        <f t="shared" si="31"/>
        <v>2.3380938419374377</v>
      </c>
      <c r="H26" s="8">
        <f t="shared" si="32"/>
        <v>0.87227141748882542</v>
      </c>
      <c r="I26" s="8">
        <f t="shared" si="19"/>
        <v>1.4658224244486124</v>
      </c>
      <c r="J26" s="27">
        <f t="shared" si="20"/>
        <v>0.96694214876033058</v>
      </c>
      <c r="K26" s="8"/>
      <c r="L26" s="8">
        <f t="shared" si="21"/>
        <v>0.89256823099917959</v>
      </c>
      <c r="M26" s="8">
        <f t="shared" si="18"/>
        <v>187</v>
      </c>
      <c r="N26" s="7">
        <f t="shared" si="22"/>
        <v>8.3665905529045431E-2</v>
      </c>
      <c r="O26" s="24">
        <f t="shared" si="23"/>
        <v>2.509977165871363</v>
      </c>
      <c r="P26" s="8"/>
      <c r="Q26" s="15"/>
      <c r="R26" s="45">
        <f t="shared" si="24"/>
        <v>35.139680322199084</v>
      </c>
      <c r="S26" s="35">
        <f t="shared" si="25"/>
        <v>6.6788534786714187E-3</v>
      </c>
      <c r="T26" s="35">
        <f t="shared" si="26"/>
        <v>3.3394267393357093E-3</v>
      </c>
      <c r="U26" s="8"/>
      <c r="V26" s="24">
        <f t="shared" si="27"/>
        <v>4.207677691562993</v>
      </c>
      <c r="W26" s="45">
        <f t="shared" si="28"/>
        <v>2.509977165871363</v>
      </c>
      <c r="X26" s="8">
        <f t="shared" si="29"/>
        <v>7.7150109075467039</v>
      </c>
      <c r="Y26" s="8">
        <f t="shared" si="33"/>
        <v>30.932002630636092</v>
      </c>
      <c r="Z26" s="34">
        <f t="shared" si="30"/>
        <v>15.182233641638975</v>
      </c>
      <c r="AA26" s="8"/>
      <c r="AB26" s="24" t="s">
        <v>115</v>
      </c>
      <c r="AC26" s="31"/>
      <c r="AD26" s="29">
        <f>AE26/IMAX</f>
        <v>16</v>
      </c>
      <c r="AE26" s="24">
        <v>80</v>
      </c>
      <c r="AF26" s="24" t="s">
        <v>143</v>
      </c>
      <c r="AG26" s="8"/>
      <c r="AQ26" s="8"/>
      <c r="AR26" s="8"/>
      <c r="AS26" s="8"/>
      <c r="AT26" s="8"/>
      <c r="AU26" s="8"/>
      <c r="AV26" s="8"/>
      <c r="AW26" s="8"/>
    </row>
    <row r="27" spans="1:49" ht="15.75" thickBot="1">
      <c r="G27" s="11">
        <f t="shared" si="31"/>
        <v>3.1674898302368564</v>
      </c>
      <c r="H27" s="8">
        <f t="shared" si="32"/>
        <v>1.2278921229539039</v>
      </c>
      <c r="I27" s="8">
        <f t="shared" si="19"/>
        <v>1.9395977072829524</v>
      </c>
      <c r="J27" s="27">
        <f t="shared" si="20"/>
        <v>0.99793388429752061</v>
      </c>
      <c r="K27" s="8"/>
      <c r="L27" s="8">
        <f t="shared" si="21"/>
        <v>0.81189803669513572</v>
      </c>
      <c r="M27" s="8">
        <f t="shared" si="18"/>
        <v>187</v>
      </c>
      <c r="N27" s="7">
        <f t="shared" si="22"/>
        <v>7.8543429399797027E-2</v>
      </c>
      <c r="O27" s="24">
        <f t="shared" si="23"/>
        <v>2.3563028819939107</v>
      </c>
      <c r="P27" s="8"/>
      <c r="Q27" s="15"/>
      <c r="R27" s="45">
        <f t="shared" si="24"/>
        <v>32.988240347914747</v>
      </c>
      <c r="S27" s="35">
        <f t="shared" si="25"/>
        <v>9.4453251706398435E-3</v>
      </c>
      <c r="T27" s="35">
        <f t="shared" si="26"/>
        <v>4.7226625853199217E-3</v>
      </c>
      <c r="U27" s="8"/>
      <c r="V27" s="24">
        <f t="shared" si="27"/>
        <v>5.9505548575031018</v>
      </c>
      <c r="W27" s="45">
        <f t="shared" si="28"/>
        <v>2.3563028819939107</v>
      </c>
      <c r="X27" s="8">
        <f t="shared" si="29"/>
        <v>5.8305059604289591</v>
      </c>
      <c r="Y27" s="8">
        <f t="shared" si="33"/>
        <v>27.037685490411647</v>
      </c>
      <c r="Z27" s="34">
        <f t="shared" si="30"/>
        <v>18.859375827820404</v>
      </c>
      <c r="AA27" s="8"/>
      <c r="AB27" s="24" t="s">
        <v>141</v>
      </c>
      <c r="AC27" s="31" t="s">
        <v>142</v>
      </c>
      <c r="AD27" s="31">
        <v>400</v>
      </c>
      <c r="AE27" s="50" t="s">
        <v>144</v>
      </c>
      <c r="AF27" s="50"/>
      <c r="AG27" s="8"/>
      <c r="AQ27" s="8"/>
      <c r="AR27" s="8"/>
      <c r="AS27" s="8"/>
      <c r="AT27" s="8"/>
      <c r="AU27" s="8"/>
      <c r="AV27" s="8"/>
      <c r="AW27" s="8"/>
    </row>
    <row r="28" spans="1:49" ht="15.75" thickBot="1">
      <c r="G28" s="11">
        <f t="shared" si="31"/>
        <v>4.2426356531114431</v>
      </c>
      <c r="H28" s="8">
        <f t="shared" si="32"/>
        <v>1.7052285488209411</v>
      </c>
      <c r="I28" s="8">
        <f t="shared" si="19"/>
        <v>2.537407104290502</v>
      </c>
      <c r="J28" s="27">
        <f t="shared" si="20"/>
        <v>0.92561983471074383</v>
      </c>
      <c r="K28" s="8"/>
      <c r="L28" s="8">
        <f t="shared" si="21"/>
        <v>0.67807825935480448</v>
      </c>
      <c r="M28" s="8">
        <f t="shared" si="18"/>
        <v>187</v>
      </c>
      <c r="N28" s="7">
        <f t="shared" si="22"/>
        <v>6.0844184128427847E-2</v>
      </c>
      <c r="O28" s="24">
        <f t="shared" si="23"/>
        <v>1.8253255238528354</v>
      </c>
      <c r="P28" s="8"/>
      <c r="Q28" s="15"/>
      <c r="R28" s="45">
        <f t="shared" si="24"/>
        <v>25.554557333939695</v>
      </c>
      <c r="S28" s="35">
        <f t="shared" si="25"/>
        <v>1.3357706957342836E-2</v>
      </c>
      <c r="T28" s="35">
        <f t="shared" si="26"/>
        <v>6.6788534786714187E-3</v>
      </c>
      <c r="U28" s="8"/>
      <c r="V28" s="24">
        <f t="shared" si="27"/>
        <v>8.415355383125986</v>
      </c>
      <c r="W28" s="45">
        <f t="shared" si="28"/>
        <v>1.8253255238528354</v>
      </c>
      <c r="X28" s="8">
        <f t="shared" si="29"/>
        <v>4.4568472966066368</v>
      </c>
      <c r="Y28" s="8">
        <f t="shared" si="33"/>
        <v>17.139201950813707</v>
      </c>
      <c r="Z28" s="34">
        <f t="shared" si="30"/>
        <v>19.112390788631682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.75" thickBot="1">
      <c r="G29" s="11">
        <f t="shared" si="31"/>
        <v>5.6220563085635584</v>
      </c>
      <c r="H29" s="8">
        <f t="shared" si="32"/>
        <v>2.3380938419374377</v>
      </c>
      <c r="I29" s="8">
        <f t="shared" si="19"/>
        <v>3.2839624666261207</v>
      </c>
      <c r="J29" s="27">
        <f t="shared" si="20"/>
        <v>0.75</v>
      </c>
      <c r="K29" s="8"/>
      <c r="L29" s="8">
        <f t="shared" si="21"/>
        <v>0.46077952588954418</v>
      </c>
      <c r="M29" s="8">
        <f t="shared" si="18"/>
        <v>187</v>
      </c>
      <c r="N29" s="7">
        <f t="shared" si="22"/>
        <v>3.3501251897514836E-2</v>
      </c>
      <c r="O29" s="24">
        <f t="shared" si="23"/>
        <v>1.0050375569254451</v>
      </c>
      <c r="P29" s="8"/>
      <c r="Q29" s="15"/>
      <c r="R29" s="45">
        <f t="shared" si="24"/>
        <v>14.070525796956231</v>
      </c>
      <c r="S29" s="35">
        <f t="shared" si="25"/>
        <v>1.8890650341279687E-2</v>
      </c>
      <c r="T29" s="35">
        <f t="shared" si="26"/>
        <v>9.4453251706398435E-3</v>
      </c>
      <c r="U29" s="8"/>
      <c r="V29" s="24">
        <f t="shared" si="27"/>
        <v>11.901109715006204</v>
      </c>
      <c r="W29" s="45">
        <f t="shared" si="28"/>
        <v>1.0050375569254451</v>
      </c>
      <c r="X29" s="8">
        <f t="shared" si="29"/>
        <v>3.4436556775772398</v>
      </c>
      <c r="Y29" s="8">
        <f t="shared" si="33"/>
        <v>2.1694160819500272</v>
      </c>
      <c r="Z29" s="34">
        <f t="shared" si="30"/>
        <v>13.619620752555713</v>
      </c>
      <c r="AA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.75" thickBot="1">
      <c r="G30" s="11">
        <f t="shared" si="31"/>
        <v>7.3747231460360023</v>
      </c>
      <c r="H30" s="8">
        <f t="shared" si="32"/>
        <v>3.1674898302368564</v>
      </c>
      <c r="I30" s="8">
        <f t="shared" si="19"/>
        <v>4.2072333157991455</v>
      </c>
      <c r="J30" s="27">
        <f t="shared" si="20"/>
        <v>0.47107438016528924</v>
      </c>
      <c r="K30" s="8"/>
      <c r="L30" s="8">
        <f t="shared" si="21"/>
        <v>0.11495939132148625</v>
      </c>
      <c r="M30" s="8">
        <f t="shared" si="18"/>
        <v>187</v>
      </c>
      <c r="N30" s="7">
        <f t="shared" si="22"/>
        <v>5.2497731871605146E-3</v>
      </c>
      <c r="O30" s="24">
        <f t="shared" si="23"/>
        <v>0.15749319561481545</v>
      </c>
      <c r="P30" s="8"/>
      <c r="Q30" s="15"/>
      <c r="R30" s="45">
        <f t="shared" si="24"/>
        <v>2.2049047386074161</v>
      </c>
      <c r="S30" s="35">
        <f t="shared" si="25"/>
        <v>2.6715413914685671E-2</v>
      </c>
      <c r="T30" s="35">
        <f t="shared" si="26"/>
        <v>1.3357706957342836E-2</v>
      </c>
      <c r="U30" s="8"/>
      <c r="V30" s="24">
        <f t="shared" si="27"/>
        <v>16.830710766251972</v>
      </c>
      <c r="W30" s="45">
        <f t="shared" si="28"/>
        <v>0.15749319561481545</v>
      </c>
      <c r="X30" s="8">
        <f t="shared" si="29"/>
        <v>2.6879507610572184</v>
      </c>
      <c r="Y30" s="8">
        <f t="shared" si="33"/>
        <v>-14.625806027644556</v>
      </c>
      <c r="Z30" s="34">
        <f t="shared" si="30"/>
        <v>2.7342796527817743</v>
      </c>
      <c r="AA30" s="8"/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.75" thickBot="1">
      <c r="G31" s="11">
        <f t="shared" si="31"/>
        <v>9.5812372781996284</v>
      </c>
      <c r="H31" s="8">
        <f t="shared" si="32"/>
        <v>4.2426356531114431</v>
      </c>
      <c r="I31" s="8">
        <f t="shared" si="19"/>
        <v>5.3386016250881854</v>
      </c>
      <c r="J31" s="27">
        <f t="shared" si="20"/>
        <v>8.8842975206611566E-2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24">
        <f t="shared" si="23"/>
        <v>0</v>
      </c>
      <c r="P31" s="8"/>
      <c r="Q31" s="15"/>
      <c r="R31" s="45">
        <f t="shared" si="24"/>
        <v>0</v>
      </c>
      <c r="S31" s="35">
        <f t="shared" si="25"/>
        <v>3.7781300682559374E-2</v>
      </c>
      <c r="T31" s="35">
        <f t="shared" si="26"/>
        <v>1.8890650341279687E-2</v>
      </c>
      <c r="U31" s="8"/>
      <c r="V31" s="24">
        <f t="shared" si="27"/>
        <v>23.802219430012407</v>
      </c>
      <c r="W31" s="45">
        <f t="shared" si="28"/>
        <v>0</v>
      </c>
      <c r="X31" s="8">
        <f t="shared" si="29"/>
        <v>2.1183142679167029</v>
      </c>
      <c r="Y31" s="8">
        <f t="shared" si="33"/>
        <v>-23.802219430012407</v>
      </c>
      <c r="Z31" s="34">
        <f t="shared" si="30"/>
        <v>0</v>
      </c>
      <c r="AA31" s="8"/>
      <c r="AB31" s="30" t="s">
        <v>113</v>
      </c>
      <c r="AC31" s="30"/>
      <c r="AD31" s="30">
        <v>1</v>
      </c>
      <c r="AE31" s="27" t="s">
        <v>129</v>
      </c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.75" thickBot="1">
      <c r="G32" s="11">
        <f t="shared" si="31"/>
        <v>12.335046017492973</v>
      </c>
      <c r="H32" s="8">
        <f t="shared" si="32"/>
        <v>5.6220563085635584</v>
      </c>
      <c r="I32" s="8">
        <f t="shared" si="19"/>
        <v>6.7129897089294142</v>
      </c>
      <c r="J32" s="27">
        <f t="shared" si="20"/>
        <v>0</v>
      </c>
      <c r="K32" s="8"/>
      <c r="L32" s="8">
        <f t="shared" si="21"/>
        <v>0</v>
      </c>
      <c r="M32" s="8">
        <f t="shared" si="18"/>
        <v>187</v>
      </c>
      <c r="N32" s="7">
        <f t="shared" si="22"/>
        <v>0</v>
      </c>
      <c r="O32" s="24">
        <f t="shared" si="23"/>
        <v>0</v>
      </c>
      <c r="P32" s="8"/>
      <c r="Q32" s="15"/>
      <c r="R32" s="45">
        <f t="shared" si="24"/>
        <v>0</v>
      </c>
      <c r="S32" s="35">
        <f t="shared" si="25"/>
        <v>5.3430827829371343E-2</v>
      </c>
      <c r="T32" s="35">
        <f t="shared" si="26"/>
        <v>2.6715413914685671E-2</v>
      </c>
      <c r="U32" s="8"/>
      <c r="V32" s="24">
        <f t="shared" si="27"/>
        <v>33.661421532503944</v>
      </c>
      <c r="W32" s="45">
        <f t="shared" si="28"/>
        <v>0</v>
      </c>
      <c r="X32" s="8">
        <f t="shared" si="29"/>
        <v>1.6846198912095649</v>
      </c>
      <c r="Y32" s="8">
        <f t="shared" si="33"/>
        <v>-33.661421532503944</v>
      </c>
      <c r="Z32" s="34">
        <f t="shared" si="30"/>
        <v>0</v>
      </c>
      <c r="AA32" s="8"/>
      <c r="AB32" s="7"/>
      <c r="AC32" s="3"/>
      <c r="AD32" s="3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5.75" thickBot="1">
      <c r="G33" s="12">
        <f t="shared" si="31"/>
        <v>15.743681776119971</v>
      </c>
      <c r="H33" s="13">
        <f t="shared" si="32"/>
        <v>7.3747231460360023</v>
      </c>
      <c r="I33" s="13">
        <f t="shared" si="19"/>
        <v>8.3689586300839682</v>
      </c>
      <c r="J33" s="27">
        <f t="shared" si="20"/>
        <v>0</v>
      </c>
      <c r="K33" s="13"/>
      <c r="L33" s="13">
        <f t="shared" si="21"/>
        <v>0</v>
      </c>
      <c r="M33" s="13">
        <f t="shared" si="18"/>
        <v>187</v>
      </c>
      <c r="N33" s="17">
        <f t="shared" si="22"/>
        <v>0</v>
      </c>
      <c r="O33" s="25">
        <f t="shared" si="23"/>
        <v>0</v>
      </c>
      <c r="P33" s="13"/>
      <c r="Q33" s="16"/>
      <c r="R33" s="45">
        <f t="shared" si="24"/>
        <v>0</v>
      </c>
      <c r="S33" s="35">
        <f t="shared" si="25"/>
        <v>7.5562601365118748E-2</v>
      </c>
      <c r="T33" s="35">
        <f t="shared" si="26"/>
        <v>3.7781300682559374E-2</v>
      </c>
      <c r="U33" s="13"/>
      <c r="V33" s="24">
        <f t="shared" si="27"/>
        <v>47.604438860024814</v>
      </c>
      <c r="W33" s="45">
        <f t="shared" si="28"/>
        <v>0</v>
      </c>
      <c r="X33" s="8">
        <f t="shared" si="29"/>
        <v>1.3512835339507625</v>
      </c>
      <c r="Y33" s="13">
        <f t="shared" si="33"/>
        <v>-47.604438860024814</v>
      </c>
      <c r="Z33" s="34">
        <f t="shared" si="30"/>
        <v>0</v>
      </c>
      <c r="AA33" s="8"/>
      <c r="AF33" s="8"/>
      <c r="AG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56" t="s">
        <v>183</v>
      </c>
      <c r="D34" s="49"/>
      <c r="E34" s="49"/>
      <c r="G34" s="49" t="s">
        <v>123</v>
      </c>
      <c r="H34" s="49" t="s">
        <v>123</v>
      </c>
      <c r="I34" s="49" t="s">
        <v>184</v>
      </c>
      <c r="J34" s="27" t="s">
        <v>75</v>
      </c>
      <c r="L34" s="27" t="s">
        <v>75</v>
      </c>
      <c r="M34" s="27" t="s">
        <v>114</v>
      </c>
      <c r="N34" s="27" t="s">
        <v>77</v>
      </c>
      <c r="O34" s="31" t="s">
        <v>83</v>
      </c>
      <c r="P34" s="28" t="s">
        <v>121</v>
      </c>
      <c r="Q34" s="15"/>
      <c r="R34" s="31" t="s">
        <v>81</v>
      </c>
      <c r="S34" s="27" t="s">
        <v>77</v>
      </c>
      <c r="T34" s="27" t="s">
        <v>77</v>
      </c>
      <c r="U34" s="27" t="s">
        <v>76</v>
      </c>
      <c r="V34" s="31" t="s">
        <v>81</v>
      </c>
      <c r="W34" s="31" t="s">
        <v>83</v>
      </c>
      <c r="X34" s="27" t="s">
        <v>120</v>
      </c>
      <c r="Y34" s="31" t="s">
        <v>81</v>
      </c>
      <c r="Z34" s="31" t="s">
        <v>125</v>
      </c>
      <c r="AA34" s="8"/>
      <c r="AF34" s="51" t="s">
        <v>127</v>
      </c>
      <c r="AG34" s="5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A35" s="4"/>
      <c r="AB35" s="4"/>
      <c r="AC35" s="4"/>
      <c r="AD35" s="4"/>
      <c r="AF35" s="52" t="s">
        <v>128</v>
      </c>
      <c r="AG35" s="52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Y36" s="2" t="s">
        <v>140</v>
      </c>
      <c r="AB36" s="2" t="s">
        <v>185</v>
      </c>
      <c r="AC36" s="2"/>
      <c r="AF36" s="8"/>
      <c r="AG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52" spans="24:48">
      <c r="X52" s="2" t="s">
        <v>145</v>
      </c>
      <c r="Y52" s="2"/>
      <c r="Z52" s="2"/>
    </row>
    <row r="53" spans="24:48">
      <c r="X53" s="53" t="s">
        <v>135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24:48">
      <c r="X54" s="54" t="s">
        <v>137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24:48">
      <c r="X55" s="54" t="s">
        <v>138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24:48">
      <c r="X56" s="54" t="s">
        <v>139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24:48">
      <c r="X57" s="54" t="s">
        <v>134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24:48">
      <c r="X58" s="54" t="s">
        <v>136</v>
      </c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24:48"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24:48"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5"/>
      <c r="AK60" s="55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5"/>
      <c r="AK61" s="55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7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 spans="36:48"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I14" sqref="I14"/>
    </sheetView>
  </sheetViews>
  <sheetFormatPr defaultColWidth="8.5703125" defaultRowHeight="15"/>
  <cols>
    <col min="1" max="9" width="8.5703125" style="27"/>
    <col min="10" max="10" width="11" style="27" bestFit="1" customWidth="1"/>
    <col min="11" max="23" width="8.5703125" style="27"/>
    <col min="24" max="24" width="12" style="27" bestFit="1" customWidth="1"/>
    <col min="25" max="16384" width="8.5703125" style="27"/>
  </cols>
  <sheetData>
    <row r="1" spans="1:30">
      <c r="A1" s="67" t="s">
        <v>211</v>
      </c>
      <c r="B1" s="67"/>
      <c r="C1" s="63"/>
      <c r="D1" s="60" t="s">
        <v>195</v>
      </c>
      <c r="E1" s="60" t="s">
        <v>212</v>
      </c>
      <c r="F1" s="60" t="s">
        <v>213</v>
      </c>
      <c r="G1" s="60" t="s">
        <v>214</v>
      </c>
      <c r="H1" s="60" t="s">
        <v>215</v>
      </c>
      <c r="I1" s="60" t="s">
        <v>216</v>
      </c>
      <c r="J1" s="60" t="s">
        <v>217</v>
      </c>
      <c r="K1" s="60" t="s">
        <v>5</v>
      </c>
      <c r="L1" s="60" t="s">
        <v>43</v>
      </c>
      <c r="M1" s="64" t="s">
        <v>218</v>
      </c>
      <c r="N1" s="64" t="s">
        <v>219</v>
      </c>
      <c r="O1" s="7"/>
      <c r="P1" s="68"/>
      <c r="Q1" s="68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>
      <c r="A2" s="61" t="s">
        <v>8</v>
      </c>
      <c r="B2" s="61">
        <f>[2]Italians!B2</f>
        <v>2.5</v>
      </c>
      <c r="C2" s="3"/>
      <c r="D2" s="61">
        <f>[2]Italians!C2</f>
        <v>200</v>
      </c>
      <c r="E2" s="27">
        <f t="shared" ref="E2:E13" si="0">((-0.075*$B$2)+0.875)</f>
        <v>0.6875</v>
      </c>
      <c r="F2" s="27">
        <f t="shared" ref="F2:F13" si="1">E2*$B$3</f>
        <v>0.6875</v>
      </c>
      <c r="G2" s="27">
        <f>350*F2</f>
        <v>240.625</v>
      </c>
      <c r="H2" s="27">
        <f>D2*F2</f>
        <v>137.5</v>
      </c>
      <c r="I2" s="27">
        <f t="shared" ref="I2:I13" si="2">MAX(0,(D2-$B$4)/(D2+2*$B$4)*($B$5+2*$B$4)/($B$5-$B$4))</f>
        <v>0.79262672811059898</v>
      </c>
      <c r="J2" s="27">
        <f t="shared" ref="J2:J13" si="3">0.139*(($B$3-H2)/$B$17)*0.00001</f>
        <v>-8.1683792011101649E-9</v>
      </c>
      <c r="K2" s="27">
        <f t="shared" ref="K2:K13" si="4">I2*($B$13+$B$16*$B$2)</f>
        <v>56.29017050691246</v>
      </c>
      <c r="L2" s="27">
        <f t="shared" ref="L2:L13" si="5">(J2/$B$18)*(44/18)</f>
        <v>-0.13884570600411086</v>
      </c>
      <c r="M2" s="27">
        <f t="shared" ref="M2:M13" si="6">MAX(0,(H2-$B$4)/(H2+2*$B$4)*($B$5+2*$B$4)/($B$5-$B$4))</f>
        <v>0.62180200222469406</v>
      </c>
      <c r="N2" s="27">
        <f t="shared" ref="N2:N13" si="7">M2*($B$13+$B$16*$B$2)</f>
        <v>44.158668242491672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>
      <c r="A3" s="61" t="s">
        <v>220</v>
      </c>
      <c r="B3" s="61">
        <f>[2]Italians!B3</f>
        <v>1</v>
      </c>
      <c r="C3" s="3"/>
      <c r="D3" s="61">
        <f>[2]Italians!C3</f>
        <v>250</v>
      </c>
      <c r="E3" s="27">
        <f t="shared" si="0"/>
        <v>0.6875</v>
      </c>
      <c r="F3" s="27">
        <f t="shared" si="1"/>
        <v>0.6875</v>
      </c>
      <c r="G3" s="27">
        <f t="shared" ref="G3:G13" si="8">350*F3</f>
        <v>240.625</v>
      </c>
      <c r="H3" s="27">
        <f t="shared" ref="H3:H13" si="9">D3*F3</f>
        <v>171.875</v>
      </c>
      <c r="I3" s="27">
        <f t="shared" si="2"/>
        <v>0.88269794721407624</v>
      </c>
      <c r="J3" s="27">
        <f t="shared" si="3"/>
        <v>-1.022543440285494E-8</v>
      </c>
      <c r="K3" s="27">
        <f t="shared" si="4"/>
        <v>62.686780791788884</v>
      </c>
      <c r="L3" s="27">
        <f t="shared" si="5"/>
        <v>-0.17381142866998128</v>
      </c>
      <c r="M3" s="27">
        <f t="shared" si="6"/>
        <v>0.72624669815096454</v>
      </c>
      <c r="N3" s="27">
        <f t="shared" si="7"/>
        <v>51.576043324261612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>
      <c r="A4" s="61" t="s">
        <v>221</v>
      </c>
      <c r="B4" s="61">
        <f>[2]Italians!B4</f>
        <v>40</v>
      </c>
      <c r="C4" s="3"/>
      <c r="D4" s="61">
        <f>[2]Italians!C4</f>
        <v>300</v>
      </c>
      <c r="E4" s="27">
        <f t="shared" si="0"/>
        <v>0.6875</v>
      </c>
      <c r="F4" s="27">
        <f t="shared" si="1"/>
        <v>0.6875</v>
      </c>
      <c r="G4" s="27">
        <f t="shared" si="8"/>
        <v>240.625</v>
      </c>
      <c r="H4" s="27">
        <f t="shared" si="9"/>
        <v>206.25</v>
      </c>
      <c r="I4" s="27">
        <f t="shared" si="2"/>
        <v>0.9490662139219016</v>
      </c>
      <c r="J4" s="27">
        <f t="shared" si="3"/>
        <v>-1.2282489604599717E-8</v>
      </c>
      <c r="K4" s="27">
        <f t="shared" si="4"/>
        <v>67.400072580645201</v>
      </c>
      <c r="L4" s="27">
        <f t="shared" si="5"/>
        <v>-0.2087771513358517</v>
      </c>
      <c r="M4" s="27">
        <f t="shared" si="6"/>
        <v>0.80560642343992117</v>
      </c>
      <c r="N4" s="27">
        <f t="shared" si="7"/>
        <v>57.211952775038768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>
      <c r="A5" s="61" t="s">
        <v>222</v>
      </c>
      <c r="B5" s="61">
        <f>[2]Italians!B5</f>
        <v>350</v>
      </c>
      <c r="C5" s="3"/>
      <c r="D5" s="61">
        <f>[2]Italians!C5</f>
        <v>350</v>
      </c>
      <c r="E5" s="27">
        <f t="shared" si="0"/>
        <v>0.6875</v>
      </c>
      <c r="F5" s="27">
        <f t="shared" si="1"/>
        <v>0.6875</v>
      </c>
      <c r="G5" s="27">
        <f t="shared" si="8"/>
        <v>240.625</v>
      </c>
      <c r="H5" s="27">
        <f t="shared" si="9"/>
        <v>240.625</v>
      </c>
      <c r="I5" s="27">
        <f t="shared" si="2"/>
        <v>1</v>
      </c>
      <c r="J5" s="27">
        <f t="shared" si="3"/>
        <v>-1.433954480634449E-8</v>
      </c>
      <c r="K5" s="27">
        <f t="shared" si="4"/>
        <v>71.017250000000033</v>
      </c>
      <c r="L5" s="27">
        <f t="shared" si="5"/>
        <v>-0.24374287400172207</v>
      </c>
      <c r="M5" s="27">
        <f t="shared" si="6"/>
        <v>0.86794944350122627</v>
      </c>
      <c r="N5" s="27">
        <f t="shared" si="7"/>
        <v>61.639382616487488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>
      <c r="A6" s="61" t="s">
        <v>17</v>
      </c>
      <c r="B6" s="61">
        <f>[2]Italians!B6</f>
        <v>10</v>
      </c>
      <c r="C6" s="3"/>
      <c r="D6" s="61">
        <f>[2]Italians!C6</f>
        <v>400</v>
      </c>
      <c r="E6" s="27">
        <f t="shared" si="0"/>
        <v>0.6875</v>
      </c>
      <c r="F6" s="27">
        <f t="shared" si="1"/>
        <v>0.6875</v>
      </c>
      <c r="G6" s="27">
        <f t="shared" si="8"/>
        <v>240.625</v>
      </c>
      <c r="H6" s="27">
        <f t="shared" si="9"/>
        <v>275</v>
      </c>
      <c r="I6" s="27">
        <f t="shared" si="2"/>
        <v>1.0403225806451613</v>
      </c>
      <c r="J6" s="27">
        <f t="shared" si="3"/>
        <v>-1.639660000808927E-8</v>
      </c>
      <c r="K6" s="27">
        <f t="shared" si="4"/>
        <v>73.880848790322617</v>
      </c>
      <c r="L6" s="27">
        <f t="shared" si="5"/>
        <v>-0.27870859666759251</v>
      </c>
      <c r="M6" s="27">
        <f t="shared" si="6"/>
        <v>0.91821899136756024</v>
      </c>
      <c r="N6" s="27">
        <f t="shared" si="7"/>
        <v>65.2093876646979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>
      <c r="A7" s="61" t="s">
        <v>16</v>
      </c>
      <c r="B7" s="61">
        <f>[2]Italians!B7</f>
        <v>22</v>
      </c>
      <c r="C7" s="3"/>
      <c r="D7" s="61">
        <f>[2]Italians!C7</f>
        <v>450</v>
      </c>
      <c r="E7" s="27">
        <f t="shared" si="0"/>
        <v>0.6875</v>
      </c>
      <c r="F7" s="27">
        <f t="shared" si="1"/>
        <v>0.6875</v>
      </c>
      <c r="G7" s="27">
        <f t="shared" si="8"/>
        <v>240.625</v>
      </c>
      <c r="H7" s="27">
        <f t="shared" si="9"/>
        <v>309.375</v>
      </c>
      <c r="I7" s="27">
        <f t="shared" si="2"/>
        <v>1.0730371272063299</v>
      </c>
      <c r="J7" s="27">
        <f t="shared" si="3"/>
        <v>-1.8453655209834043E-8</v>
      </c>
      <c r="K7" s="27">
        <f t="shared" si="4"/>
        <v>76.204145922093772</v>
      </c>
      <c r="L7" s="27">
        <f t="shared" si="5"/>
        <v>-0.31367431933346296</v>
      </c>
      <c r="M7" s="27">
        <f t="shared" si="6"/>
        <v>0.95961269611142752</v>
      </c>
      <c r="N7" s="27">
        <f t="shared" si="7"/>
        <v>68.149054742919304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>
      <c r="A8" s="62" t="s">
        <v>29</v>
      </c>
      <c r="B8" s="62">
        <f>B9-B10</f>
        <v>1.4158156686175978</v>
      </c>
      <c r="C8" s="3"/>
      <c r="D8" s="61">
        <f>[2]Italians!C8</f>
        <v>500</v>
      </c>
      <c r="E8" s="27">
        <f t="shared" si="0"/>
        <v>0.6875</v>
      </c>
      <c r="F8" s="27">
        <f t="shared" si="1"/>
        <v>0.6875</v>
      </c>
      <c r="G8" s="27">
        <f t="shared" si="8"/>
        <v>240.625</v>
      </c>
      <c r="H8" s="27">
        <f t="shared" si="9"/>
        <v>343.75</v>
      </c>
      <c r="I8" s="27">
        <f t="shared" si="2"/>
        <v>1.100111234705228</v>
      </c>
      <c r="J8" s="27">
        <f t="shared" si="3"/>
        <v>-2.0510710411578819E-8</v>
      </c>
      <c r="K8" s="27">
        <f t="shared" si="4"/>
        <v>78.126874582869888</v>
      </c>
      <c r="L8" s="27">
        <f t="shared" si="5"/>
        <v>-0.34864004199933335</v>
      </c>
      <c r="M8" s="27">
        <f t="shared" si="6"/>
        <v>0.99429060805024261</v>
      </c>
      <c r="N8" s="27">
        <f t="shared" si="7"/>
        <v>70.611784684556127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>
      <c r="A9" s="62" t="s">
        <v>27</v>
      </c>
      <c r="B9" s="62">
        <f>IF(B7&lt;0,0.61078*EXP(21.87456*B7/(B7+265.5)),0.61078*EXP(17.26939*B7/(B7+237.3)))</f>
        <v>2.6437077915715017</v>
      </c>
      <c r="C9" s="3"/>
      <c r="D9" s="61">
        <f>[2]Italians!C9</f>
        <v>550</v>
      </c>
      <c r="E9" s="27">
        <f t="shared" si="0"/>
        <v>0.6875</v>
      </c>
      <c r="F9" s="27">
        <f t="shared" si="1"/>
        <v>0.6875</v>
      </c>
      <c r="G9" s="27">
        <f t="shared" si="8"/>
        <v>240.625</v>
      </c>
      <c r="H9" s="27">
        <f t="shared" si="9"/>
        <v>378.125</v>
      </c>
      <c r="I9" s="27">
        <f t="shared" si="2"/>
        <v>1.1228878648233487</v>
      </c>
      <c r="J9" s="27">
        <f t="shared" si="3"/>
        <v>-2.2567765613323599E-8</v>
      </c>
      <c r="K9" s="27">
        <f t="shared" si="4"/>
        <v>79.744408218125997</v>
      </c>
      <c r="L9" s="27">
        <f t="shared" si="5"/>
        <v>-0.3836057646652038</v>
      </c>
      <c r="M9" s="27">
        <f t="shared" si="6"/>
        <v>1.0237644677199311</v>
      </c>
      <c r="N9" s="27">
        <f t="shared" si="7"/>
        <v>72.704937145183308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>
      <c r="A10" s="62" t="s">
        <v>28</v>
      </c>
      <c r="B10" s="62">
        <f>IF(B6&lt;0,0.61078*EXP(21.87456*B6/(B6+265.5)),0.61078*EXP(17.26939*B6/(B6+237.3)))</f>
        <v>1.2278921229539039</v>
      </c>
      <c r="C10" s="3"/>
      <c r="D10" s="61">
        <f>[2]Italians!C10</f>
        <v>600</v>
      </c>
      <c r="E10" s="27">
        <f t="shared" si="0"/>
        <v>0.6875</v>
      </c>
      <c r="F10" s="27">
        <f t="shared" si="1"/>
        <v>0.6875</v>
      </c>
      <c r="G10" s="27">
        <f t="shared" si="8"/>
        <v>240.625</v>
      </c>
      <c r="H10" s="27">
        <f t="shared" si="9"/>
        <v>412.5</v>
      </c>
      <c r="I10" s="27">
        <f t="shared" si="2"/>
        <v>1.142314990512334</v>
      </c>
      <c r="J10" s="27">
        <f t="shared" si="3"/>
        <v>-2.4624820815068372E-8</v>
      </c>
      <c r="K10" s="27">
        <f t="shared" si="4"/>
        <v>81.124069259962084</v>
      </c>
      <c r="L10" s="27">
        <f t="shared" si="5"/>
        <v>-0.41857148733107413</v>
      </c>
      <c r="M10" s="27">
        <f t="shared" si="6"/>
        <v>1.0491239561159327</v>
      </c>
      <c r="N10" s="27">
        <f t="shared" si="7"/>
        <v>74.505898272474255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>
      <c r="A11" s="61" t="s">
        <v>223</v>
      </c>
      <c r="B11" s="61">
        <f>[2]Italians!B11</f>
        <v>1.2</v>
      </c>
      <c r="C11" s="3"/>
      <c r="D11" s="61">
        <f>[2]Italians!C11</f>
        <v>650</v>
      </c>
      <c r="E11" s="27">
        <f t="shared" si="0"/>
        <v>0.6875</v>
      </c>
      <c r="F11" s="27">
        <f t="shared" si="1"/>
        <v>0.6875</v>
      </c>
      <c r="G11" s="27">
        <f t="shared" si="8"/>
        <v>240.625</v>
      </c>
      <c r="H11" s="27">
        <f t="shared" si="9"/>
        <v>446.875</v>
      </c>
      <c r="I11" s="27">
        <f t="shared" si="2"/>
        <v>1.1590808661069378</v>
      </c>
      <c r="J11" s="27">
        <f t="shared" si="3"/>
        <v>-2.6681876016813145E-8</v>
      </c>
      <c r="K11" s="27">
        <f t="shared" si="4"/>
        <v>82.314735638532966</v>
      </c>
      <c r="L11" s="27">
        <f t="shared" si="5"/>
        <v>-0.45353720999694447</v>
      </c>
      <c r="M11" s="27">
        <f t="shared" si="6"/>
        <v>1.0711743772241993</v>
      </c>
      <c r="N11" s="27">
        <f t="shared" si="7"/>
        <v>76.071858540925305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>
      <c r="A12" s="61" t="s">
        <v>7</v>
      </c>
      <c r="B12" s="61">
        <f>[2]Italians!B12</f>
        <v>71.900000000000006</v>
      </c>
      <c r="C12" s="3"/>
      <c r="D12" s="61">
        <f>[2]Italians!C12</f>
        <v>750</v>
      </c>
      <c r="E12" s="27">
        <f t="shared" si="0"/>
        <v>0.6875</v>
      </c>
      <c r="F12" s="27">
        <f t="shared" si="1"/>
        <v>0.6875</v>
      </c>
      <c r="G12" s="27">
        <f t="shared" si="8"/>
        <v>240.625</v>
      </c>
      <c r="H12" s="27">
        <f t="shared" si="9"/>
        <v>515.625</v>
      </c>
      <c r="I12" s="27">
        <f t="shared" si="2"/>
        <v>1.1865526622619509</v>
      </c>
      <c r="J12" s="27">
        <f t="shared" si="3"/>
        <v>-3.07959864203027E-8</v>
      </c>
      <c r="K12" s="27">
        <f t="shared" si="4"/>
        <v>84.26570705402257</v>
      </c>
      <c r="L12" s="27">
        <f t="shared" si="5"/>
        <v>-0.52346865532868547</v>
      </c>
      <c r="M12" s="27">
        <f t="shared" si="6"/>
        <v>1.1076397116068104</v>
      </c>
      <c r="N12" s="27">
        <f t="shared" si="7"/>
        <v>78.661526309108794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>
      <c r="A13" s="61" t="s">
        <v>6</v>
      </c>
      <c r="B13" s="61">
        <f>[2]Italians!B13</f>
        <v>-46</v>
      </c>
      <c r="C13" s="3"/>
      <c r="D13" s="61">
        <f>[2]Italians!C13</f>
        <v>1000</v>
      </c>
      <c r="E13" s="27">
        <f t="shared" si="0"/>
        <v>0.6875</v>
      </c>
      <c r="F13" s="27">
        <f t="shared" si="1"/>
        <v>0.6875</v>
      </c>
      <c r="G13" s="27">
        <f t="shared" si="8"/>
        <v>240.625</v>
      </c>
      <c r="H13" s="27">
        <f t="shared" si="9"/>
        <v>687.5</v>
      </c>
      <c r="I13" s="27">
        <f t="shared" si="2"/>
        <v>1.2329749103942653</v>
      </c>
      <c r="J13" s="27">
        <f t="shared" si="3"/>
        <v>-4.1081262429026575E-8</v>
      </c>
      <c r="K13" s="27">
        <f t="shared" si="4"/>
        <v>87.562487455197186</v>
      </c>
      <c r="L13" s="27">
        <f t="shared" si="5"/>
        <v>-0.69829726865803732</v>
      </c>
      <c r="M13" s="27">
        <f t="shared" si="6"/>
        <v>1.1702217085215929</v>
      </c>
      <c r="N13" s="27">
        <f t="shared" si="7"/>
        <v>83.105927629505132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>
      <c r="A14" s="62" t="s">
        <v>224</v>
      </c>
      <c r="B14" s="62">
        <f>((B11-1)*B12)/200</f>
        <v>7.1899999999999992E-2</v>
      </c>
      <c r="C14" s="3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>
      <c r="A15" s="62" t="s">
        <v>225</v>
      </c>
      <c r="B15" s="62">
        <f>-1*((($B$11-1)*1.75)-1)*$B$12</f>
        <v>46.735000000000014</v>
      </c>
      <c r="C15" s="3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>
      <c r="A16" s="62" t="s">
        <v>226</v>
      </c>
      <c r="B16" s="62">
        <f>B14*$B$3+B15</f>
        <v>46.806900000000013</v>
      </c>
      <c r="C16" s="3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>
      <c r="A17" s="62" t="s">
        <v>227</v>
      </c>
      <c r="B17" s="62">
        <f>8314.47*($B$6+273)/101.3</f>
        <v>23227.986278381046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>
      <c r="A18" s="62" t="s">
        <v>228</v>
      </c>
      <c r="B18" s="62">
        <f>0.239*(($B$8/(8314.47*($B$6+273))))</f>
        <v>1.4380818631638573E-7</v>
      </c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>
      <c r="A19" s="62" t="s">
        <v>229</v>
      </c>
      <c r="B19" s="62">
        <f>((-0.075*$B$2)+0.875)*B5</f>
        <v>240.625</v>
      </c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4:30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4:30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</sheetData>
  <mergeCells count="2">
    <mergeCell ref="A1:B1"/>
    <mergeCell ref="P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zoomScale="70" zoomScaleNormal="70" workbookViewId="0">
      <selection activeCell="X73" sqref="X73"/>
    </sheetView>
  </sheetViews>
  <sheetFormatPr defaultRowHeight="12.75"/>
  <cols>
    <col min="1" max="16384" width="9.140625" style="66"/>
  </cols>
  <sheetData>
    <row r="2" spans="1:12">
      <c r="A2" s="65" t="s">
        <v>230</v>
      </c>
    </row>
    <row r="3" spans="1:12">
      <c r="B3" s="65" t="s">
        <v>95</v>
      </c>
    </row>
    <row r="4" spans="1:12">
      <c r="A4" s="65" t="s">
        <v>231</v>
      </c>
      <c r="B4" s="66">
        <v>0</v>
      </c>
      <c r="C4" s="66">
        <v>0.1</v>
      </c>
      <c r="D4" s="66">
        <v>0.2</v>
      </c>
      <c r="E4" s="66">
        <v>0.3</v>
      </c>
      <c r="F4" s="66">
        <v>0.4</v>
      </c>
      <c r="G4" s="66">
        <v>0.5</v>
      </c>
      <c r="H4" s="66">
        <v>0.6</v>
      </c>
      <c r="I4" s="66">
        <v>0.7</v>
      </c>
      <c r="J4" s="66">
        <v>0.8</v>
      </c>
      <c r="K4" s="66">
        <v>0.9</v>
      </c>
      <c r="L4" s="66">
        <v>1</v>
      </c>
    </row>
    <row r="5" spans="1:12">
      <c r="A5" s="66">
        <v>0</v>
      </c>
      <c r="B5" s="66">
        <f t="shared" ref="B5:L14" si="0">B$4+(-0.0176*B$4 +0.0118)*$A5</f>
        <v>0</v>
      </c>
      <c r="C5" s="66">
        <f t="shared" si="0"/>
        <v>0.1</v>
      </c>
      <c r="D5" s="66">
        <f t="shared" si="0"/>
        <v>0.2</v>
      </c>
      <c r="E5" s="66">
        <f t="shared" si="0"/>
        <v>0.3</v>
      </c>
      <c r="F5" s="66">
        <f t="shared" si="0"/>
        <v>0.4</v>
      </c>
      <c r="G5" s="66">
        <f t="shared" si="0"/>
        <v>0.5</v>
      </c>
      <c r="H5" s="66">
        <f t="shared" si="0"/>
        <v>0.6</v>
      </c>
      <c r="I5" s="66">
        <f t="shared" si="0"/>
        <v>0.7</v>
      </c>
      <c r="J5" s="66">
        <f t="shared" si="0"/>
        <v>0.8</v>
      </c>
      <c r="K5" s="66">
        <f t="shared" si="0"/>
        <v>0.9</v>
      </c>
      <c r="L5" s="66">
        <f>L$4+(-0.0176*L$4 +0.0118)*$A5</f>
        <v>1</v>
      </c>
    </row>
    <row r="6" spans="1:12">
      <c r="A6" s="66">
        <v>5</v>
      </c>
      <c r="B6" s="66">
        <f t="shared" si="0"/>
        <v>5.8999999999999997E-2</v>
      </c>
      <c r="C6" s="66">
        <f t="shared" si="0"/>
        <v>0.1502</v>
      </c>
      <c r="D6" s="66">
        <f t="shared" si="0"/>
        <v>0.2414</v>
      </c>
      <c r="E6" s="66">
        <f t="shared" si="0"/>
        <v>0.33260000000000001</v>
      </c>
      <c r="F6" s="66">
        <f t="shared" si="0"/>
        <v>0.42380000000000001</v>
      </c>
      <c r="G6" s="66">
        <f t="shared" si="0"/>
        <v>0.51500000000000001</v>
      </c>
      <c r="H6" s="66">
        <f t="shared" si="0"/>
        <v>0.60619999999999996</v>
      </c>
      <c r="I6" s="66">
        <f t="shared" si="0"/>
        <v>0.69739999999999991</v>
      </c>
      <c r="J6" s="66">
        <f t="shared" si="0"/>
        <v>0.78860000000000008</v>
      </c>
      <c r="K6" s="66">
        <f t="shared" si="0"/>
        <v>0.87980000000000003</v>
      </c>
      <c r="L6" s="66">
        <f t="shared" si="0"/>
        <v>0.97099999999999997</v>
      </c>
    </row>
    <row r="7" spans="1:12">
      <c r="A7" s="66">
        <v>10</v>
      </c>
      <c r="B7" s="66">
        <f t="shared" si="0"/>
        <v>0.11799999999999999</v>
      </c>
      <c r="C7" s="66">
        <f t="shared" si="0"/>
        <v>0.20040000000000002</v>
      </c>
      <c r="D7" s="66">
        <f t="shared" si="0"/>
        <v>0.2828</v>
      </c>
      <c r="E7" s="66">
        <f t="shared" si="0"/>
        <v>0.36519999999999997</v>
      </c>
      <c r="F7" s="66">
        <f t="shared" si="0"/>
        <v>0.4476</v>
      </c>
      <c r="G7" s="66">
        <f t="shared" si="0"/>
        <v>0.53</v>
      </c>
      <c r="H7" s="66">
        <f t="shared" si="0"/>
        <v>0.61239999999999994</v>
      </c>
      <c r="I7" s="66">
        <f t="shared" si="0"/>
        <v>0.69479999999999997</v>
      </c>
      <c r="J7" s="66">
        <f t="shared" si="0"/>
        <v>0.7772</v>
      </c>
      <c r="K7" s="66">
        <f t="shared" si="0"/>
        <v>0.85960000000000003</v>
      </c>
      <c r="L7" s="66">
        <f t="shared" si="0"/>
        <v>0.94199999999999995</v>
      </c>
    </row>
    <row r="8" spans="1:12">
      <c r="A8" s="66">
        <v>15</v>
      </c>
      <c r="B8" s="66">
        <f t="shared" si="0"/>
        <v>0.17699999999999999</v>
      </c>
      <c r="C8" s="66">
        <f t="shared" si="0"/>
        <v>0.25060000000000004</v>
      </c>
      <c r="D8" s="66">
        <f t="shared" si="0"/>
        <v>0.32419999999999999</v>
      </c>
      <c r="E8" s="66">
        <f t="shared" si="0"/>
        <v>0.39779999999999999</v>
      </c>
      <c r="F8" s="66">
        <f t="shared" si="0"/>
        <v>0.47139999999999999</v>
      </c>
      <c r="G8" s="66">
        <f t="shared" si="0"/>
        <v>0.54499999999999993</v>
      </c>
      <c r="H8" s="66">
        <f t="shared" si="0"/>
        <v>0.61859999999999993</v>
      </c>
      <c r="I8" s="66">
        <f t="shared" si="0"/>
        <v>0.69219999999999993</v>
      </c>
      <c r="J8" s="66">
        <f t="shared" si="0"/>
        <v>0.76580000000000004</v>
      </c>
      <c r="K8" s="66">
        <f t="shared" si="0"/>
        <v>0.83940000000000003</v>
      </c>
      <c r="L8" s="66">
        <f t="shared" si="0"/>
        <v>0.91300000000000003</v>
      </c>
    </row>
    <row r="9" spans="1:12">
      <c r="A9" s="66">
        <v>20</v>
      </c>
      <c r="B9" s="66">
        <f t="shared" si="0"/>
        <v>0.23599999999999999</v>
      </c>
      <c r="C9" s="66">
        <f t="shared" si="0"/>
        <v>0.30080000000000001</v>
      </c>
      <c r="D9" s="66">
        <f t="shared" si="0"/>
        <v>0.36559999999999998</v>
      </c>
      <c r="E9" s="66">
        <f t="shared" si="0"/>
        <v>0.4304</v>
      </c>
      <c r="F9" s="66">
        <f t="shared" si="0"/>
        <v>0.49519999999999997</v>
      </c>
      <c r="G9" s="66">
        <f t="shared" si="0"/>
        <v>0.55999999999999994</v>
      </c>
      <c r="H9" s="66">
        <f t="shared" si="0"/>
        <v>0.62480000000000002</v>
      </c>
      <c r="I9" s="66">
        <f t="shared" si="0"/>
        <v>0.68959999999999999</v>
      </c>
      <c r="J9" s="66">
        <f t="shared" si="0"/>
        <v>0.75439999999999996</v>
      </c>
      <c r="K9" s="66">
        <f t="shared" si="0"/>
        <v>0.81920000000000004</v>
      </c>
      <c r="L9" s="66">
        <f t="shared" si="0"/>
        <v>0.88400000000000001</v>
      </c>
    </row>
    <row r="10" spans="1:12">
      <c r="A10" s="66">
        <v>25</v>
      </c>
      <c r="B10" s="66">
        <f t="shared" si="0"/>
        <v>0.29499999999999998</v>
      </c>
      <c r="C10" s="66">
        <f t="shared" si="0"/>
        <v>0.35099999999999998</v>
      </c>
      <c r="D10" s="66">
        <f t="shared" si="0"/>
        <v>0.40700000000000003</v>
      </c>
      <c r="E10" s="66">
        <f t="shared" si="0"/>
        <v>0.46299999999999997</v>
      </c>
      <c r="F10" s="66">
        <f t="shared" si="0"/>
        <v>0.51900000000000002</v>
      </c>
      <c r="G10" s="66">
        <f t="shared" si="0"/>
        <v>0.57499999999999996</v>
      </c>
      <c r="H10" s="66">
        <f t="shared" si="0"/>
        <v>0.63100000000000001</v>
      </c>
      <c r="I10" s="66">
        <f t="shared" si="0"/>
        <v>0.68699999999999994</v>
      </c>
      <c r="J10" s="66">
        <f t="shared" si="0"/>
        <v>0.74299999999999999</v>
      </c>
      <c r="K10" s="66">
        <f t="shared" si="0"/>
        <v>0.79900000000000004</v>
      </c>
      <c r="L10" s="66">
        <f t="shared" si="0"/>
        <v>0.85499999999999998</v>
      </c>
    </row>
    <row r="11" spans="1:12">
      <c r="A11" s="66">
        <v>30</v>
      </c>
      <c r="B11" s="66">
        <f t="shared" si="0"/>
        <v>0.35399999999999998</v>
      </c>
      <c r="C11" s="66">
        <f t="shared" si="0"/>
        <v>0.4012</v>
      </c>
      <c r="D11" s="66">
        <f t="shared" si="0"/>
        <v>0.44840000000000002</v>
      </c>
      <c r="E11" s="66">
        <f t="shared" si="0"/>
        <v>0.49559999999999998</v>
      </c>
      <c r="F11" s="66">
        <f t="shared" si="0"/>
        <v>0.54279999999999995</v>
      </c>
      <c r="G11" s="66">
        <f t="shared" si="0"/>
        <v>0.59</v>
      </c>
      <c r="H11" s="66">
        <f t="shared" si="0"/>
        <v>0.63719999999999999</v>
      </c>
      <c r="I11" s="66">
        <f t="shared" si="0"/>
        <v>0.68440000000000001</v>
      </c>
      <c r="J11" s="66">
        <f t="shared" si="0"/>
        <v>0.73160000000000003</v>
      </c>
      <c r="K11" s="66">
        <f t="shared" si="0"/>
        <v>0.77880000000000005</v>
      </c>
      <c r="L11" s="66">
        <f t="shared" si="0"/>
        <v>0.82599999999999996</v>
      </c>
    </row>
    <row r="12" spans="1:12">
      <c r="A12" s="66">
        <v>35</v>
      </c>
      <c r="B12" s="66">
        <f t="shared" si="0"/>
        <v>0.41299999999999998</v>
      </c>
      <c r="C12" s="66">
        <f t="shared" si="0"/>
        <v>0.45140000000000002</v>
      </c>
      <c r="D12" s="66">
        <f t="shared" si="0"/>
        <v>0.48979999999999996</v>
      </c>
      <c r="E12" s="66">
        <f t="shared" si="0"/>
        <v>0.5282</v>
      </c>
      <c r="F12" s="66">
        <f t="shared" si="0"/>
        <v>0.56659999999999999</v>
      </c>
      <c r="G12" s="66">
        <f t="shared" si="0"/>
        <v>0.60499999999999998</v>
      </c>
      <c r="H12" s="66">
        <f t="shared" si="0"/>
        <v>0.64339999999999997</v>
      </c>
      <c r="I12" s="66">
        <f t="shared" si="0"/>
        <v>0.68179999999999996</v>
      </c>
      <c r="J12" s="66">
        <f t="shared" si="0"/>
        <v>0.72019999999999995</v>
      </c>
      <c r="K12" s="66">
        <f t="shared" si="0"/>
        <v>0.75860000000000005</v>
      </c>
      <c r="L12" s="66">
        <f t="shared" si="0"/>
        <v>0.79699999999999993</v>
      </c>
    </row>
    <row r="13" spans="1:12">
      <c r="A13" s="66">
        <v>40</v>
      </c>
      <c r="B13" s="66">
        <f t="shared" si="0"/>
        <v>0.47199999999999998</v>
      </c>
      <c r="C13" s="66">
        <f t="shared" si="0"/>
        <v>0.50160000000000005</v>
      </c>
      <c r="D13" s="66">
        <f t="shared" si="0"/>
        <v>0.53119999999999989</v>
      </c>
      <c r="E13" s="66">
        <f t="shared" si="0"/>
        <v>0.56079999999999997</v>
      </c>
      <c r="F13" s="66">
        <f t="shared" si="0"/>
        <v>0.59040000000000004</v>
      </c>
      <c r="G13" s="66">
        <f t="shared" si="0"/>
        <v>0.62</v>
      </c>
      <c r="H13" s="66">
        <f t="shared" si="0"/>
        <v>0.64959999999999996</v>
      </c>
      <c r="I13" s="66">
        <f t="shared" si="0"/>
        <v>0.67920000000000003</v>
      </c>
      <c r="J13" s="66">
        <f t="shared" si="0"/>
        <v>0.70879999999999999</v>
      </c>
      <c r="K13" s="66">
        <f t="shared" si="0"/>
        <v>0.73839999999999995</v>
      </c>
      <c r="L13" s="66">
        <f t="shared" si="0"/>
        <v>0.76800000000000002</v>
      </c>
    </row>
    <row r="14" spans="1:12">
      <c r="A14" s="66">
        <v>45</v>
      </c>
      <c r="B14" s="66">
        <f t="shared" si="0"/>
        <v>0.53100000000000003</v>
      </c>
      <c r="C14" s="66">
        <f t="shared" si="0"/>
        <v>0.55180000000000007</v>
      </c>
      <c r="D14" s="66">
        <f t="shared" si="0"/>
        <v>0.5726</v>
      </c>
      <c r="E14" s="66">
        <f t="shared" si="0"/>
        <v>0.59339999999999993</v>
      </c>
      <c r="F14" s="66">
        <f t="shared" si="0"/>
        <v>0.61419999999999997</v>
      </c>
      <c r="G14" s="66">
        <f t="shared" si="0"/>
        <v>0.63500000000000001</v>
      </c>
      <c r="H14" s="66">
        <f t="shared" si="0"/>
        <v>0.65579999999999994</v>
      </c>
      <c r="I14" s="66">
        <f t="shared" si="0"/>
        <v>0.67659999999999998</v>
      </c>
      <c r="J14" s="66">
        <f t="shared" si="0"/>
        <v>0.69739999999999991</v>
      </c>
      <c r="K14" s="66">
        <f t="shared" si="0"/>
        <v>0.71819999999999995</v>
      </c>
      <c r="L14" s="66">
        <f t="shared" si="0"/>
        <v>0.73899999999999988</v>
      </c>
    </row>
    <row r="21" spans="1:12">
      <c r="A21" s="65" t="s">
        <v>232</v>
      </c>
    </row>
    <row r="22" spans="1:12">
      <c r="B22" s="65" t="s">
        <v>95</v>
      </c>
    </row>
    <row r="23" spans="1:12">
      <c r="A23" s="65" t="s">
        <v>231</v>
      </c>
      <c r="B23" s="66">
        <v>0</v>
      </c>
      <c r="C23" s="66">
        <v>0.1</v>
      </c>
      <c r="D23" s="66">
        <v>0.2</v>
      </c>
      <c r="E23" s="66">
        <v>0.3</v>
      </c>
      <c r="F23" s="66">
        <v>0.4</v>
      </c>
      <c r="G23" s="66">
        <v>0.5</v>
      </c>
      <c r="H23" s="66">
        <v>0.6</v>
      </c>
      <c r="I23" s="66">
        <v>0.7</v>
      </c>
      <c r="J23" s="66">
        <v>0.8</v>
      </c>
      <c r="K23" s="66">
        <v>0.9</v>
      </c>
      <c r="L23" s="66">
        <v>1</v>
      </c>
    </row>
    <row r="24" spans="1:12">
      <c r="A24" s="66">
        <v>0</v>
      </c>
      <c r="B24" s="66">
        <f t="shared" ref="B24:L33" si="1">B$23+(-0.0148*B$23 +0.0062)*$A24</f>
        <v>0</v>
      </c>
      <c r="C24" s="66">
        <f t="shared" si="1"/>
        <v>0.1</v>
      </c>
      <c r="D24" s="66">
        <f t="shared" si="1"/>
        <v>0.2</v>
      </c>
      <c r="E24" s="66">
        <f t="shared" si="1"/>
        <v>0.3</v>
      </c>
      <c r="F24" s="66">
        <f t="shared" si="1"/>
        <v>0.4</v>
      </c>
      <c r="G24" s="66">
        <f t="shared" si="1"/>
        <v>0.5</v>
      </c>
      <c r="H24" s="66">
        <f t="shared" si="1"/>
        <v>0.6</v>
      </c>
      <c r="I24" s="66">
        <f t="shared" si="1"/>
        <v>0.7</v>
      </c>
      <c r="J24" s="66">
        <f t="shared" si="1"/>
        <v>0.8</v>
      </c>
      <c r="K24" s="66">
        <f t="shared" si="1"/>
        <v>0.9</v>
      </c>
      <c r="L24" s="66">
        <f>L$23+(-0.0148*L$23 +0.0062)*$A24</f>
        <v>1</v>
      </c>
    </row>
    <row r="25" spans="1:12">
      <c r="A25" s="66">
        <v>5</v>
      </c>
      <c r="B25" s="66">
        <f t="shared" si="1"/>
        <v>3.1E-2</v>
      </c>
      <c r="C25" s="66">
        <f t="shared" si="1"/>
        <v>0.1236</v>
      </c>
      <c r="D25" s="66">
        <f t="shared" si="1"/>
        <v>0.2162</v>
      </c>
      <c r="E25" s="66">
        <f t="shared" si="1"/>
        <v>0.30879999999999996</v>
      </c>
      <c r="F25" s="66">
        <f t="shared" si="1"/>
        <v>0.40140000000000003</v>
      </c>
      <c r="G25" s="66">
        <f t="shared" si="1"/>
        <v>0.49399999999999999</v>
      </c>
      <c r="H25" s="66">
        <f t="shared" si="1"/>
        <v>0.58660000000000001</v>
      </c>
      <c r="I25" s="66">
        <f t="shared" si="1"/>
        <v>0.67919999999999991</v>
      </c>
      <c r="J25" s="66">
        <f t="shared" si="1"/>
        <v>0.77180000000000004</v>
      </c>
      <c r="K25" s="66">
        <f t="shared" si="1"/>
        <v>0.86440000000000006</v>
      </c>
      <c r="L25" s="66">
        <f t="shared" si="1"/>
        <v>0.95699999999999996</v>
      </c>
    </row>
    <row r="26" spans="1:12">
      <c r="A26" s="66">
        <v>10</v>
      </c>
      <c r="B26" s="66">
        <f t="shared" si="1"/>
        <v>6.2E-2</v>
      </c>
      <c r="C26" s="66">
        <f t="shared" si="1"/>
        <v>0.1472</v>
      </c>
      <c r="D26" s="66">
        <f t="shared" si="1"/>
        <v>0.2324</v>
      </c>
      <c r="E26" s="66">
        <f t="shared" si="1"/>
        <v>0.31759999999999999</v>
      </c>
      <c r="F26" s="66">
        <f t="shared" si="1"/>
        <v>0.40279999999999999</v>
      </c>
      <c r="G26" s="66">
        <f t="shared" si="1"/>
        <v>0.48799999999999999</v>
      </c>
      <c r="H26" s="66">
        <f t="shared" si="1"/>
        <v>0.57319999999999993</v>
      </c>
      <c r="I26" s="66">
        <f t="shared" si="1"/>
        <v>0.65839999999999999</v>
      </c>
      <c r="J26" s="66">
        <f t="shared" si="1"/>
        <v>0.74360000000000004</v>
      </c>
      <c r="K26" s="66">
        <f t="shared" si="1"/>
        <v>0.82879999999999998</v>
      </c>
      <c r="L26" s="66">
        <f t="shared" si="1"/>
        <v>0.91400000000000003</v>
      </c>
    </row>
    <row r="27" spans="1:12">
      <c r="A27" s="66">
        <v>15</v>
      </c>
      <c r="B27" s="66">
        <f t="shared" si="1"/>
        <v>9.2999999999999999E-2</v>
      </c>
      <c r="C27" s="66">
        <f t="shared" si="1"/>
        <v>0.17080000000000001</v>
      </c>
      <c r="D27" s="66">
        <f t="shared" si="1"/>
        <v>0.24859999999999999</v>
      </c>
      <c r="E27" s="66">
        <f t="shared" si="1"/>
        <v>0.32639999999999997</v>
      </c>
      <c r="F27" s="66">
        <f t="shared" si="1"/>
        <v>0.4042</v>
      </c>
      <c r="G27" s="66">
        <f t="shared" si="1"/>
        <v>0.48199999999999998</v>
      </c>
      <c r="H27" s="66">
        <f t="shared" si="1"/>
        <v>0.55979999999999996</v>
      </c>
      <c r="I27" s="66">
        <f t="shared" si="1"/>
        <v>0.63759999999999994</v>
      </c>
      <c r="J27" s="66">
        <f t="shared" si="1"/>
        <v>0.71540000000000004</v>
      </c>
      <c r="K27" s="66">
        <f t="shared" si="1"/>
        <v>0.79320000000000002</v>
      </c>
      <c r="L27" s="66">
        <f t="shared" si="1"/>
        <v>0.871</v>
      </c>
    </row>
    <row r="28" spans="1:12">
      <c r="A28" s="66">
        <v>20</v>
      </c>
      <c r="B28" s="66">
        <f t="shared" si="1"/>
        <v>0.124</v>
      </c>
      <c r="C28" s="66">
        <f t="shared" si="1"/>
        <v>0.19439999999999999</v>
      </c>
      <c r="D28" s="66">
        <f t="shared" si="1"/>
        <v>0.26479999999999998</v>
      </c>
      <c r="E28" s="66">
        <f t="shared" si="1"/>
        <v>0.3352</v>
      </c>
      <c r="F28" s="66">
        <f t="shared" si="1"/>
        <v>0.40560000000000002</v>
      </c>
      <c r="G28" s="66">
        <f t="shared" si="1"/>
        <v>0.47599999999999998</v>
      </c>
      <c r="H28" s="66">
        <f t="shared" si="1"/>
        <v>0.5464</v>
      </c>
      <c r="I28" s="66">
        <f t="shared" si="1"/>
        <v>0.61680000000000001</v>
      </c>
      <c r="J28" s="66">
        <f t="shared" si="1"/>
        <v>0.68720000000000003</v>
      </c>
      <c r="K28" s="66">
        <f t="shared" si="1"/>
        <v>0.75760000000000005</v>
      </c>
      <c r="L28" s="66">
        <f t="shared" si="1"/>
        <v>0.82800000000000007</v>
      </c>
    </row>
    <row r="29" spans="1:12">
      <c r="A29" s="66">
        <v>25</v>
      </c>
      <c r="B29" s="66">
        <f t="shared" si="1"/>
        <v>0.155</v>
      </c>
      <c r="C29" s="66">
        <f t="shared" si="1"/>
        <v>0.21799999999999997</v>
      </c>
      <c r="D29" s="66">
        <f t="shared" si="1"/>
        <v>0.28100000000000003</v>
      </c>
      <c r="E29" s="66">
        <f t="shared" si="1"/>
        <v>0.34399999999999997</v>
      </c>
      <c r="F29" s="66">
        <f t="shared" si="1"/>
        <v>0.40699999999999997</v>
      </c>
      <c r="G29" s="66">
        <f t="shared" si="1"/>
        <v>0.47</v>
      </c>
      <c r="H29" s="66">
        <f t="shared" si="1"/>
        <v>0.53299999999999992</v>
      </c>
      <c r="I29" s="66">
        <f t="shared" si="1"/>
        <v>0.59599999999999997</v>
      </c>
      <c r="J29" s="66">
        <f t="shared" si="1"/>
        <v>0.65900000000000003</v>
      </c>
      <c r="K29" s="66">
        <f t="shared" si="1"/>
        <v>0.72199999999999998</v>
      </c>
      <c r="L29" s="66">
        <f t="shared" si="1"/>
        <v>0.78500000000000003</v>
      </c>
    </row>
    <row r="30" spans="1:12">
      <c r="A30" s="66">
        <v>30</v>
      </c>
      <c r="B30" s="66">
        <f t="shared" si="1"/>
        <v>0.186</v>
      </c>
      <c r="C30" s="66">
        <f t="shared" si="1"/>
        <v>0.24159999999999998</v>
      </c>
      <c r="D30" s="66">
        <f t="shared" si="1"/>
        <v>0.29720000000000002</v>
      </c>
      <c r="E30" s="66">
        <f t="shared" si="1"/>
        <v>0.3528</v>
      </c>
      <c r="F30" s="66">
        <f t="shared" si="1"/>
        <v>0.40839999999999999</v>
      </c>
      <c r="G30" s="66">
        <f t="shared" si="1"/>
        <v>0.46399999999999997</v>
      </c>
      <c r="H30" s="66">
        <f t="shared" si="1"/>
        <v>0.51959999999999995</v>
      </c>
      <c r="I30" s="66">
        <f t="shared" si="1"/>
        <v>0.57519999999999993</v>
      </c>
      <c r="J30" s="66">
        <f t="shared" si="1"/>
        <v>0.63080000000000003</v>
      </c>
      <c r="K30" s="66">
        <f t="shared" si="1"/>
        <v>0.68640000000000001</v>
      </c>
      <c r="L30" s="66">
        <f t="shared" si="1"/>
        <v>0.74199999999999999</v>
      </c>
    </row>
    <row r="31" spans="1:12">
      <c r="A31" s="66">
        <v>35</v>
      </c>
      <c r="B31" s="66">
        <f t="shared" si="1"/>
        <v>0.217</v>
      </c>
      <c r="C31" s="66">
        <f t="shared" si="1"/>
        <v>0.26519999999999999</v>
      </c>
      <c r="D31" s="66">
        <f t="shared" si="1"/>
        <v>0.31340000000000001</v>
      </c>
      <c r="E31" s="66">
        <f t="shared" si="1"/>
        <v>0.36159999999999998</v>
      </c>
      <c r="F31" s="66">
        <f t="shared" si="1"/>
        <v>0.4098</v>
      </c>
      <c r="G31" s="66">
        <f t="shared" si="1"/>
        <v>0.45799999999999996</v>
      </c>
      <c r="H31" s="66">
        <f t="shared" si="1"/>
        <v>0.50619999999999998</v>
      </c>
      <c r="I31" s="66">
        <f t="shared" si="1"/>
        <v>0.5544</v>
      </c>
      <c r="J31" s="66">
        <f t="shared" si="1"/>
        <v>0.60260000000000002</v>
      </c>
      <c r="K31" s="66">
        <f t="shared" si="1"/>
        <v>0.65080000000000005</v>
      </c>
      <c r="L31" s="66">
        <f t="shared" si="1"/>
        <v>0.69900000000000007</v>
      </c>
    </row>
    <row r="32" spans="1:12">
      <c r="A32" s="66">
        <v>40</v>
      </c>
      <c r="B32" s="66">
        <f t="shared" si="1"/>
        <v>0.248</v>
      </c>
      <c r="C32" s="66">
        <f t="shared" si="1"/>
        <v>0.28879999999999995</v>
      </c>
      <c r="D32" s="66">
        <f t="shared" si="1"/>
        <v>0.3296</v>
      </c>
      <c r="E32" s="66">
        <f t="shared" si="1"/>
        <v>0.37039999999999995</v>
      </c>
      <c r="F32" s="66">
        <f t="shared" si="1"/>
        <v>0.41120000000000001</v>
      </c>
      <c r="G32" s="66">
        <f t="shared" si="1"/>
        <v>0.45199999999999996</v>
      </c>
      <c r="H32" s="66">
        <f t="shared" si="1"/>
        <v>0.4927999999999999</v>
      </c>
      <c r="I32" s="66">
        <f t="shared" si="1"/>
        <v>0.53359999999999996</v>
      </c>
      <c r="J32" s="66">
        <f t="shared" si="1"/>
        <v>0.57440000000000002</v>
      </c>
      <c r="K32" s="66">
        <f t="shared" si="1"/>
        <v>0.61519999999999997</v>
      </c>
      <c r="L32" s="66">
        <f t="shared" si="1"/>
        <v>0.65600000000000003</v>
      </c>
    </row>
    <row r="33" spans="1:12">
      <c r="A33" s="66">
        <v>45</v>
      </c>
      <c r="B33" s="66">
        <f t="shared" si="1"/>
        <v>0.27899999999999997</v>
      </c>
      <c r="C33" s="66">
        <f t="shared" si="1"/>
        <v>0.31240000000000001</v>
      </c>
      <c r="D33" s="66">
        <f t="shared" si="1"/>
        <v>0.3458</v>
      </c>
      <c r="E33" s="66">
        <f t="shared" si="1"/>
        <v>0.37919999999999998</v>
      </c>
      <c r="F33" s="66">
        <f t="shared" si="1"/>
        <v>0.41259999999999997</v>
      </c>
      <c r="G33" s="66">
        <f t="shared" si="1"/>
        <v>0.44599999999999995</v>
      </c>
      <c r="H33" s="66">
        <f t="shared" si="1"/>
        <v>0.47939999999999994</v>
      </c>
      <c r="I33" s="66">
        <f t="shared" si="1"/>
        <v>0.51279999999999992</v>
      </c>
      <c r="J33" s="66">
        <f t="shared" si="1"/>
        <v>0.54620000000000002</v>
      </c>
      <c r="K33" s="66">
        <f t="shared" si="1"/>
        <v>0.5796</v>
      </c>
      <c r="L33" s="66">
        <f t="shared" si="1"/>
        <v>0.61299999999999999</v>
      </c>
    </row>
    <row r="40" spans="1:12">
      <c r="A40" s="65" t="s">
        <v>233</v>
      </c>
    </row>
    <row r="41" spans="1:12">
      <c r="B41" s="65" t="s">
        <v>95</v>
      </c>
    </row>
    <row r="42" spans="1:12">
      <c r="A42" s="65" t="s">
        <v>231</v>
      </c>
      <c r="B42" s="66">
        <v>0</v>
      </c>
      <c r="C42" s="66">
        <v>0.1</v>
      </c>
      <c r="D42" s="66">
        <v>0.2</v>
      </c>
      <c r="E42" s="66">
        <v>0.3</v>
      </c>
      <c r="F42" s="66">
        <v>0.4</v>
      </c>
      <c r="G42" s="66">
        <v>0.5</v>
      </c>
      <c r="H42" s="66">
        <v>0.6</v>
      </c>
      <c r="I42" s="66">
        <v>0.7</v>
      </c>
      <c r="J42" s="66">
        <v>0.8</v>
      </c>
      <c r="K42" s="66">
        <v>0.9</v>
      </c>
      <c r="L42" s="66">
        <v>1</v>
      </c>
    </row>
    <row r="43" spans="1:12">
      <c r="A43" s="66">
        <v>0</v>
      </c>
      <c r="B43" s="66">
        <f t="shared" ref="B43:L52" si="2">B$42+(-0.021*B$42 +0.0087)*$A43</f>
        <v>0</v>
      </c>
      <c r="C43" s="66">
        <f t="shared" si="2"/>
        <v>0.1</v>
      </c>
      <c r="D43" s="66">
        <f t="shared" si="2"/>
        <v>0.2</v>
      </c>
      <c r="E43" s="66">
        <f t="shared" si="2"/>
        <v>0.3</v>
      </c>
      <c r="F43" s="66">
        <f t="shared" si="2"/>
        <v>0.4</v>
      </c>
      <c r="G43" s="66">
        <f t="shared" si="2"/>
        <v>0.5</v>
      </c>
      <c r="H43" s="66">
        <f t="shared" si="2"/>
        <v>0.6</v>
      </c>
      <c r="I43" s="66">
        <f t="shared" si="2"/>
        <v>0.7</v>
      </c>
      <c r="J43" s="66">
        <f t="shared" si="2"/>
        <v>0.8</v>
      </c>
      <c r="K43" s="66">
        <f t="shared" si="2"/>
        <v>0.9</v>
      </c>
      <c r="L43" s="66">
        <f>L$42+(-0.021*L$42 +0.0087)*$A43</f>
        <v>1</v>
      </c>
    </row>
    <row r="44" spans="1:12">
      <c r="A44" s="66">
        <v>5</v>
      </c>
      <c r="B44" s="66">
        <f t="shared" si="2"/>
        <v>4.3499999999999997E-2</v>
      </c>
      <c r="C44" s="66">
        <f t="shared" si="2"/>
        <v>0.13300000000000001</v>
      </c>
      <c r="D44" s="66">
        <f t="shared" si="2"/>
        <v>0.2225</v>
      </c>
      <c r="E44" s="66">
        <f t="shared" si="2"/>
        <v>0.312</v>
      </c>
      <c r="F44" s="66">
        <f t="shared" si="2"/>
        <v>0.40150000000000002</v>
      </c>
      <c r="G44" s="66">
        <f t="shared" si="2"/>
        <v>0.49099999999999999</v>
      </c>
      <c r="H44" s="66">
        <f t="shared" si="2"/>
        <v>0.58050000000000002</v>
      </c>
      <c r="I44" s="66">
        <f t="shared" si="2"/>
        <v>0.66999999999999993</v>
      </c>
      <c r="J44" s="66">
        <f t="shared" si="2"/>
        <v>0.75950000000000006</v>
      </c>
      <c r="K44" s="66">
        <f t="shared" si="2"/>
        <v>0.84899999999999998</v>
      </c>
      <c r="L44" s="66">
        <f t="shared" si="2"/>
        <v>0.9385</v>
      </c>
    </row>
    <row r="45" spans="1:12">
      <c r="A45" s="66">
        <v>10</v>
      </c>
      <c r="B45" s="66">
        <f t="shared" si="2"/>
        <v>8.6999999999999994E-2</v>
      </c>
      <c r="C45" s="66">
        <f t="shared" si="2"/>
        <v>0.16599999999999998</v>
      </c>
      <c r="D45" s="66">
        <f t="shared" si="2"/>
        <v>0.245</v>
      </c>
      <c r="E45" s="66">
        <f t="shared" si="2"/>
        <v>0.32399999999999995</v>
      </c>
      <c r="F45" s="66">
        <f t="shared" si="2"/>
        <v>0.40300000000000002</v>
      </c>
      <c r="G45" s="66">
        <f t="shared" si="2"/>
        <v>0.48199999999999998</v>
      </c>
      <c r="H45" s="66">
        <f t="shared" si="2"/>
        <v>0.56099999999999994</v>
      </c>
      <c r="I45" s="66">
        <f t="shared" si="2"/>
        <v>0.6399999999999999</v>
      </c>
      <c r="J45" s="66">
        <f t="shared" si="2"/>
        <v>0.71899999999999997</v>
      </c>
      <c r="K45" s="66">
        <f t="shared" si="2"/>
        <v>0.79800000000000004</v>
      </c>
      <c r="L45" s="66">
        <f t="shared" si="2"/>
        <v>0.877</v>
      </c>
    </row>
    <row r="46" spans="1:12">
      <c r="A46" s="66">
        <v>15</v>
      </c>
      <c r="B46" s="66">
        <f t="shared" si="2"/>
        <v>0.1305</v>
      </c>
      <c r="C46" s="66">
        <f t="shared" si="2"/>
        <v>0.19900000000000001</v>
      </c>
      <c r="D46" s="66">
        <f t="shared" si="2"/>
        <v>0.26749999999999996</v>
      </c>
      <c r="E46" s="66">
        <f t="shared" si="2"/>
        <v>0.33599999999999997</v>
      </c>
      <c r="F46" s="66">
        <f t="shared" si="2"/>
        <v>0.40449999999999997</v>
      </c>
      <c r="G46" s="66">
        <f t="shared" si="2"/>
        <v>0.47299999999999998</v>
      </c>
      <c r="H46" s="66">
        <f t="shared" si="2"/>
        <v>0.54149999999999998</v>
      </c>
      <c r="I46" s="66">
        <f t="shared" si="2"/>
        <v>0.61</v>
      </c>
      <c r="J46" s="66">
        <f t="shared" si="2"/>
        <v>0.67849999999999999</v>
      </c>
      <c r="K46" s="66">
        <f t="shared" si="2"/>
        <v>0.747</v>
      </c>
      <c r="L46" s="66">
        <f t="shared" si="2"/>
        <v>0.8155</v>
      </c>
    </row>
    <row r="47" spans="1:12">
      <c r="A47" s="66">
        <v>20</v>
      </c>
      <c r="B47" s="66">
        <f t="shared" si="2"/>
        <v>0.17399999999999999</v>
      </c>
      <c r="C47" s="66">
        <f t="shared" si="2"/>
        <v>0.23199999999999998</v>
      </c>
      <c r="D47" s="66">
        <f t="shared" si="2"/>
        <v>0.28999999999999998</v>
      </c>
      <c r="E47" s="66">
        <f t="shared" si="2"/>
        <v>0.34799999999999998</v>
      </c>
      <c r="F47" s="66">
        <f t="shared" si="2"/>
        <v>0.40599999999999997</v>
      </c>
      <c r="G47" s="66">
        <f t="shared" si="2"/>
        <v>0.46399999999999997</v>
      </c>
      <c r="H47" s="66">
        <f t="shared" si="2"/>
        <v>0.52200000000000002</v>
      </c>
      <c r="I47" s="66">
        <f t="shared" si="2"/>
        <v>0.57999999999999996</v>
      </c>
      <c r="J47" s="66">
        <f t="shared" si="2"/>
        <v>0.63800000000000001</v>
      </c>
      <c r="K47" s="66">
        <f t="shared" si="2"/>
        <v>0.69599999999999995</v>
      </c>
      <c r="L47" s="66">
        <f t="shared" si="2"/>
        <v>0.754</v>
      </c>
    </row>
    <row r="48" spans="1:12">
      <c r="A48" s="66">
        <v>25</v>
      </c>
      <c r="B48" s="66">
        <f t="shared" si="2"/>
        <v>0.21749999999999997</v>
      </c>
      <c r="C48" s="66">
        <f t="shared" si="2"/>
        <v>0.26500000000000001</v>
      </c>
      <c r="D48" s="66">
        <f t="shared" si="2"/>
        <v>0.3125</v>
      </c>
      <c r="E48" s="66">
        <f t="shared" si="2"/>
        <v>0.36</v>
      </c>
      <c r="F48" s="66">
        <f t="shared" si="2"/>
        <v>0.40749999999999997</v>
      </c>
      <c r="G48" s="66">
        <f t="shared" si="2"/>
        <v>0.45499999999999996</v>
      </c>
      <c r="H48" s="66">
        <f t="shared" si="2"/>
        <v>0.50249999999999995</v>
      </c>
      <c r="I48" s="66">
        <f t="shared" si="2"/>
        <v>0.54999999999999993</v>
      </c>
      <c r="J48" s="66">
        <f t="shared" si="2"/>
        <v>0.59749999999999992</v>
      </c>
      <c r="K48" s="66">
        <f t="shared" si="2"/>
        <v>0.64500000000000002</v>
      </c>
      <c r="L48" s="66">
        <f t="shared" si="2"/>
        <v>0.69249999999999989</v>
      </c>
    </row>
    <row r="49" spans="1:12">
      <c r="A49" s="66">
        <v>30</v>
      </c>
      <c r="B49" s="66">
        <f t="shared" si="2"/>
        <v>0.26100000000000001</v>
      </c>
      <c r="C49" s="66">
        <f t="shared" si="2"/>
        <v>0.29799999999999999</v>
      </c>
      <c r="D49" s="66">
        <f t="shared" si="2"/>
        <v>0.33499999999999996</v>
      </c>
      <c r="E49" s="66">
        <f t="shared" si="2"/>
        <v>0.372</v>
      </c>
      <c r="F49" s="66">
        <f t="shared" si="2"/>
        <v>0.40899999999999997</v>
      </c>
      <c r="G49" s="66">
        <f t="shared" si="2"/>
        <v>0.44599999999999995</v>
      </c>
      <c r="H49" s="66">
        <f t="shared" si="2"/>
        <v>0.48299999999999998</v>
      </c>
      <c r="I49" s="66">
        <f t="shared" si="2"/>
        <v>0.52</v>
      </c>
      <c r="J49" s="66">
        <f t="shared" si="2"/>
        <v>0.55699999999999994</v>
      </c>
      <c r="K49" s="66">
        <f t="shared" si="2"/>
        <v>0.59399999999999997</v>
      </c>
      <c r="L49" s="66">
        <f t="shared" si="2"/>
        <v>0.63100000000000001</v>
      </c>
    </row>
    <row r="50" spans="1:12">
      <c r="A50" s="66">
        <v>35</v>
      </c>
      <c r="B50" s="66">
        <f t="shared" si="2"/>
        <v>0.30449999999999999</v>
      </c>
      <c r="C50" s="66">
        <f t="shared" si="2"/>
        <v>0.33099999999999996</v>
      </c>
      <c r="D50" s="66">
        <f t="shared" si="2"/>
        <v>0.35749999999999993</v>
      </c>
      <c r="E50" s="66">
        <f t="shared" si="2"/>
        <v>0.38399999999999995</v>
      </c>
      <c r="F50" s="66">
        <f t="shared" si="2"/>
        <v>0.41049999999999998</v>
      </c>
      <c r="G50" s="66">
        <f t="shared" si="2"/>
        <v>0.43699999999999994</v>
      </c>
      <c r="H50" s="66">
        <f t="shared" si="2"/>
        <v>0.46349999999999997</v>
      </c>
      <c r="I50" s="66">
        <f t="shared" si="2"/>
        <v>0.49</v>
      </c>
      <c r="J50" s="66">
        <f t="shared" si="2"/>
        <v>0.51649999999999996</v>
      </c>
      <c r="K50" s="66">
        <f t="shared" si="2"/>
        <v>0.54299999999999993</v>
      </c>
      <c r="L50" s="66">
        <f t="shared" si="2"/>
        <v>0.5694999999999999</v>
      </c>
    </row>
    <row r="51" spans="1:12">
      <c r="A51" s="66">
        <v>40</v>
      </c>
      <c r="B51" s="66">
        <f t="shared" si="2"/>
        <v>0.34799999999999998</v>
      </c>
      <c r="C51" s="66">
        <f t="shared" si="2"/>
        <v>0.36399999999999999</v>
      </c>
      <c r="D51" s="66">
        <f t="shared" si="2"/>
        <v>0.37999999999999995</v>
      </c>
      <c r="E51" s="66">
        <f t="shared" si="2"/>
        <v>0.39599999999999996</v>
      </c>
      <c r="F51" s="66">
        <f t="shared" si="2"/>
        <v>0.41199999999999992</v>
      </c>
      <c r="G51" s="66">
        <f t="shared" si="2"/>
        <v>0.42799999999999994</v>
      </c>
      <c r="H51" s="66">
        <f t="shared" si="2"/>
        <v>0.44399999999999995</v>
      </c>
      <c r="I51" s="66">
        <f t="shared" si="2"/>
        <v>0.45999999999999996</v>
      </c>
      <c r="J51" s="66">
        <f t="shared" si="2"/>
        <v>0.47599999999999992</v>
      </c>
      <c r="K51" s="66">
        <f t="shared" si="2"/>
        <v>0.49199999999999999</v>
      </c>
      <c r="L51" s="66">
        <f t="shared" si="2"/>
        <v>0.5079999999999999</v>
      </c>
    </row>
    <row r="52" spans="1:12">
      <c r="A52" s="66">
        <v>45</v>
      </c>
      <c r="B52" s="66">
        <f t="shared" si="2"/>
        <v>0.39149999999999996</v>
      </c>
      <c r="C52" s="66">
        <f t="shared" si="2"/>
        <v>0.39700000000000002</v>
      </c>
      <c r="D52" s="66">
        <f t="shared" si="2"/>
        <v>0.40249999999999997</v>
      </c>
      <c r="E52" s="66">
        <f t="shared" si="2"/>
        <v>0.40799999999999997</v>
      </c>
      <c r="F52" s="66">
        <f t="shared" si="2"/>
        <v>0.41349999999999992</v>
      </c>
      <c r="G52" s="66">
        <f t="shared" si="2"/>
        <v>0.41899999999999993</v>
      </c>
      <c r="H52" s="66">
        <f t="shared" si="2"/>
        <v>0.42449999999999993</v>
      </c>
      <c r="I52" s="66">
        <f t="shared" si="2"/>
        <v>0.42999999999999994</v>
      </c>
      <c r="J52" s="66">
        <f t="shared" si="2"/>
        <v>0.43549999999999989</v>
      </c>
      <c r="K52" s="66">
        <f t="shared" si="2"/>
        <v>0.441</v>
      </c>
      <c r="L52" s="66">
        <f t="shared" si="2"/>
        <v>0.4464999999999999</v>
      </c>
    </row>
    <row r="57" spans="1:12">
      <c r="A57" s="65" t="s">
        <v>234</v>
      </c>
    </row>
    <row r="58" spans="1:12">
      <c r="B58" s="65" t="s">
        <v>95</v>
      </c>
    </row>
    <row r="59" spans="1:12">
      <c r="A59" s="65" t="s">
        <v>231</v>
      </c>
      <c r="B59" s="66">
        <v>0</v>
      </c>
      <c r="C59" s="66">
        <v>0.1</v>
      </c>
      <c r="D59" s="66">
        <v>0.2</v>
      </c>
      <c r="E59" s="66">
        <v>0.3</v>
      </c>
      <c r="F59" s="66">
        <v>0.4</v>
      </c>
      <c r="G59" s="66">
        <v>0.5</v>
      </c>
      <c r="H59" s="66">
        <v>0.6</v>
      </c>
      <c r="I59" s="66">
        <v>0.7</v>
      </c>
      <c r="J59" s="66">
        <v>0.8</v>
      </c>
      <c r="K59" s="66">
        <v>0.9</v>
      </c>
      <c r="L59" s="66">
        <v>1</v>
      </c>
    </row>
    <row r="60" spans="1:12">
      <c r="A60" s="66">
        <v>0</v>
      </c>
      <c r="B60" s="66">
        <f t="shared" ref="B60:L60" si="3">B$4+(-0.0176*B$4 +0.0118)*$A60</f>
        <v>0</v>
      </c>
      <c r="C60" s="66">
        <f t="shared" si="3"/>
        <v>0.1</v>
      </c>
      <c r="D60" s="66">
        <f t="shared" si="3"/>
        <v>0.2</v>
      </c>
      <c r="E60" s="66">
        <f t="shared" si="3"/>
        <v>0.3</v>
      </c>
      <c r="F60" s="66">
        <f t="shared" si="3"/>
        <v>0.4</v>
      </c>
      <c r="G60" s="66">
        <f t="shared" si="3"/>
        <v>0.5</v>
      </c>
      <c r="H60" s="66">
        <f t="shared" si="3"/>
        <v>0.6</v>
      </c>
      <c r="I60" s="66">
        <f t="shared" si="3"/>
        <v>0.7</v>
      </c>
      <c r="J60" s="66">
        <f t="shared" si="3"/>
        <v>0.8</v>
      </c>
      <c r="K60" s="66">
        <f t="shared" si="3"/>
        <v>0.9</v>
      </c>
      <c r="L60" s="66">
        <f t="shared" si="3"/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1" sqref="D11"/>
    </sheetView>
  </sheetViews>
  <sheetFormatPr defaultRowHeight="15"/>
  <cols>
    <col min="1" max="1" width="14.28515625" style="27" bestFit="1" customWidth="1"/>
    <col min="2" max="2" width="14.28515625" bestFit="1" customWidth="1"/>
    <col min="4" max="4" width="14.7109375" bestFit="1" customWidth="1"/>
  </cols>
  <sheetData>
    <row r="1" spans="1:6">
      <c r="A1" s="69" t="s">
        <v>239</v>
      </c>
      <c r="B1" s="69"/>
      <c r="D1" t="s">
        <v>238</v>
      </c>
      <c r="E1" t="s">
        <v>236</v>
      </c>
      <c r="F1" t="s">
        <v>237</v>
      </c>
    </row>
    <row r="2" spans="1:6">
      <c r="A2" s="61" t="s">
        <v>235</v>
      </c>
      <c r="B2" s="61">
        <v>1</v>
      </c>
      <c r="D2">
        <v>0</v>
      </c>
      <c r="E2" s="27">
        <f>(0.0026*$B$2*$D2/1000*$B$3)</f>
        <v>0</v>
      </c>
      <c r="F2">
        <f>1-E2</f>
        <v>1</v>
      </c>
    </row>
    <row r="3" spans="1:6">
      <c r="A3" s="61" t="s">
        <v>220</v>
      </c>
      <c r="B3" s="61">
        <v>1</v>
      </c>
      <c r="D3">
        <v>2000</v>
      </c>
      <c r="E3" s="27">
        <f t="shared" ref="E3:E32" si="0">(0.0026*$B$2*$D3/1000*$B$3)</f>
        <v>5.1999999999999998E-3</v>
      </c>
      <c r="F3" s="27">
        <f t="shared" ref="F3:F32" si="1">1-E3</f>
        <v>0.99480000000000002</v>
      </c>
    </row>
    <row r="4" spans="1:6">
      <c r="D4">
        <v>4000</v>
      </c>
      <c r="E4" s="27">
        <f t="shared" si="0"/>
        <v>1.04E-2</v>
      </c>
      <c r="F4" s="27">
        <f t="shared" si="1"/>
        <v>0.98960000000000004</v>
      </c>
    </row>
    <row r="5" spans="1:6">
      <c r="D5" s="27">
        <v>6000</v>
      </c>
      <c r="E5" s="27">
        <f t="shared" si="0"/>
        <v>1.5599999999999999E-2</v>
      </c>
      <c r="F5" s="27">
        <f t="shared" si="1"/>
        <v>0.98440000000000005</v>
      </c>
    </row>
    <row r="6" spans="1:6">
      <c r="D6" s="27">
        <v>8000</v>
      </c>
      <c r="E6" s="27">
        <f t="shared" si="0"/>
        <v>2.0799999999999999E-2</v>
      </c>
      <c r="F6" s="27">
        <f t="shared" si="1"/>
        <v>0.97919999999999996</v>
      </c>
    </row>
    <row r="7" spans="1:6">
      <c r="D7" s="27">
        <v>10000</v>
      </c>
      <c r="E7">
        <f t="shared" si="0"/>
        <v>2.5999999999999999E-2</v>
      </c>
      <c r="F7">
        <f t="shared" si="1"/>
        <v>0.97399999999999998</v>
      </c>
    </row>
    <row r="8" spans="1:6">
      <c r="D8" s="27">
        <v>12000</v>
      </c>
      <c r="E8" s="27">
        <f t="shared" si="0"/>
        <v>3.1199999999999999E-2</v>
      </c>
      <c r="F8" s="27">
        <f t="shared" si="1"/>
        <v>0.96879999999999999</v>
      </c>
    </row>
    <row r="9" spans="1:6">
      <c r="D9" s="27">
        <v>14000</v>
      </c>
      <c r="E9" s="27">
        <f t="shared" si="0"/>
        <v>3.6400000000000002E-2</v>
      </c>
      <c r="F9" s="27">
        <f t="shared" si="1"/>
        <v>0.96360000000000001</v>
      </c>
    </row>
    <row r="10" spans="1:6">
      <c r="D10" s="27">
        <v>16000</v>
      </c>
      <c r="E10" s="27">
        <f t="shared" si="0"/>
        <v>4.1599999999999998E-2</v>
      </c>
      <c r="F10" s="27">
        <f t="shared" si="1"/>
        <v>0.95840000000000003</v>
      </c>
    </row>
    <row r="11" spans="1:6">
      <c r="D11" s="27">
        <v>18000</v>
      </c>
      <c r="E11" s="27">
        <f t="shared" si="0"/>
        <v>4.6799999999999994E-2</v>
      </c>
      <c r="F11" s="27">
        <f t="shared" si="1"/>
        <v>0.95320000000000005</v>
      </c>
    </row>
    <row r="12" spans="1:6">
      <c r="D12" s="27">
        <v>20000</v>
      </c>
      <c r="E12" s="27">
        <f t="shared" si="0"/>
        <v>5.1999999999999998E-2</v>
      </c>
      <c r="F12" s="27">
        <f t="shared" si="1"/>
        <v>0.94799999999999995</v>
      </c>
    </row>
    <row r="13" spans="1:6">
      <c r="D13" s="27">
        <v>22000</v>
      </c>
      <c r="E13" s="27">
        <f t="shared" si="0"/>
        <v>5.7199999999999994E-2</v>
      </c>
      <c r="F13" s="27">
        <f t="shared" si="1"/>
        <v>0.94279999999999997</v>
      </c>
    </row>
    <row r="14" spans="1:6">
      <c r="D14" s="27">
        <v>24000</v>
      </c>
      <c r="E14" s="27">
        <f t="shared" si="0"/>
        <v>6.2399999999999997E-2</v>
      </c>
      <c r="F14" s="27">
        <f t="shared" si="1"/>
        <v>0.93759999999999999</v>
      </c>
    </row>
    <row r="15" spans="1:6">
      <c r="D15" s="27">
        <v>26000</v>
      </c>
      <c r="E15" s="27">
        <f t="shared" si="0"/>
        <v>6.7599999999999993E-2</v>
      </c>
      <c r="F15" s="27">
        <f t="shared" si="1"/>
        <v>0.93240000000000001</v>
      </c>
    </row>
    <row r="16" spans="1:6">
      <c r="D16" s="27">
        <v>28000</v>
      </c>
      <c r="E16" s="27">
        <f t="shared" si="0"/>
        <v>7.2800000000000004E-2</v>
      </c>
      <c r="F16" s="27">
        <f t="shared" si="1"/>
        <v>0.92720000000000002</v>
      </c>
    </row>
    <row r="17" spans="4:6">
      <c r="D17" s="27">
        <v>30000</v>
      </c>
      <c r="E17" s="27">
        <f t="shared" si="0"/>
        <v>7.8E-2</v>
      </c>
      <c r="F17" s="27">
        <f t="shared" si="1"/>
        <v>0.92200000000000004</v>
      </c>
    </row>
    <row r="18" spans="4:6">
      <c r="D18" s="27">
        <v>32000</v>
      </c>
      <c r="E18" s="27">
        <f t="shared" si="0"/>
        <v>8.3199999999999996E-2</v>
      </c>
      <c r="F18" s="27">
        <f t="shared" si="1"/>
        <v>0.91680000000000006</v>
      </c>
    </row>
    <row r="19" spans="4:6">
      <c r="D19" s="27">
        <v>34000</v>
      </c>
      <c r="E19" s="27">
        <f t="shared" si="0"/>
        <v>8.8399999999999992E-2</v>
      </c>
      <c r="F19" s="27">
        <f t="shared" si="1"/>
        <v>0.91159999999999997</v>
      </c>
    </row>
    <row r="20" spans="4:6">
      <c r="D20" s="27">
        <v>36000</v>
      </c>
      <c r="E20" s="27">
        <f t="shared" si="0"/>
        <v>9.3599999999999989E-2</v>
      </c>
      <c r="F20" s="27">
        <f t="shared" si="1"/>
        <v>0.90639999999999998</v>
      </c>
    </row>
    <row r="21" spans="4:6">
      <c r="D21" s="27">
        <v>38000</v>
      </c>
      <c r="E21" s="27">
        <f t="shared" si="0"/>
        <v>9.8799999999999999E-2</v>
      </c>
      <c r="F21" s="27">
        <f t="shared" si="1"/>
        <v>0.9012</v>
      </c>
    </row>
    <row r="22" spans="4:6">
      <c r="D22" s="27">
        <v>40000</v>
      </c>
      <c r="E22" s="27">
        <f t="shared" si="0"/>
        <v>0.104</v>
      </c>
      <c r="F22" s="27">
        <f t="shared" si="1"/>
        <v>0.89600000000000002</v>
      </c>
    </row>
    <row r="23" spans="4:6">
      <c r="D23" s="27">
        <v>42000</v>
      </c>
      <c r="E23" s="27">
        <f t="shared" si="0"/>
        <v>0.10919999999999999</v>
      </c>
      <c r="F23" s="27">
        <f t="shared" si="1"/>
        <v>0.89080000000000004</v>
      </c>
    </row>
    <row r="24" spans="4:6">
      <c r="D24" s="27">
        <v>44000</v>
      </c>
      <c r="E24" s="27">
        <f t="shared" si="0"/>
        <v>0.11439999999999999</v>
      </c>
      <c r="F24" s="27">
        <f t="shared" si="1"/>
        <v>0.88560000000000005</v>
      </c>
    </row>
    <row r="25" spans="4:6">
      <c r="D25" s="27">
        <v>46000</v>
      </c>
      <c r="E25" s="27">
        <f t="shared" si="0"/>
        <v>0.1196</v>
      </c>
      <c r="F25" s="27">
        <f t="shared" si="1"/>
        <v>0.88039999999999996</v>
      </c>
    </row>
    <row r="26" spans="4:6">
      <c r="D26" s="27">
        <v>48000</v>
      </c>
      <c r="E26" s="27">
        <f t="shared" si="0"/>
        <v>0.12479999999999999</v>
      </c>
      <c r="F26" s="27">
        <f t="shared" si="1"/>
        <v>0.87519999999999998</v>
      </c>
    </row>
    <row r="27" spans="4:6">
      <c r="D27" s="27">
        <v>50000</v>
      </c>
      <c r="E27" s="27">
        <f t="shared" si="0"/>
        <v>0.13</v>
      </c>
      <c r="F27" s="27">
        <f t="shared" si="1"/>
        <v>0.87</v>
      </c>
    </row>
    <row r="28" spans="4:6">
      <c r="D28" s="27">
        <v>52000</v>
      </c>
      <c r="E28" s="27">
        <f t="shared" si="0"/>
        <v>0.13519999999999999</v>
      </c>
      <c r="F28" s="27">
        <f t="shared" si="1"/>
        <v>0.86480000000000001</v>
      </c>
    </row>
    <row r="29" spans="4:6">
      <c r="D29" s="27">
        <v>54000</v>
      </c>
      <c r="E29" s="27">
        <f t="shared" si="0"/>
        <v>0.1404</v>
      </c>
      <c r="F29" s="27">
        <f t="shared" si="1"/>
        <v>0.85960000000000003</v>
      </c>
    </row>
    <row r="30" spans="4:6">
      <c r="D30" s="27">
        <v>56000</v>
      </c>
      <c r="E30" s="27">
        <f t="shared" si="0"/>
        <v>0.14560000000000001</v>
      </c>
      <c r="F30" s="27">
        <f t="shared" si="1"/>
        <v>0.85440000000000005</v>
      </c>
    </row>
    <row r="31" spans="4:6">
      <c r="D31" s="27">
        <v>58000</v>
      </c>
      <c r="E31" s="27">
        <f t="shared" si="0"/>
        <v>0.15079999999999999</v>
      </c>
      <c r="F31" s="27">
        <f t="shared" si="1"/>
        <v>0.84919999999999995</v>
      </c>
    </row>
    <row r="32" spans="4:6">
      <c r="D32" s="27">
        <v>60000</v>
      </c>
      <c r="E32" s="27">
        <f t="shared" si="0"/>
        <v>0.156</v>
      </c>
      <c r="F32" s="27">
        <f t="shared" si="1"/>
        <v>0.84399999999999997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4" sqref="E4"/>
    </sheetView>
  </sheetViews>
  <sheetFormatPr defaultRowHeight="15"/>
  <cols>
    <col min="4" max="4" width="14" bestFit="1" customWidth="1"/>
  </cols>
  <sheetData>
    <row r="1" spans="1:5">
      <c r="A1" t="s">
        <v>8</v>
      </c>
      <c r="B1" t="s">
        <v>5</v>
      </c>
      <c r="D1" t="s">
        <v>206</v>
      </c>
      <c r="E1">
        <v>-86</v>
      </c>
    </row>
    <row r="2" spans="1:5">
      <c r="A2">
        <v>1</v>
      </c>
      <c r="B2">
        <f>A2*$E$2+$E$1</f>
        <v>14</v>
      </c>
      <c r="D2" t="s">
        <v>207</v>
      </c>
      <c r="E2">
        <v>100</v>
      </c>
    </row>
    <row r="3" spans="1:5">
      <c r="A3">
        <v>1.5</v>
      </c>
      <c r="B3" s="27">
        <f t="shared" ref="B3:B7" si="0">A3*$E$2+$E$1</f>
        <v>64</v>
      </c>
    </row>
    <row r="4" spans="1:5">
      <c r="A4">
        <v>2</v>
      </c>
      <c r="B4" s="27">
        <f t="shared" si="0"/>
        <v>114</v>
      </c>
    </row>
    <row r="5" spans="1:5">
      <c r="A5">
        <v>2.5</v>
      </c>
      <c r="B5" s="27">
        <f t="shared" si="0"/>
        <v>164</v>
      </c>
    </row>
    <row r="6" spans="1:5">
      <c r="A6">
        <v>3</v>
      </c>
      <c r="B6" s="27">
        <f t="shared" si="0"/>
        <v>214</v>
      </c>
    </row>
    <row r="7" spans="1:5">
      <c r="A7">
        <v>3.5</v>
      </c>
      <c r="B7" s="27">
        <f t="shared" si="0"/>
        <v>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8"/>
  <sheetViews>
    <sheetView topLeftCell="I1" workbookViewId="0">
      <selection activeCell="P2" sqref="P2:P13"/>
    </sheetView>
  </sheetViews>
  <sheetFormatPr defaultRowHeight="15"/>
  <cols>
    <col min="6" max="7" width="0" hidden="1" customWidth="1"/>
    <col min="11" max="11" width="9.140625" style="27"/>
    <col min="14" max="14" width="9.140625" style="27"/>
    <col min="18" max="18" width="12.7109375" bestFit="1" customWidth="1"/>
    <col min="26" max="26" width="11.7109375" customWidth="1"/>
  </cols>
  <sheetData>
    <row r="1" spans="1:29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27</v>
      </c>
      <c r="G1" t="s">
        <v>28</v>
      </c>
      <c r="H1" t="s">
        <v>29</v>
      </c>
      <c r="I1" t="s">
        <v>9</v>
      </c>
      <c r="J1" t="s">
        <v>4</v>
      </c>
      <c r="K1" s="27" t="s">
        <v>35</v>
      </c>
      <c r="L1" s="4" t="s">
        <v>32</v>
      </c>
      <c r="M1" t="s">
        <v>60</v>
      </c>
      <c r="N1" s="27" t="s">
        <v>149</v>
      </c>
      <c r="O1" t="s">
        <v>147</v>
      </c>
      <c r="P1" s="27" t="s">
        <v>148</v>
      </c>
      <c r="Q1" t="s">
        <v>15</v>
      </c>
      <c r="R1" t="s">
        <v>12</v>
      </c>
      <c r="S1" t="s">
        <v>150</v>
      </c>
      <c r="T1" s="27" t="s">
        <v>151</v>
      </c>
      <c r="U1" t="s">
        <v>23</v>
      </c>
      <c r="V1" t="s">
        <v>22</v>
      </c>
      <c r="W1" t="s">
        <v>34</v>
      </c>
      <c r="X1" t="s">
        <v>26</v>
      </c>
      <c r="Z1" s="31" t="s">
        <v>1</v>
      </c>
      <c r="AA1" s="31">
        <v>0</v>
      </c>
    </row>
    <row r="2" spans="1:29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AA$2)/2</f>
        <v>8.5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AA$8 * H2^ AA$9)</f>
        <v>0.99116670419529562</v>
      </c>
      <c r="J2">
        <f t="shared" ref="J2:J13" si="2">MAX(0,(($AA$3-D2)*(D2-$AA$1))/((($AA$3-$AA$1)/2)^2))</f>
        <v>0</v>
      </c>
      <c r="K2" s="27">
        <f t="shared" ref="K2:K13" si="3">IF(D2&gt;AA$2,1,MAX(0,((AA$3-D2)*(D2-AA$1))/(((AA$3-AA$1)/2)^2)))</f>
        <v>0</v>
      </c>
      <c r="L2">
        <f t="shared" ref="L2:L13" si="4">AA$10*(AA$7*I2*AA$11*12)/1000000000</f>
        <v>2.1725371888189602</v>
      </c>
      <c r="M2">
        <f>K2*L2</f>
        <v>0</v>
      </c>
      <c r="N2" s="27">
        <f>J2*L2</f>
        <v>0</v>
      </c>
      <c r="O2" s="27">
        <f t="shared" ref="O2:O13" si="5" xml:space="preserve"> AA$12*AA$13* M2 * AA$14</f>
        <v>0</v>
      </c>
      <c r="P2" s="27">
        <f t="shared" ref="P2:P13" si="6" xml:space="preserve"> AA$12*AA$13* N2 * AA$14</f>
        <v>0</v>
      </c>
      <c r="Q2">
        <f t="shared" ref="Q2:Q13" si="7">AA$18^((D2-AA$2)/10)</f>
        <v>0.21763764082403106</v>
      </c>
      <c r="R2">
        <f t="shared" ref="R2:R13" si="8">AA$17*Q2</f>
        <v>2.1763764082403107E-2</v>
      </c>
      <c r="S2">
        <f>O2+V2</f>
        <v>0.95407940233607225</v>
      </c>
      <c r="T2" s="27">
        <f>P2+V2</f>
        <v>0.95407940233607225</v>
      </c>
      <c r="U2">
        <f>AA$17*Q2*AA$10*86400*12/1000000000*AA$7</f>
        <v>9.5407940233607227E-2</v>
      </c>
      <c r="V2">
        <f>AA$12*U2*AA$14</f>
        <v>0.95407940233607225</v>
      </c>
      <c r="W2">
        <f t="shared" ref="W2:W13" si="9">AA$16/H2</f>
        <v>25.932841941192954</v>
      </c>
      <c r="X2">
        <f t="shared" ref="X2:X13" si="10">T2*(44/12)/W2</f>
        <v>0.13489810140484756</v>
      </c>
      <c r="Z2" s="31" t="s">
        <v>2</v>
      </c>
      <c r="AA2" s="31">
        <v>22</v>
      </c>
    </row>
    <row r="3" spans="1:29">
      <c r="A3">
        <v>-10</v>
      </c>
      <c r="B3">
        <v>10</v>
      </c>
      <c r="C3">
        <f t="shared" ref="C3:C10" si="11">(A3+B3)/2</f>
        <v>0</v>
      </c>
      <c r="D3">
        <f t="shared" ref="D3:D13" si="12">(C3+B3)/2</f>
        <v>5</v>
      </c>
      <c r="E3">
        <f t="shared" si="0"/>
        <v>11</v>
      </c>
      <c r="F3">
        <f t="shared" ref="F3:F13" si="13">0.61078 * EXP(17.26939 * D3 / (D3 + 237.3))</f>
        <v>0.87227141748882542</v>
      </c>
      <c r="G3">
        <f t="shared" ref="G3:G13" si="14">0.61078 * EXP(17.26939 * A3 / (A3 + 237.3))</f>
        <v>0.28570929427727804</v>
      </c>
      <c r="H3">
        <f t="shared" ref="H3:H13" si="15">F3-G3</f>
        <v>0.58656212321154744</v>
      </c>
      <c r="I3">
        <f t="shared" si="1"/>
        <v>0.98279724378067812</v>
      </c>
      <c r="J3">
        <f t="shared" si="2"/>
        <v>0.40289256198347106</v>
      </c>
      <c r="K3" s="27">
        <f t="shared" si="3"/>
        <v>0.40289256198347106</v>
      </c>
      <c r="L3" s="27">
        <f t="shared" si="4"/>
        <v>2.1541921779099553</v>
      </c>
      <c r="M3" s="27">
        <f t="shared" ref="M3:M13" si="16">K3*L3</f>
        <v>0.86790800556289516</v>
      </c>
      <c r="N3" s="27">
        <f t="shared" ref="N3:N13" si="17">J3*L3</f>
        <v>0.86790800556289516</v>
      </c>
      <c r="O3" s="27">
        <f t="shared" si="5"/>
        <v>8.6790800556289511</v>
      </c>
      <c r="P3" s="27">
        <f t="shared" si="6"/>
        <v>8.6790800556289511</v>
      </c>
      <c r="Q3" s="27">
        <f t="shared" si="7"/>
        <v>0.30778610333622908</v>
      </c>
      <c r="R3" s="27">
        <f t="shared" si="8"/>
        <v>3.0778610333622908E-2</v>
      </c>
      <c r="S3" s="27">
        <f t="shared" ref="S3:S13" si="18">O3+V3</f>
        <v>10.028352085993442</v>
      </c>
      <c r="T3" s="27">
        <f t="shared" ref="T3:T13" si="19">P3+V3</f>
        <v>10.028352085993442</v>
      </c>
      <c r="U3" s="27">
        <f t="shared" ref="U3:U13" si="20">AA$17*Q3*AA$10*86400*12/1000000000*AA$7</f>
        <v>0.13492720303644898</v>
      </c>
      <c r="V3" s="27">
        <f t="shared" ref="V3:V13" si="21">AA$12*U3*AA$14</f>
        <v>1.3492720303644898</v>
      </c>
      <c r="W3">
        <f t="shared" si="9"/>
        <v>18.582856902386187</v>
      </c>
      <c r="X3">
        <f t="shared" si="10"/>
        <v>1.9787390339634829</v>
      </c>
      <c r="Z3" s="31" t="s">
        <v>3</v>
      </c>
      <c r="AA3" s="29">
        <f>AA2+(AA2-AA1)</f>
        <v>44</v>
      </c>
    </row>
    <row r="4" spans="1:29">
      <c r="A4">
        <v>-5</v>
      </c>
      <c r="B4">
        <v>15</v>
      </c>
      <c r="C4">
        <f t="shared" si="11"/>
        <v>5</v>
      </c>
      <c r="D4">
        <f t="shared" si="12"/>
        <v>10</v>
      </c>
      <c r="E4">
        <f t="shared" si="0"/>
        <v>13.5</v>
      </c>
      <c r="F4">
        <f t="shared" si="13"/>
        <v>1.2278921229539039</v>
      </c>
      <c r="G4">
        <f t="shared" si="14"/>
        <v>0.42116823077156701</v>
      </c>
      <c r="H4">
        <f t="shared" si="15"/>
        <v>0.80672389218233698</v>
      </c>
      <c r="I4">
        <f t="shared" si="1"/>
        <v>0.96745982808910902</v>
      </c>
      <c r="J4">
        <f t="shared" si="2"/>
        <v>0.7024793388429752</v>
      </c>
      <c r="K4" s="27">
        <f t="shared" si="3"/>
        <v>0.7024793388429752</v>
      </c>
      <c r="L4" s="27">
        <f t="shared" si="4"/>
        <v>2.1205741136335114</v>
      </c>
      <c r="M4" s="27">
        <f t="shared" si="16"/>
        <v>1.4896595013127973</v>
      </c>
      <c r="N4" s="27">
        <f t="shared" si="17"/>
        <v>1.4896595013127973</v>
      </c>
      <c r="O4" s="27">
        <f t="shared" si="5"/>
        <v>14.896595013127973</v>
      </c>
      <c r="P4" s="27">
        <f t="shared" si="6"/>
        <v>14.896595013127973</v>
      </c>
      <c r="Q4" s="27">
        <f t="shared" si="7"/>
        <v>0.43527528164806206</v>
      </c>
      <c r="R4" s="27">
        <f t="shared" si="8"/>
        <v>4.3527528164806206E-2</v>
      </c>
      <c r="S4" s="27">
        <f t="shared" si="18"/>
        <v>16.804753817800119</v>
      </c>
      <c r="T4" s="27">
        <f t="shared" si="19"/>
        <v>16.804753817800119</v>
      </c>
      <c r="U4" s="27">
        <f t="shared" si="20"/>
        <v>0.19081588046721443</v>
      </c>
      <c r="V4" s="27">
        <f t="shared" si="21"/>
        <v>1.9081588046721443</v>
      </c>
      <c r="W4">
        <f t="shared" si="9"/>
        <v>13.511438183036192</v>
      </c>
      <c r="X4">
        <f t="shared" si="10"/>
        <v>4.560390228675189</v>
      </c>
      <c r="Z4" s="31" t="s">
        <v>6</v>
      </c>
      <c r="AA4" s="31">
        <v>-46</v>
      </c>
    </row>
    <row r="5" spans="1:29">
      <c r="A5">
        <v>0</v>
      </c>
      <c r="B5">
        <v>20</v>
      </c>
      <c r="C5">
        <f t="shared" si="11"/>
        <v>10</v>
      </c>
      <c r="D5">
        <f t="shared" si="12"/>
        <v>15</v>
      </c>
      <c r="E5">
        <f t="shared" si="0"/>
        <v>16</v>
      </c>
      <c r="F5">
        <f t="shared" si="13"/>
        <v>1.7052285488209411</v>
      </c>
      <c r="G5">
        <f t="shared" si="14"/>
        <v>0.61077999999999999</v>
      </c>
      <c r="H5">
        <f t="shared" si="15"/>
        <v>1.094448548820941</v>
      </c>
      <c r="I5">
        <f t="shared" si="1"/>
        <v>0.94010911869918679</v>
      </c>
      <c r="J5">
        <f t="shared" si="2"/>
        <v>0.89876033057851235</v>
      </c>
      <c r="K5" s="27">
        <f t="shared" si="3"/>
        <v>0.89876033057851235</v>
      </c>
      <c r="L5" s="27">
        <f t="shared" si="4"/>
        <v>2.0606241243545345</v>
      </c>
      <c r="M5" s="27">
        <f t="shared" si="16"/>
        <v>1.8520072192029389</v>
      </c>
      <c r="N5" s="27">
        <f t="shared" si="17"/>
        <v>1.8520072192029389</v>
      </c>
      <c r="O5" s="27">
        <f t="shared" si="5"/>
        <v>18.520072192029389</v>
      </c>
      <c r="P5" s="27">
        <f t="shared" si="6"/>
        <v>18.520072192029389</v>
      </c>
      <c r="Q5" s="27">
        <f t="shared" si="7"/>
        <v>0.61557220667245816</v>
      </c>
      <c r="R5" s="27">
        <f t="shared" si="8"/>
        <v>6.1557220667245817E-2</v>
      </c>
      <c r="S5" s="27">
        <f t="shared" si="18"/>
        <v>21.21861625275837</v>
      </c>
      <c r="T5" s="27">
        <f t="shared" si="19"/>
        <v>21.21861625275837</v>
      </c>
      <c r="U5" s="27">
        <f t="shared" si="20"/>
        <v>0.26985440607289796</v>
      </c>
      <c r="V5" s="27">
        <f t="shared" si="21"/>
        <v>2.6985440607289797</v>
      </c>
      <c r="W5">
        <f t="shared" si="9"/>
        <v>9.9593535134590532</v>
      </c>
      <c r="X5">
        <f t="shared" si="10"/>
        <v>7.8119119701534592</v>
      </c>
      <c r="Z5" s="31" t="s">
        <v>7</v>
      </c>
      <c r="AA5" s="31">
        <v>71.900000000000006</v>
      </c>
    </row>
    <row r="6" spans="1:29">
      <c r="A6">
        <v>5</v>
      </c>
      <c r="B6">
        <v>25</v>
      </c>
      <c r="C6">
        <f t="shared" si="11"/>
        <v>15</v>
      </c>
      <c r="D6">
        <f t="shared" si="12"/>
        <v>20</v>
      </c>
      <c r="E6">
        <f t="shared" si="0"/>
        <v>18.5</v>
      </c>
      <c r="F6">
        <f t="shared" si="13"/>
        <v>2.3380938419374377</v>
      </c>
      <c r="G6">
        <f t="shared" si="14"/>
        <v>0.87227141748882542</v>
      </c>
      <c r="H6">
        <f t="shared" si="15"/>
        <v>1.4658224244486124</v>
      </c>
      <c r="I6">
        <f t="shared" si="1"/>
        <v>0.89256823099917959</v>
      </c>
      <c r="J6">
        <f t="shared" si="2"/>
        <v>0.99173553719008267</v>
      </c>
      <c r="K6" s="27">
        <f t="shared" si="3"/>
        <v>0.99173553719008267</v>
      </c>
      <c r="L6" s="27">
        <f t="shared" si="4"/>
        <v>1.9564193058506831</v>
      </c>
      <c r="M6" s="27">
        <f t="shared" si="16"/>
        <v>1.940250551256876</v>
      </c>
      <c r="N6" s="27">
        <f t="shared" si="17"/>
        <v>1.940250551256876</v>
      </c>
      <c r="O6" s="27">
        <f t="shared" si="5"/>
        <v>19.402505512568759</v>
      </c>
      <c r="P6" s="27">
        <f t="shared" si="6"/>
        <v>19.402505512568759</v>
      </c>
      <c r="Q6" s="27">
        <f t="shared" si="7"/>
        <v>0.87055056329612412</v>
      </c>
      <c r="R6" s="27">
        <f t="shared" si="8"/>
        <v>8.7055056329612412E-2</v>
      </c>
      <c r="S6" s="27">
        <f t="shared" si="18"/>
        <v>23.218823121913047</v>
      </c>
      <c r="T6" s="27">
        <f t="shared" si="19"/>
        <v>23.218823121913047</v>
      </c>
      <c r="U6" s="27">
        <f t="shared" si="20"/>
        <v>0.38163176093442885</v>
      </c>
      <c r="V6" s="27">
        <f t="shared" si="21"/>
        <v>3.8163176093442885</v>
      </c>
      <c r="W6">
        <f t="shared" si="9"/>
        <v>7.4360985465890748</v>
      </c>
      <c r="X6">
        <f t="shared" si="10"/>
        <v>11.44897209833232</v>
      </c>
      <c r="Z6" s="31" t="s">
        <v>8</v>
      </c>
      <c r="AA6" s="31">
        <v>2.6</v>
      </c>
    </row>
    <row r="7" spans="1:29">
      <c r="A7">
        <v>10</v>
      </c>
      <c r="B7">
        <v>30</v>
      </c>
      <c r="C7">
        <f t="shared" si="11"/>
        <v>20</v>
      </c>
      <c r="D7">
        <f t="shared" si="12"/>
        <v>25</v>
      </c>
      <c r="E7">
        <f t="shared" si="0"/>
        <v>21</v>
      </c>
      <c r="F7">
        <f t="shared" si="13"/>
        <v>3.1674898302368564</v>
      </c>
      <c r="G7">
        <f t="shared" si="14"/>
        <v>1.2278921229539039</v>
      </c>
      <c r="H7">
        <f t="shared" si="15"/>
        <v>1.9395977072829524</v>
      </c>
      <c r="I7">
        <f t="shared" si="1"/>
        <v>0.81189803669513572</v>
      </c>
      <c r="J7">
        <f t="shared" si="2"/>
        <v>0.98140495867768596</v>
      </c>
      <c r="K7" s="27">
        <f t="shared" si="3"/>
        <v>1</v>
      </c>
      <c r="L7" s="27">
        <f t="shared" si="4"/>
        <v>1.7795983973062672</v>
      </c>
      <c r="M7" s="27">
        <f t="shared" si="16"/>
        <v>1.7795983973062672</v>
      </c>
      <c r="N7" s="27">
        <f t="shared" si="17"/>
        <v>1.7465066915712333</v>
      </c>
      <c r="O7" s="27">
        <f t="shared" si="5"/>
        <v>17.795983973062672</v>
      </c>
      <c r="P7" s="27">
        <f t="shared" si="6"/>
        <v>17.465066915712335</v>
      </c>
      <c r="Q7" s="27">
        <f t="shared" si="7"/>
        <v>1.2311444133449163</v>
      </c>
      <c r="R7" s="27">
        <f t="shared" si="8"/>
        <v>0.12311444133449163</v>
      </c>
      <c r="S7" s="27">
        <f t="shared" si="18"/>
        <v>23.19307209452063</v>
      </c>
      <c r="T7" s="27">
        <f t="shared" si="19"/>
        <v>22.862155037170293</v>
      </c>
      <c r="U7" s="27">
        <f t="shared" si="20"/>
        <v>0.53970881214579591</v>
      </c>
      <c r="V7" s="27">
        <f t="shared" si="21"/>
        <v>5.3970881214579594</v>
      </c>
      <c r="W7">
        <f t="shared" si="9"/>
        <v>5.6197220480679224</v>
      </c>
      <c r="X7">
        <f t="shared" si="10"/>
        <v>14.91673450856489</v>
      </c>
      <c r="Z7" s="31" t="s">
        <v>5</v>
      </c>
      <c r="AA7" s="29">
        <f>AA4+AA5*AA6</f>
        <v>140.94000000000003</v>
      </c>
    </row>
    <row r="8" spans="1:29">
      <c r="A8">
        <v>15</v>
      </c>
      <c r="B8">
        <v>35</v>
      </c>
      <c r="C8">
        <f t="shared" si="11"/>
        <v>25</v>
      </c>
      <c r="D8">
        <f t="shared" si="12"/>
        <v>30</v>
      </c>
      <c r="E8">
        <f t="shared" si="0"/>
        <v>23.5</v>
      </c>
      <c r="F8">
        <f t="shared" si="13"/>
        <v>4.2426356531114431</v>
      </c>
      <c r="G8">
        <f t="shared" si="14"/>
        <v>1.7052285488209411</v>
      </c>
      <c r="H8">
        <f t="shared" si="15"/>
        <v>2.537407104290502</v>
      </c>
      <c r="I8">
        <f t="shared" si="1"/>
        <v>0.67807825935480448</v>
      </c>
      <c r="J8">
        <f t="shared" si="2"/>
        <v>0.86776859504132231</v>
      </c>
      <c r="K8" s="27">
        <f t="shared" si="3"/>
        <v>1</v>
      </c>
      <c r="L8" s="27">
        <f t="shared" si="4"/>
        <v>1.4862789772321459</v>
      </c>
      <c r="M8" s="27">
        <f t="shared" si="16"/>
        <v>1.4862789772321459</v>
      </c>
      <c r="N8" s="27">
        <f t="shared" si="17"/>
        <v>1.2897462199121927</v>
      </c>
      <c r="O8" s="27">
        <f t="shared" si="5"/>
        <v>14.862789772321459</v>
      </c>
      <c r="P8" s="27">
        <f t="shared" si="6"/>
        <v>12.897462199121927</v>
      </c>
      <c r="Q8" s="27">
        <f t="shared" si="7"/>
        <v>1.7411011265922482</v>
      </c>
      <c r="R8" s="27">
        <f t="shared" si="8"/>
        <v>0.17411011265922482</v>
      </c>
      <c r="S8" s="27">
        <f t="shared" si="18"/>
        <v>22.495424991010037</v>
      </c>
      <c r="T8" s="27">
        <f t="shared" si="19"/>
        <v>20.530097417810502</v>
      </c>
      <c r="U8" s="27">
        <f t="shared" si="20"/>
        <v>0.76326352186885771</v>
      </c>
      <c r="V8" s="27">
        <f t="shared" si="21"/>
        <v>7.6326352186885771</v>
      </c>
      <c r="W8">
        <f t="shared" si="9"/>
        <v>4.29572376524413</v>
      </c>
      <c r="X8">
        <f t="shared" si="10"/>
        <v>17.523711481254221</v>
      </c>
      <c r="Z8" s="31" t="s">
        <v>30</v>
      </c>
      <c r="AA8" s="31">
        <v>0.05</v>
      </c>
    </row>
    <row r="9" spans="1:29">
      <c r="A9">
        <v>20</v>
      </c>
      <c r="B9">
        <v>40</v>
      </c>
      <c r="C9">
        <f t="shared" si="11"/>
        <v>30</v>
      </c>
      <c r="D9">
        <f t="shared" si="12"/>
        <v>35</v>
      </c>
      <c r="E9">
        <f t="shared" si="0"/>
        <v>26</v>
      </c>
      <c r="F9">
        <f t="shared" si="13"/>
        <v>5.6220563085635584</v>
      </c>
      <c r="G9">
        <f t="shared" si="14"/>
        <v>2.3380938419374377</v>
      </c>
      <c r="H9">
        <f t="shared" si="15"/>
        <v>3.2839624666261207</v>
      </c>
      <c r="I9">
        <f t="shared" si="1"/>
        <v>0.46077952588954418</v>
      </c>
      <c r="J9">
        <f t="shared" si="2"/>
        <v>0.65082644628099173</v>
      </c>
      <c r="K9" s="27">
        <f t="shared" si="3"/>
        <v>1</v>
      </c>
      <c r="L9" s="27">
        <f t="shared" si="4"/>
        <v>1.0099821267242231</v>
      </c>
      <c r="M9" s="27">
        <f t="shared" si="16"/>
        <v>1.0099821267242231</v>
      </c>
      <c r="N9" s="27">
        <f t="shared" si="17"/>
        <v>0.65732307834324433</v>
      </c>
      <c r="O9" s="27">
        <f t="shared" si="5"/>
        <v>10.099821267242231</v>
      </c>
      <c r="P9" s="27">
        <f t="shared" si="6"/>
        <v>6.573230783432443</v>
      </c>
      <c r="Q9" s="27">
        <f t="shared" si="7"/>
        <v>2.4622888266898326</v>
      </c>
      <c r="R9" s="27">
        <f t="shared" si="8"/>
        <v>0.24622888266898327</v>
      </c>
      <c r="S9" s="27">
        <f t="shared" si="18"/>
        <v>20.893997510158151</v>
      </c>
      <c r="T9" s="27">
        <f t="shared" si="19"/>
        <v>17.36740702634836</v>
      </c>
      <c r="U9" s="27">
        <f t="shared" si="20"/>
        <v>1.0794176242915918</v>
      </c>
      <c r="V9" s="27">
        <f t="shared" si="21"/>
        <v>10.794176242915919</v>
      </c>
      <c r="W9">
        <f t="shared" si="9"/>
        <v>3.3191609559406592</v>
      </c>
      <c r="X9">
        <f t="shared" si="10"/>
        <v>19.185719907908702</v>
      </c>
      <c r="Z9" s="31" t="s">
        <v>31</v>
      </c>
      <c r="AA9" s="31">
        <v>2</v>
      </c>
    </row>
    <row r="10" spans="1:29">
      <c r="A10">
        <v>25</v>
      </c>
      <c r="B10">
        <v>45</v>
      </c>
      <c r="C10">
        <f t="shared" si="11"/>
        <v>35</v>
      </c>
      <c r="D10">
        <f t="shared" si="12"/>
        <v>40</v>
      </c>
      <c r="E10">
        <f t="shared" si="0"/>
        <v>28.5</v>
      </c>
      <c r="F10">
        <f t="shared" si="13"/>
        <v>7.3747231460360023</v>
      </c>
      <c r="G10">
        <f t="shared" si="14"/>
        <v>3.1674898302368564</v>
      </c>
      <c r="H10">
        <f t="shared" si="15"/>
        <v>4.2072333157991455</v>
      </c>
      <c r="I10">
        <f t="shared" si="1"/>
        <v>0.11495939132148625</v>
      </c>
      <c r="J10">
        <f t="shared" si="2"/>
        <v>0.33057851239669422</v>
      </c>
      <c r="K10" s="27">
        <f t="shared" si="3"/>
        <v>1</v>
      </c>
      <c r="L10" s="27">
        <f t="shared" si="4"/>
        <v>0.25197936108304753</v>
      </c>
      <c r="M10" s="27">
        <f t="shared" si="16"/>
        <v>0.25197936108304753</v>
      </c>
      <c r="N10" s="27">
        <f t="shared" si="17"/>
        <v>8.3298962341503316E-2</v>
      </c>
      <c r="O10" s="27">
        <f t="shared" si="5"/>
        <v>2.519793610830475</v>
      </c>
      <c r="P10" s="27">
        <f t="shared" si="6"/>
        <v>0.83298962341503313</v>
      </c>
      <c r="Q10" s="27">
        <f t="shared" si="7"/>
        <v>3.4822022531844965</v>
      </c>
      <c r="R10" s="27">
        <f t="shared" si="8"/>
        <v>0.34822022531844965</v>
      </c>
      <c r="S10" s="27">
        <f t="shared" si="18"/>
        <v>17.78506404820763</v>
      </c>
      <c r="T10" s="27">
        <f t="shared" si="19"/>
        <v>16.098260060792189</v>
      </c>
      <c r="U10" s="27">
        <f t="shared" si="20"/>
        <v>1.5265270437377154</v>
      </c>
      <c r="V10" s="27">
        <f t="shared" si="21"/>
        <v>15.265270437377154</v>
      </c>
      <c r="W10">
        <f t="shared" si="9"/>
        <v>2.5907762136860701</v>
      </c>
      <c r="X10">
        <f t="shared" si="10"/>
        <v>22.783501424948021</v>
      </c>
      <c r="Z10" s="31" t="s">
        <v>10</v>
      </c>
      <c r="AA10" s="31">
        <v>30</v>
      </c>
      <c r="AC10" t="s">
        <v>152</v>
      </c>
    </row>
    <row r="11" spans="1:29">
      <c r="A11">
        <v>30</v>
      </c>
      <c r="B11">
        <v>50</v>
      </c>
      <c r="C11">
        <f t="shared" ref="C11:C13" si="22">(A11+B11)/2</f>
        <v>40</v>
      </c>
      <c r="D11">
        <f t="shared" si="12"/>
        <v>45</v>
      </c>
      <c r="E11">
        <f t="shared" si="0"/>
        <v>31</v>
      </c>
      <c r="F11">
        <f t="shared" si="13"/>
        <v>9.5812372781996284</v>
      </c>
      <c r="G11">
        <f t="shared" si="14"/>
        <v>4.2426356531114431</v>
      </c>
      <c r="H11">
        <f t="shared" si="15"/>
        <v>5.3386016250881854</v>
      </c>
      <c r="I11">
        <f t="shared" si="1"/>
        <v>0</v>
      </c>
      <c r="J11">
        <f t="shared" si="2"/>
        <v>0</v>
      </c>
      <c r="K11" s="27">
        <f t="shared" si="3"/>
        <v>1</v>
      </c>
      <c r="L11" s="27">
        <f t="shared" si="4"/>
        <v>0</v>
      </c>
      <c r="M11" s="27">
        <f t="shared" si="16"/>
        <v>0</v>
      </c>
      <c r="N11" s="27">
        <f t="shared" si="17"/>
        <v>0</v>
      </c>
      <c r="O11" s="27">
        <f t="shared" si="5"/>
        <v>0</v>
      </c>
      <c r="P11" s="27">
        <f t="shared" si="6"/>
        <v>0</v>
      </c>
      <c r="Q11" s="27">
        <f t="shared" si="7"/>
        <v>4.9245776533796644</v>
      </c>
      <c r="R11" s="27">
        <f t="shared" si="8"/>
        <v>0.49245776533796648</v>
      </c>
      <c r="S11" s="27">
        <f t="shared" si="18"/>
        <v>21.588352485831837</v>
      </c>
      <c r="T11" s="27">
        <f t="shared" si="19"/>
        <v>21.588352485831837</v>
      </c>
      <c r="U11" s="27">
        <f t="shared" si="20"/>
        <v>2.1588352485831837</v>
      </c>
      <c r="V11" s="27">
        <f t="shared" si="21"/>
        <v>21.588352485831837</v>
      </c>
      <c r="W11">
        <f t="shared" si="9"/>
        <v>2.0417331663738723</v>
      </c>
      <c r="X11">
        <f t="shared" si="10"/>
        <v>38.769655972545031</v>
      </c>
      <c r="Z11" s="31" t="s">
        <v>11</v>
      </c>
      <c r="AA11" s="29">
        <f>AB11*60*60</f>
        <v>43200</v>
      </c>
      <c r="AB11">
        <v>12</v>
      </c>
      <c r="AC11" t="s">
        <v>117</v>
      </c>
    </row>
    <row r="12" spans="1:29">
      <c r="A12">
        <v>35</v>
      </c>
      <c r="B12">
        <v>55</v>
      </c>
      <c r="C12">
        <f t="shared" si="22"/>
        <v>45</v>
      </c>
      <c r="D12">
        <f t="shared" si="12"/>
        <v>50</v>
      </c>
      <c r="E12">
        <f t="shared" si="0"/>
        <v>33.5</v>
      </c>
      <c r="F12">
        <f t="shared" si="13"/>
        <v>12.335046017492973</v>
      </c>
      <c r="G12">
        <f t="shared" si="14"/>
        <v>5.6220563085635584</v>
      </c>
      <c r="H12">
        <f t="shared" si="15"/>
        <v>6.7129897089294142</v>
      </c>
      <c r="I12">
        <f t="shared" si="1"/>
        <v>0</v>
      </c>
      <c r="J12">
        <f t="shared" si="2"/>
        <v>0</v>
      </c>
      <c r="K12" s="27">
        <f t="shared" si="3"/>
        <v>1</v>
      </c>
      <c r="L12" s="27">
        <f t="shared" si="4"/>
        <v>0</v>
      </c>
      <c r="M12" s="27">
        <f t="shared" si="16"/>
        <v>0</v>
      </c>
      <c r="N12" s="27">
        <f t="shared" si="17"/>
        <v>0</v>
      </c>
      <c r="O12" s="27">
        <f t="shared" si="5"/>
        <v>0</v>
      </c>
      <c r="P12" s="27">
        <f t="shared" si="6"/>
        <v>0</v>
      </c>
      <c r="Q12" s="27">
        <f t="shared" si="7"/>
        <v>6.9644045063689921</v>
      </c>
      <c r="R12" s="27">
        <f t="shared" si="8"/>
        <v>0.6964404506368993</v>
      </c>
      <c r="S12" s="27">
        <f t="shared" si="18"/>
        <v>30.530540874754308</v>
      </c>
      <c r="T12" s="27">
        <f t="shared" si="19"/>
        <v>30.530540874754308</v>
      </c>
      <c r="U12" s="27">
        <f t="shared" si="20"/>
        <v>3.0530540874754308</v>
      </c>
      <c r="V12" s="27">
        <f t="shared" si="21"/>
        <v>30.530540874754308</v>
      </c>
      <c r="W12">
        <f t="shared" si="9"/>
        <v>1.6237176686717028</v>
      </c>
      <c r="X12">
        <f t="shared" si="10"/>
        <v>68.943831000092331</v>
      </c>
      <c r="Z12" s="31" t="s">
        <v>20</v>
      </c>
      <c r="AA12" s="31">
        <v>1</v>
      </c>
    </row>
    <row r="13" spans="1:29">
      <c r="A13">
        <v>40</v>
      </c>
      <c r="B13">
        <v>60</v>
      </c>
      <c r="C13">
        <f t="shared" si="22"/>
        <v>50</v>
      </c>
      <c r="D13">
        <f t="shared" si="12"/>
        <v>55</v>
      </c>
      <c r="E13">
        <f t="shared" si="0"/>
        <v>36</v>
      </c>
      <c r="F13">
        <f t="shared" si="13"/>
        <v>15.743681776119971</v>
      </c>
      <c r="G13">
        <f t="shared" si="14"/>
        <v>7.3747231460360023</v>
      </c>
      <c r="H13">
        <f t="shared" si="15"/>
        <v>8.3689586300839682</v>
      </c>
      <c r="I13">
        <f t="shared" si="1"/>
        <v>0</v>
      </c>
      <c r="J13">
        <f t="shared" si="2"/>
        <v>0</v>
      </c>
      <c r="K13" s="27">
        <f t="shared" si="3"/>
        <v>1</v>
      </c>
      <c r="L13" s="27">
        <f t="shared" si="4"/>
        <v>0</v>
      </c>
      <c r="M13" s="27">
        <f t="shared" si="16"/>
        <v>0</v>
      </c>
      <c r="N13" s="27">
        <f t="shared" si="17"/>
        <v>0</v>
      </c>
      <c r="O13" s="27">
        <f t="shared" si="5"/>
        <v>0</v>
      </c>
      <c r="P13" s="27">
        <f t="shared" si="6"/>
        <v>0</v>
      </c>
      <c r="Q13" s="27">
        <f t="shared" si="7"/>
        <v>9.8491553067593287</v>
      </c>
      <c r="R13" s="27">
        <f t="shared" si="8"/>
        <v>0.98491553067593296</v>
      </c>
      <c r="S13" s="27">
        <f t="shared" si="18"/>
        <v>43.176704971663675</v>
      </c>
      <c r="T13" s="27">
        <f t="shared" si="19"/>
        <v>43.176704971663675</v>
      </c>
      <c r="U13" s="27">
        <f t="shared" si="20"/>
        <v>4.3176704971663673</v>
      </c>
      <c r="V13" s="27">
        <f t="shared" si="21"/>
        <v>43.176704971663675</v>
      </c>
      <c r="W13">
        <f t="shared" si="9"/>
        <v>1.3024320565784224</v>
      </c>
      <c r="X13">
        <f t="shared" si="10"/>
        <v>121.55304692975949</v>
      </c>
      <c r="Z13" s="31" t="s">
        <v>21</v>
      </c>
      <c r="AA13" s="31">
        <v>1</v>
      </c>
    </row>
    <row r="14" spans="1:29">
      <c r="Z14" s="31" t="s">
        <v>24</v>
      </c>
      <c r="AA14" s="31">
        <v>10</v>
      </c>
    </row>
    <row r="15" spans="1:29">
      <c r="Z15" s="31" t="s">
        <v>25</v>
      </c>
      <c r="AA15" s="31">
        <v>5</v>
      </c>
    </row>
    <row r="16" spans="1:29">
      <c r="Z16" s="31" t="s">
        <v>33</v>
      </c>
      <c r="AA16" s="31">
        <v>10.9</v>
      </c>
    </row>
    <row r="17" spans="19:27">
      <c r="Z17" s="31" t="s">
        <v>13</v>
      </c>
      <c r="AA17" s="31">
        <v>0.1</v>
      </c>
    </row>
    <row r="18" spans="19:27">
      <c r="S18" s="2" t="s">
        <v>182</v>
      </c>
      <c r="T18" s="2"/>
      <c r="Z18" s="31" t="s">
        <v>146</v>
      </c>
      <c r="AA18" s="31">
        <v>2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2"/>
  <sheetViews>
    <sheetView workbookViewId="0">
      <selection activeCell="G2" sqref="G2:G16"/>
    </sheetView>
  </sheetViews>
  <sheetFormatPr defaultRowHeight="15"/>
  <cols>
    <col min="8" max="8" width="9.140625" style="27"/>
    <col min="9" max="17" width="9.140625" style="4"/>
    <col min="18" max="18" width="12.5703125" customWidth="1"/>
    <col min="22" max="22" width="9.140625" style="4"/>
    <col min="25" max="25" width="10.42578125" style="4" customWidth="1"/>
    <col min="27" max="27" width="8.140625" customWidth="1"/>
  </cols>
  <sheetData>
    <row r="1" spans="1:21">
      <c r="A1" t="s">
        <v>179</v>
      </c>
      <c r="B1" s="4" t="s">
        <v>37</v>
      </c>
      <c r="C1" s="4" t="s">
        <v>51</v>
      </c>
      <c r="D1" s="4" t="s">
        <v>38</v>
      </c>
      <c r="E1" s="4" t="s">
        <v>42</v>
      </c>
      <c r="F1" s="4" t="s">
        <v>39</v>
      </c>
      <c r="G1" s="4" t="s">
        <v>40</v>
      </c>
      <c r="H1" s="57" t="s">
        <v>188</v>
      </c>
      <c r="I1" s="4" t="s">
        <v>41</v>
      </c>
      <c r="J1" s="4" t="s">
        <v>43</v>
      </c>
      <c r="K1" s="4" t="s">
        <v>5</v>
      </c>
      <c r="L1" s="57" t="s">
        <v>189</v>
      </c>
      <c r="M1" s="4" t="s">
        <v>9</v>
      </c>
      <c r="N1" s="4" t="s">
        <v>45</v>
      </c>
      <c r="O1" s="4" t="s">
        <v>180</v>
      </c>
      <c r="R1" s="32" t="s">
        <v>153</v>
      </c>
      <c r="S1" s="31"/>
      <c r="T1" s="31"/>
      <c r="U1" s="31"/>
    </row>
    <row r="2" spans="1:21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8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8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31"/>
      <c r="S2" s="31"/>
      <c r="T2" s="31"/>
      <c r="U2" s="31"/>
    </row>
    <row r="3" spans="1:21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8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8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31" t="s">
        <v>8</v>
      </c>
      <c r="S3" s="31">
        <v>2.9</v>
      </c>
      <c r="T3" s="31" t="s">
        <v>50</v>
      </c>
      <c r="U3" s="31"/>
    </row>
    <row r="4" spans="1:21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8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8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31" t="s">
        <v>6</v>
      </c>
      <c r="S4" s="31">
        <v>-46</v>
      </c>
      <c r="T4" s="31"/>
      <c r="U4" s="31"/>
    </row>
    <row r="5" spans="1:21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8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8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31" t="s">
        <v>7</v>
      </c>
      <c r="S5" s="31">
        <v>71.900000000000006</v>
      </c>
      <c r="T5" s="31"/>
      <c r="U5" s="31"/>
    </row>
    <row r="6" spans="1:21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8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8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31" t="s">
        <v>29</v>
      </c>
      <c r="S6" s="31">
        <v>1.9</v>
      </c>
      <c r="T6" s="31"/>
      <c r="U6" s="31"/>
    </row>
    <row r="7" spans="1:21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8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8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31" t="s">
        <v>44</v>
      </c>
      <c r="S7" s="31">
        <v>10.9</v>
      </c>
      <c r="T7" s="31"/>
      <c r="U7" s="31"/>
    </row>
    <row r="8" spans="1:21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8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8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31" t="s">
        <v>30</v>
      </c>
      <c r="S8" s="31">
        <v>0.05</v>
      </c>
      <c r="T8" s="31"/>
      <c r="U8" s="31"/>
    </row>
    <row r="9" spans="1:21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8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8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31" t="s">
        <v>31</v>
      </c>
      <c r="S9" s="31">
        <v>2</v>
      </c>
      <c r="T9" s="31"/>
      <c r="U9" s="31"/>
    </row>
    <row r="10" spans="1:21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8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8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31" t="s">
        <v>46</v>
      </c>
      <c r="S10" s="31">
        <v>30</v>
      </c>
      <c r="T10" s="31" t="s">
        <v>48</v>
      </c>
      <c r="U10" s="31"/>
    </row>
    <row r="11" spans="1:21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8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8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31" t="s">
        <v>181</v>
      </c>
      <c r="S11" s="29">
        <f>T11*60*60</f>
        <v>46800</v>
      </c>
      <c r="T11" s="31">
        <v>13</v>
      </c>
      <c r="U11" s="31" t="s">
        <v>117</v>
      </c>
    </row>
    <row r="12" spans="1:21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8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8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31"/>
      <c r="S12" s="31"/>
      <c r="T12" s="31"/>
      <c r="U12" s="31"/>
    </row>
    <row r="13" spans="1:21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8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8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31"/>
      <c r="S13" s="31"/>
      <c r="T13" s="31"/>
      <c r="U13" s="31"/>
    </row>
    <row r="14" spans="1:21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8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8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32" t="s">
        <v>36</v>
      </c>
      <c r="S14" s="31"/>
      <c r="T14" s="31"/>
      <c r="U14" s="31"/>
    </row>
    <row r="15" spans="1:21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8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8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31" t="s">
        <v>47</v>
      </c>
      <c r="S15" s="31">
        <v>12</v>
      </c>
      <c r="T15" s="31" t="s">
        <v>49</v>
      </c>
      <c r="U15" s="31"/>
    </row>
    <row r="16" spans="1:21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8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8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31" t="s">
        <v>52</v>
      </c>
      <c r="S16" s="31">
        <v>44</v>
      </c>
      <c r="T16" s="31" t="s">
        <v>53</v>
      </c>
      <c r="U16" s="31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31" sqref="G31"/>
    </sheetView>
  </sheetViews>
  <sheetFormatPr defaultRowHeight="15"/>
  <cols>
    <col min="1" max="1" width="13" style="27" customWidth="1"/>
    <col min="2" max="16384" width="9.140625" style="27"/>
  </cols>
  <sheetData>
    <row r="1" spans="1:11">
      <c r="B1" s="27" t="s">
        <v>190</v>
      </c>
      <c r="C1" s="27" t="s">
        <v>191</v>
      </c>
    </row>
    <row r="2" spans="1:11">
      <c r="A2" s="27" t="s">
        <v>192</v>
      </c>
      <c r="B2" s="27">
        <v>530</v>
      </c>
      <c r="C2" s="27">
        <v>600</v>
      </c>
      <c r="D2" s="2" t="s">
        <v>193</v>
      </c>
      <c r="E2" s="2"/>
      <c r="F2" s="2"/>
      <c r="G2" s="2"/>
      <c r="H2" s="2"/>
      <c r="I2" s="2"/>
      <c r="J2" s="2"/>
      <c r="K2" s="2"/>
    </row>
    <row r="3" spans="1:11">
      <c r="A3" s="27" t="s">
        <v>194</v>
      </c>
      <c r="B3" s="27">
        <v>-0.75</v>
      </c>
      <c r="C3" s="27">
        <v>0.1</v>
      </c>
    </row>
    <row r="6" spans="1:11">
      <c r="A6" s="27" t="s">
        <v>195</v>
      </c>
      <c r="B6" s="27" t="s">
        <v>196</v>
      </c>
      <c r="C6" s="27" t="s">
        <v>196</v>
      </c>
    </row>
    <row r="7" spans="1:11">
      <c r="A7" s="27">
        <v>300</v>
      </c>
      <c r="B7" s="27">
        <f t="shared" ref="B7:B17" si="0">B$3*A7 + (B$2 - (350*B$3))</f>
        <v>567.5</v>
      </c>
      <c r="C7" s="27">
        <f>C$3*A7 + (C$2 - (350*C$3))</f>
        <v>595</v>
      </c>
    </row>
    <row r="8" spans="1:11">
      <c r="A8" s="27">
        <v>350</v>
      </c>
      <c r="B8" s="27">
        <f t="shared" si="0"/>
        <v>530</v>
      </c>
      <c r="C8" s="27">
        <f t="shared" ref="C8:C17" si="1">C$3*A8 + (C$2 - (350*C$3))</f>
        <v>600</v>
      </c>
      <c r="D8" s="2" t="s">
        <v>197</v>
      </c>
      <c r="E8" s="2"/>
      <c r="F8" s="2"/>
      <c r="G8" s="2"/>
    </row>
    <row r="9" spans="1:11">
      <c r="A9" s="27">
        <v>365</v>
      </c>
      <c r="B9" s="31">
        <f t="shared" si="0"/>
        <v>518.75</v>
      </c>
      <c r="C9" s="31">
        <f t="shared" si="1"/>
        <v>601.5</v>
      </c>
      <c r="D9" s="27" t="s">
        <v>198</v>
      </c>
    </row>
    <row r="10" spans="1:11">
      <c r="A10" s="27">
        <v>400</v>
      </c>
      <c r="B10" s="27">
        <f t="shared" si="0"/>
        <v>492.5</v>
      </c>
      <c r="C10" s="27">
        <f t="shared" si="1"/>
        <v>605</v>
      </c>
    </row>
    <row r="11" spans="1:11">
      <c r="A11" s="27">
        <v>450</v>
      </c>
      <c r="B11" s="27">
        <f t="shared" si="0"/>
        <v>455</v>
      </c>
      <c r="C11" s="27">
        <f t="shared" si="1"/>
        <v>610</v>
      </c>
    </row>
    <row r="12" spans="1:11">
      <c r="A12" s="27">
        <v>500</v>
      </c>
      <c r="B12" s="27">
        <f t="shared" si="0"/>
        <v>417.5</v>
      </c>
      <c r="C12" s="27">
        <f t="shared" si="1"/>
        <v>615</v>
      </c>
    </row>
    <row r="13" spans="1:11">
      <c r="A13" s="27">
        <v>550</v>
      </c>
      <c r="B13" s="27">
        <f t="shared" si="0"/>
        <v>380</v>
      </c>
      <c r="C13" s="27">
        <f t="shared" si="1"/>
        <v>620</v>
      </c>
    </row>
    <row r="14" spans="1:11">
      <c r="A14" s="27">
        <v>600</v>
      </c>
      <c r="B14" s="27">
        <f t="shared" si="0"/>
        <v>342.5</v>
      </c>
      <c r="C14" s="27">
        <f t="shared" si="1"/>
        <v>625</v>
      </c>
    </row>
    <row r="15" spans="1:11">
      <c r="A15" s="27">
        <v>650</v>
      </c>
      <c r="B15" s="27">
        <f t="shared" si="0"/>
        <v>305</v>
      </c>
      <c r="C15" s="27">
        <f t="shared" si="1"/>
        <v>630</v>
      </c>
    </row>
    <row r="16" spans="1:11">
      <c r="A16" s="27">
        <v>700</v>
      </c>
      <c r="B16" s="27">
        <f t="shared" si="0"/>
        <v>267.5</v>
      </c>
      <c r="C16" s="27">
        <f t="shared" si="1"/>
        <v>635</v>
      </c>
    </row>
    <row r="17" spans="1:3">
      <c r="A17" s="27">
        <v>750</v>
      </c>
      <c r="B17" s="27">
        <f t="shared" si="0"/>
        <v>230</v>
      </c>
      <c r="C17" s="27">
        <f t="shared" si="1"/>
        <v>640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K6" sqref="K6"/>
    </sheetView>
  </sheetViews>
  <sheetFormatPr defaultRowHeight="15"/>
  <cols>
    <col min="2" max="2" width="9.140625" style="27"/>
    <col min="10" max="10" width="12" customWidth="1"/>
  </cols>
  <sheetData>
    <row r="2" spans="1:11">
      <c r="A2" t="s">
        <v>159</v>
      </c>
      <c r="B2" s="27" t="s">
        <v>158</v>
      </c>
      <c r="G2" s="27"/>
    </row>
    <row r="3" spans="1:11">
      <c r="A3" t="s">
        <v>155</v>
      </c>
      <c r="B3" s="27" t="s">
        <v>155</v>
      </c>
      <c r="C3" t="s">
        <v>163</v>
      </c>
      <c r="D3" t="s">
        <v>162</v>
      </c>
      <c r="F3" t="s">
        <v>160</v>
      </c>
      <c r="G3" s="27" t="s">
        <v>161</v>
      </c>
    </row>
    <row r="4" spans="1:11">
      <c r="A4">
        <f>1 - (C4* C4)</f>
        <v>1</v>
      </c>
      <c r="B4" s="27">
        <f>1 - (D4* D4)</f>
        <v>1</v>
      </c>
      <c r="C4">
        <f t="shared" ref="C4:C14" si="0">D4^$K$4</f>
        <v>0</v>
      </c>
      <c r="D4">
        <v>0</v>
      </c>
      <c r="F4">
        <f>1-(A4^$K$5)</f>
        <v>0</v>
      </c>
      <c r="G4" s="27">
        <f>1-(B4^$K$5)</f>
        <v>0</v>
      </c>
      <c r="J4" s="31" t="s">
        <v>156</v>
      </c>
      <c r="K4" s="31">
        <v>2.6</v>
      </c>
    </row>
    <row r="5" spans="1:11">
      <c r="A5" s="27">
        <f t="shared" ref="A5:A14" si="1">1 - (C5* C5)</f>
        <v>0.99999369042655517</v>
      </c>
      <c r="B5" s="27">
        <f t="shared" ref="B5:B14" si="2">1 - (D5* D5)</f>
        <v>0.99</v>
      </c>
      <c r="C5">
        <f t="shared" si="0"/>
        <v>2.5118864315095799E-3</v>
      </c>
      <c r="D5">
        <v>0.1</v>
      </c>
      <c r="F5" s="27">
        <f t="shared" ref="F5:F14" si="3">1-(A5^$K$5)</f>
        <v>6.3095734448292973E-6</v>
      </c>
      <c r="G5" s="27">
        <f t="shared" ref="G5:G14" si="4">1-(B5^$K$5)</f>
        <v>1.0000000000000009E-2</v>
      </c>
      <c r="J5" s="31" t="s">
        <v>157</v>
      </c>
      <c r="K5" s="31">
        <v>1</v>
      </c>
    </row>
    <row r="6" spans="1:11">
      <c r="A6" s="27">
        <f t="shared" si="1"/>
        <v>0.99976807050762317</v>
      </c>
      <c r="B6" s="27">
        <f t="shared" si="2"/>
        <v>0.96</v>
      </c>
      <c r="C6">
        <f t="shared" si="0"/>
        <v>1.5229231509727031E-2</v>
      </c>
      <c r="D6">
        <v>0.2</v>
      </c>
      <c r="F6" s="27">
        <f t="shared" si="3"/>
        <v>2.3192949237682559E-4</v>
      </c>
      <c r="G6" s="27">
        <f t="shared" si="4"/>
        <v>4.0000000000000036E-2</v>
      </c>
    </row>
    <row r="7" spans="1:11">
      <c r="A7" s="27">
        <f t="shared" si="1"/>
        <v>0.99809001250200025</v>
      </c>
      <c r="B7" s="27">
        <f t="shared" si="2"/>
        <v>0.91</v>
      </c>
      <c r="C7">
        <f t="shared" si="0"/>
        <v>4.370340373471833E-2</v>
      </c>
      <c r="D7">
        <v>0.3</v>
      </c>
      <c r="F7" s="27">
        <f t="shared" si="3"/>
        <v>1.9099874979997544E-3</v>
      </c>
      <c r="G7" s="27">
        <f t="shared" si="4"/>
        <v>8.9999999999999969E-2</v>
      </c>
    </row>
    <row r="8" spans="1:11">
      <c r="A8" s="27">
        <f t="shared" si="1"/>
        <v>0.99147465515620481</v>
      </c>
      <c r="B8" s="27">
        <f t="shared" si="2"/>
        <v>0.84</v>
      </c>
      <c r="C8">
        <f t="shared" si="0"/>
        <v>9.233279397806167E-2</v>
      </c>
      <c r="D8">
        <v>0.4</v>
      </c>
      <c r="F8" s="27">
        <f t="shared" si="3"/>
        <v>8.5253448437951906E-3</v>
      </c>
      <c r="G8" s="27">
        <f t="shared" si="4"/>
        <v>0.16000000000000003</v>
      </c>
    </row>
    <row r="9" spans="1:11">
      <c r="A9" s="27">
        <f t="shared" si="1"/>
        <v>0.97279529489699612</v>
      </c>
      <c r="B9" s="27">
        <f t="shared" si="2"/>
        <v>0.75</v>
      </c>
      <c r="C9">
        <f t="shared" si="0"/>
        <v>0.16493848884661177</v>
      </c>
      <c r="D9">
        <v>0.5</v>
      </c>
      <c r="F9" s="27">
        <f t="shared" si="3"/>
        <v>2.7204705103003879E-2</v>
      </c>
      <c r="G9" s="27">
        <f t="shared" si="4"/>
        <v>0.25</v>
      </c>
    </row>
    <row r="10" spans="1:11">
      <c r="A10" s="27">
        <f t="shared" si="1"/>
        <v>0.92979201609544748</v>
      </c>
      <c r="B10" s="27">
        <f t="shared" si="2"/>
        <v>0.64</v>
      </c>
      <c r="C10">
        <f t="shared" si="0"/>
        <v>0.26496789221441996</v>
      </c>
      <c r="D10">
        <v>0.6</v>
      </c>
      <c r="F10" s="27">
        <f t="shared" si="3"/>
        <v>7.0207983904552518E-2</v>
      </c>
      <c r="G10" s="27">
        <f t="shared" si="4"/>
        <v>0.36</v>
      </c>
    </row>
    <row r="11" spans="1:11">
      <c r="A11" s="27">
        <f t="shared" si="1"/>
        <v>0.84350163377001075</v>
      </c>
      <c r="B11" s="27">
        <f t="shared" si="2"/>
        <v>0.51</v>
      </c>
      <c r="C11">
        <f t="shared" si="0"/>
        <v>0.39559874396917555</v>
      </c>
      <c r="D11">
        <v>0.7</v>
      </c>
      <c r="F11" s="27">
        <f t="shared" si="3"/>
        <v>0.15649836622998925</v>
      </c>
      <c r="G11" s="27">
        <f t="shared" si="4"/>
        <v>0.49</v>
      </c>
    </row>
    <row r="12" spans="1:11">
      <c r="A12" s="27">
        <f t="shared" si="1"/>
        <v>0.68662241286880055</v>
      </c>
      <c r="B12" s="27">
        <f t="shared" si="2"/>
        <v>0.35999999999999988</v>
      </c>
      <c r="C12">
        <f t="shared" si="0"/>
        <v>0.55980138185895845</v>
      </c>
      <c r="D12">
        <v>0.8</v>
      </c>
      <c r="F12" s="27">
        <f t="shared" si="3"/>
        <v>0.31337758713119945</v>
      </c>
      <c r="G12" s="27">
        <f t="shared" si="4"/>
        <v>0.64000000000000012</v>
      </c>
    </row>
    <row r="13" spans="1:11">
      <c r="A13" s="27">
        <f t="shared" si="1"/>
        <v>0.42182268350946683</v>
      </c>
      <c r="B13" s="27">
        <f t="shared" si="2"/>
        <v>0.18999999999999995</v>
      </c>
      <c r="C13">
        <f t="shared" si="0"/>
        <v>0.7603797186212512</v>
      </c>
      <c r="D13">
        <v>0.9</v>
      </c>
      <c r="F13" s="27">
        <f t="shared" si="3"/>
        <v>0.57817731649053317</v>
      </c>
      <c r="G13" s="27">
        <f t="shared" si="4"/>
        <v>0.81</v>
      </c>
    </row>
    <row r="14" spans="1:11">
      <c r="A14" s="27">
        <f t="shared" si="1"/>
        <v>0</v>
      </c>
      <c r="B14" s="27">
        <f t="shared" si="2"/>
        <v>0</v>
      </c>
      <c r="C14">
        <f t="shared" si="0"/>
        <v>1</v>
      </c>
      <c r="D14">
        <v>1</v>
      </c>
      <c r="F14" s="27">
        <f t="shared" si="3"/>
        <v>1</v>
      </c>
      <c r="G14" s="27">
        <f t="shared" si="4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E3" sqref="E3"/>
    </sheetView>
  </sheetViews>
  <sheetFormatPr defaultRowHeight="15"/>
  <cols>
    <col min="6" max="6" width="10.85546875" customWidth="1"/>
  </cols>
  <sheetData>
    <row r="1" spans="1:16">
      <c r="A1" s="27" t="s">
        <v>199</v>
      </c>
      <c r="B1" s="27" t="s">
        <v>209</v>
      </c>
      <c r="C1" s="2" t="s">
        <v>210</v>
      </c>
      <c r="D1" s="27" t="s">
        <v>200</v>
      </c>
      <c r="E1" s="27" t="s">
        <v>201</v>
      </c>
      <c r="F1" s="59" t="s">
        <v>208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>
      <c r="A2" s="27">
        <v>0</v>
      </c>
      <c r="B2" s="27">
        <f t="shared" ref="B2:B12" si="0">A2*$E$2+$D$2</f>
        <v>1</v>
      </c>
      <c r="C2" s="27">
        <f t="shared" ref="C2:C12" si="1">$F$2*B2</f>
        <v>1.94</v>
      </c>
      <c r="D2" s="27">
        <v>1</v>
      </c>
      <c r="E2" s="27">
        <v>0</v>
      </c>
      <c r="F2" s="59">
        <v>1.94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>
      <c r="A3" s="27">
        <v>0.1</v>
      </c>
      <c r="B3" s="27">
        <f t="shared" si="0"/>
        <v>1</v>
      </c>
      <c r="C3" s="27">
        <f t="shared" si="1"/>
        <v>1.94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7">
        <v>0.2</v>
      </c>
      <c r="B4" s="27">
        <f t="shared" si="0"/>
        <v>1</v>
      </c>
      <c r="C4" s="27">
        <f t="shared" si="1"/>
        <v>1.94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>
      <c r="A5" s="27">
        <v>0.3</v>
      </c>
      <c r="B5" s="27">
        <f t="shared" si="0"/>
        <v>1</v>
      </c>
      <c r="C5" s="27">
        <f t="shared" si="1"/>
        <v>1.94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>
      <c r="A6" s="27">
        <v>0.4</v>
      </c>
      <c r="B6" s="27">
        <f t="shared" si="0"/>
        <v>1</v>
      </c>
      <c r="C6" s="27">
        <f t="shared" si="1"/>
        <v>1.94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7">
        <v>0.5</v>
      </c>
      <c r="B7" s="27">
        <f t="shared" si="0"/>
        <v>1</v>
      </c>
      <c r="C7" s="27">
        <f t="shared" si="1"/>
        <v>1.94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>
      <c r="A8" s="27">
        <v>0.6</v>
      </c>
      <c r="B8" s="27">
        <f t="shared" si="0"/>
        <v>1</v>
      </c>
      <c r="C8" s="27">
        <f t="shared" si="1"/>
        <v>1.94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>
      <c r="A9" s="27">
        <v>0.7</v>
      </c>
      <c r="B9" s="27">
        <f t="shared" si="0"/>
        <v>1</v>
      </c>
      <c r="C9" s="27">
        <f t="shared" si="1"/>
        <v>1.94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27">
        <v>0.8</v>
      </c>
      <c r="B10" s="27">
        <f t="shared" si="0"/>
        <v>1</v>
      </c>
      <c r="C10" s="27">
        <f t="shared" si="1"/>
        <v>1.94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27">
        <v>0.9</v>
      </c>
      <c r="B11" s="27">
        <f t="shared" si="0"/>
        <v>1</v>
      </c>
      <c r="C11" s="27">
        <f t="shared" si="1"/>
        <v>1.94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>
      <c r="A12" s="27">
        <v>1</v>
      </c>
      <c r="B12" s="27">
        <f t="shared" si="0"/>
        <v>1</v>
      </c>
      <c r="C12" s="27">
        <f t="shared" si="1"/>
        <v>1.94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27"/>
      <c r="B13" s="30" t="s">
        <v>202</v>
      </c>
      <c r="C13" s="30">
        <f>C12-C2</f>
        <v>0</v>
      </c>
      <c r="D13" s="27">
        <f>1-(E13/2)</f>
        <v>0.9</v>
      </c>
      <c r="E13" s="27">
        <v>0.2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27"/>
      <c r="B14" s="27"/>
      <c r="C14" s="27"/>
      <c r="D14" s="27">
        <f>1-(E14/2)</f>
        <v>0.8</v>
      </c>
      <c r="E14" s="27">
        <v>0.4</v>
      </c>
      <c r="F14" s="27" t="s">
        <v>203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A15" s="27"/>
      <c r="B15" s="27"/>
      <c r="C15" s="27"/>
      <c r="D15" s="27">
        <f t="shared" ref="D15:D18" si="2">1-(E15/2)</f>
        <v>0.72499999999999998</v>
      </c>
      <c r="E15" s="27">
        <v>0.55000000000000004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27"/>
      <c r="B16" s="27"/>
      <c r="C16" s="27"/>
      <c r="D16" s="27">
        <f t="shared" si="2"/>
        <v>0.65</v>
      </c>
      <c r="E16" s="27">
        <v>0.7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6">
      <c r="A17" s="27"/>
      <c r="B17" s="27"/>
      <c r="C17" s="27"/>
      <c r="D17" s="27">
        <f t="shared" si="2"/>
        <v>0.57499999999999996</v>
      </c>
      <c r="E17" s="27">
        <v>0.85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>
      <c r="A18" s="27"/>
      <c r="B18" s="27"/>
      <c r="C18" s="27"/>
      <c r="D18" s="27">
        <f t="shared" si="2"/>
        <v>0.5</v>
      </c>
      <c r="E18" s="27">
        <v>1</v>
      </c>
      <c r="F18" s="27" t="s">
        <v>204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N8" sqref="N8"/>
    </sheetView>
  </sheetViews>
  <sheetFormatPr defaultRowHeight="15"/>
  <cols>
    <col min="1" max="1" width="12.42578125" style="27" customWidth="1"/>
    <col min="2" max="2" width="9.140625" style="27"/>
    <col min="3" max="3" width="10.28515625" style="27" customWidth="1"/>
    <col min="4" max="4" width="11" style="27" customWidth="1"/>
    <col min="5" max="5" width="11.5703125" style="27" customWidth="1"/>
    <col min="6" max="6" width="12.42578125" style="27" customWidth="1"/>
    <col min="7" max="7" width="13.28515625" style="27" customWidth="1"/>
    <col min="8" max="8" width="9.140625" style="27"/>
    <col min="9" max="9" width="10.140625" style="27" customWidth="1"/>
    <col min="10" max="16384" width="9.140625" style="27"/>
  </cols>
  <sheetData>
    <row r="1" spans="1:13">
      <c r="A1" s="32" t="s">
        <v>173</v>
      </c>
      <c r="B1" s="31"/>
    </row>
    <row r="2" spans="1:13">
      <c r="A2" s="31" t="s">
        <v>8</v>
      </c>
      <c r="B2" s="31">
        <v>2.5</v>
      </c>
    </row>
    <row r="3" spans="1:13">
      <c r="A3" s="31" t="s">
        <v>2</v>
      </c>
      <c r="B3" s="31">
        <v>25</v>
      </c>
    </row>
    <row r="4" spans="1:13">
      <c r="A4" s="31" t="s">
        <v>164</v>
      </c>
      <c r="B4" s="31">
        <v>0.1</v>
      </c>
    </row>
    <row r="5" spans="1:13">
      <c r="A5" s="31" t="s">
        <v>6</v>
      </c>
      <c r="B5" s="31">
        <v>-46</v>
      </c>
    </row>
    <row r="6" spans="1:13">
      <c r="A6" s="31" t="s">
        <v>7</v>
      </c>
      <c r="B6" s="31">
        <v>72</v>
      </c>
    </row>
    <row r="7" spans="1:13">
      <c r="A7" s="32" t="s">
        <v>174</v>
      </c>
      <c r="B7" s="31"/>
    </row>
    <row r="8" spans="1:13">
      <c r="A8" s="31" t="s">
        <v>5</v>
      </c>
      <c r="B8" s="29">
        <f>B5+B6*B2</f>
        <v>134</v>
      </c>
    </row>
    <row r="10" spans="1:13">
      <c r="A10" s="27" t="s">
        <v>165</v>
      </c>
      <c r="B10" s="27" t="s">
        <v>19</v>
      </c>
      <c r="C10" s="27" t="s">
        <v>166</v>
      </c>
      <c r="D10" s="27" t="s">
        <v>175</v>
      </c>
      <c r="E10" s="27" t="s">
        <v>176</v>
      </c>
      <c r="F10" s="27" t="s">
        <v>167</v>
      </c>
      <c r="G10" s="27" t="s">
        <v>168</v>
      </c>
      <c r="H10" s="27" t="s">
        <v>169</v>
      </c>
      <c r="I10" s="27" t="s">
        <v>170</v>
      </c>
      <c r="J10" s="27" t="s">
        <v>171</v>
      </c>
      <c r="K10" s="27" t="s">
        <v>172</v>
      </c>
      <c r="L10" s="27" t="s">
        <v>177</v>
      </c>
      <c r="M10" s="27" t="s">
        <v>178</v>
      </c>
    </row>
    <row r="11" spans="1:13">
      <c r="A11" s="27">
        <f>$B$3</f>
        <v>25</v>
      </c>
      <c r="B11" s="27">
        <v>0</v>
      </c>
      <c r="C11" s="27">
        <f>(B11+A11)/2</f>
        <v>12.5</v>
      </c>
      <c r="D11" s="27">
        <f>$B$4</f>
        <v>0.1</v>
      </c>
      <c r="E11" s="27">
        <f>0.14-0.002*B11</f>
        <v>0.14000000000000001</v>
      </c>
      <c r="F11" s="27">
        <f>$B$8*D11</f>
        <v>13.4</v>
      </c>
      <c r="G11" s="27">
        <f t="shared" ref="G11:G20" si="0">$B$8*(0.14-0.002*B11)</f>
        <v>18.760000000000002</v>
      </c>
      <c r="H11" s="27">
        <f>2^((B11-A11)/10)</f>
        <v>0.17677669529663687</v>
      </c>
      <c r="I11" s="27">
        <f>(3.22-0.046*C11)^((B11-A11)/10)</f>
        <v>8.7889260244402412E-2</v>
      </c>
      <c r="J11" s="27">
        <f>F11*H11</f>
        <v>2.368807716974934</v>
      </c>
      <c r="K11" s="27">
        <f>G11*I11</f>
        <v>1.6488025221849893</v>
      </c>
      <c r="L11" s="27">
        <f>3.22-0.046*C11</f>
        <v>2.6450000000000005</v>
      </c>
      <c r="M11" s="27">
        <v>2</v>
      </c>
    </row>
    <row r="12" spans="1:13">
      <c r="A12" s="27">
        <f t="shared" ref="A12:A20" si="1">$B$3</f>
        <v>25</v>
      </c>
      <c r="B12" s="27">
        <v>5</v>
      </c>
      <c r="C12" s="27">
        <f t="shared" ref="C12:C20" si="2">(B12+A12)/2</f>
        <v>15</v>
      </c>
      <c r="D12" s="27">
        <f t="shared" ref="D12:D20" si="3">$B$4</f>
        <v>0.1</v>
      </c>
      <c r="E12" s="27">
        <f t="shared" ref="E12:E20" si="4">0.14-0.002*B12</f>
        <v>0.13</v>
      </c>
      <c r="F12" s="27">
        <f t="shared" ref="F12:F20" si="5">$B$8*D12</f>
        <v>13.4</v>
      </c>
      <c r="G12" s="27">
        <f t="shared" si="0"/>
        <v>17.420000000000002</v>
      </c>
      <c r="H12" s="27">
        <f t="shared" ref="H12:H20" si="6">2^((B12-A12)/10)</f>
        <v>0.25</v>
      </c>
      <c r="I12" s="27">
        <f t="shared" ref="I12:I20" si="7">(3.22-0.046*C12)^((B12-A12)/10)</f>
        <v>0.15622803043322031</v>
      </c>
      <c r="J12" s="27">
        <f t="shared" ref="J12:K20" si="8">F12*H12</f>
        <v>3.35</v>
      </c>
      <c r="K12" s="27">
        <f t="shared" si="8"/>
        <v>2.7214922901466982</v>
      </c>
      <c r="L12" s="27">
        <f t="shared" ref="L12:L20" si="9">3.22-0.046*C12</f>
        <v>2.5300000000000002</v>
      </c>
      <c r="M12" s="27">
        <v>2</v>
      </c>
    </row>
    <row r="13" spans="1:13">
      <c r="A13" s="27">
        <f t="shared" si="1"/>
        <v>25</v>
      </c>
      <c r="B13" s="27">
        <v>10</v>
      </c>
      <c r="C13" s="27">
        <f t="shared" si="2"/>
        <v>17.5</v>
      </c>
      <c r="D13" s="27">
        <f t="shared" si="3"/>
        <v>0.1</v>
      </c>
      <c r="E13" s="27">
        <f t="shared" si="4"/>
        <v>0.12000000000000001</v>
      </c>
      <c r="F13" s="27">
        <f t="shared" si="5"/>
        <v>13.4</v>
      </c>
      <c r="G13" s="27">
        <f t="shared" si="0"/>
        <v>16.080000000000002</v>
      </c>
      <c r="H13" s="27">
        <f t="shared" si="6"/>
        <v>0.35355339059327379</v>
      </c>
      <c r="I13" s="27">
        <f t="shared" si="7"/>
        <v>0.26645525966367983</v>
      </c>
      <c r="J13" s="27">
        <f t="shared" si="8"/>
        <v>4.7376154339498688</v>
      </c>
      <c r="K13" s="27">
        <f t="shared" si="8"/>
        <v>4.2846005753919725</v>
      </c>
      <c r="L13" s="27">
        <f t="shared" si="9"/>
        <v>2.415</v>
      </c>
      <c r="M13" s="27">
        <v>2</v>
      </c>
    </row>
    <row r="14" spans="1:13">
      <c r="A14" s="27">
        <f t="shared" si="1"/>
        <v>25</v>
      </c>
      <c r="B14" s="27">
        <v>15</v>
      </c>
      <c r="C14" s="27">
        <f t="shared" si="2"/>
        <v>20</v>
      </c>
      <c r="D14" s="27">
        <f t="shared" si="3"/>
        <v>0.1</v>
      </c>
      <c r="E14" s="27">
        <f t="shared" si="4"/>
        <v>0.11000000000000001</v>
      </c>
      <c r="F14" s="27">
        <f t="shared" si="5"/>
        <v>13.4</v>
      </c>
      <c r="G14" s="27">
        <f t="shared" si="0"/>
        <v>14.740000000000002</v>
      </c>
      <c r="H14" s="27">
        <f t="shared" si="6"/>
        <v>0.5</v>
      </c>
      <c r="I14" s="27">
        <f t="shared" si="7"/>
        <v>0.43478260869565211</v>
      </c>
      <c r="J14" s="27">
        <f t="shared" si="8"/>
        <v>6.7</v>
      </c>
      <c r="K14" s="27">
        <f t="shared" si="8"/>
        <v>6.4086956521739129</v>
      </c>
      <c r="L14" s="27">
        <f t="shared" si="9"/>
        <v>2.3000000000000003</v>
      </c>
      <c r="M14" s="27">
        <v>2</v>
      </c>
    </row>
    <row r="15" spans="1:13">
      <c r="A15" s="27">
        <f t="shared" si="1"/>
        <v>25</v>
      </c>
      <c r="B15" s="27">
        <v>20</v>
      </c>
      <c r="C15" s="27">
        <f t="shared" si="2"/>
        <v>22.5</v>
      </c>
      <c r="D15" s="27">
        <f t="shared" si="3"/>
        <v>0.1</v>
      </c>
      <c r="E15" s="27">
        <f t="shared" si="4"/>
        <v>0.1</v>
      </c>
      <c r="F15" s="27">
        <f t="shared" si="5"/>
        <v>13.4</v>
      </c>
      <c r="G15" s="27">
        <f t="shared" si="0"/>
        <v>13.4</v>
      </c>
      <c r="H15" s="27">
        <f t="shared" si="6"/>
        <v>0.70710678118654746</v>
      </c>
      <c r="I15" s="27">
        <f t="shared" si="7"/>
        <v>0.67651009149173824</v>
      </c>
      <c r="J15" s="27">
        <f t="shared" si="8"/>
        <v>9.4752308678997359</v>
      </c>
      <c r="K15" s="27">
        <f t="shared" si="8"/>
        <v>9.0652352259892925</v>
      </c>
      <c r="L15" s="27">
        <f t="shared" si="9"/>
        <v>2.1850000000000005</v>
      </c>
      <c r="M15" s="27">
        <v>2</v>
      </c>
    </row>
    <row r="16" spans="1:13">
      <c r="A16" s="27">
        <f t="shared" si="1"/>
        <v>25</v>
      </c>
      <c r="B16" s="27">
        <v>25</v>
      </c>
      <c r="C16" s="27">
        <f t="shared" si="2"/>
        <v>25</v>
      </c>
      <c r="D16" s="27">
        <f t="shared" si="3"/>
        <v>0.1</v>
      </c>
      <c r="E16" s="27">
        <f t="shared" si="4"/>
        <v>9.0000000000000011E-2</v>
      </c>
      <c r="F16" s="27">
        <f t="shared" si="5"/>
        <v>13.4</v>
      </c>
      <c r="G16" s="27">
        <f t="shared" si="0"/>
        <v>12.060000000000002</v>
      </c>
      <c r="H16" s="27">
        <f t="shared" si="6"/>
        <v>1</v>
      </c>
      <c r="I16" s="27">
        <f t="shared" si="7"/>
        <v>1</v>
      </c>
      <c r="J16" s="27">
        <f t="shared" si="8"/>
        <v>13.4</v>
      </c>
      <c r="K16" s="27">
        <f t="shared" si="8"/>
        <v>12.060000000000002</v>
      </c>
      <c r="L16" s="27">
        <f t="shared" si="9"/>
        <v>2.0700000000000003</v>
      </c>
      <c r="M16" s="27">
        <v>2</v>
      </c>
    </row>
    <row r="17" spans="1:13">
      <c r="A17" s="27">
        <f t="shared" si="1"/>
        <v>25</v>
      </c>
      <c r="B17" s="27">
        <v>30</v>
      </c>
      <c r="C17" s="27">
        <f t="shared" si="2"/>
        <v>27.5</v>
      </c>
      <c r="D17" s="27">
        <f t="shared" si="3"/>
        <v>0.1</v>
      </c>
      <c r="E17" s="27">
        <f t="shared" si="4"/>
        <v>8.0000000000000016E-2</v>
      </c>
      <c r="F17" s="27">
        <f t="shared" si="5"/>
        <v>13.4</v>
      </c>
      <c r="G17" s="27">
        <f t="shared" si="0"/>
        <v>10.720000000000002</v>
      </c>
      <c r="H17" s="27">
        <f t="shared" si="6"/>
        <v>1.4142135623730951</v>
      </c>
      <c r="I17" s="27">
        <f t="shared" si="7"/>
        <v>1.3982131454109563</v>
      </c>
      <c r="J17" s="27">
        <f t="shared" si="8"/>
        <v>18.950461735799475</v>
      </c>
      <c r="K17" s="27">
        <f t="shared" si="8"/>
        <v>14.988844918805455</v>
      </c>
      <c r="L17" s="27">
        <f t="shared" si="9"/>
        <v>1.9550000000000003</v>
      </c>
      <c r="M17" s="27">
        <v>2</v>
      </c>
    </row>
    <row r="18" spans="1:13">
      <c r="A18" s="27">
        <f t="shared" si="1"/>
        <v>25</v>
      </c>
      <c r="B18" s="27">
        <v>35</v>
      </c>
      <c r="C18" s="27">
        <f t="shared" si="2"/>
        <v>30</v>
      </c>
      <c r="D18" s="27">
        <f t="shared" si="3"/>
        <v>0.1</v>
      </c>
      <c r="E18" s="27">
        <f t="shared" si="4"/>
        <v>7.0000000000000007E-2</v>
      </c>
      <c r="F18" s="27">
        <f t="shared" si="5"/>
        <v>13.4</v>
      </c>
      <c r="G18" s="27">
        <f t="shared" si="0"/>
        <v>9.3800000000000008</v>
      </c>
      <c r="H18" s="27">
        <f t="shared" si="6"/>
        <v>2</v>
      </c>
      <c r="I18" s="27">
        <f t="shared" si="7"/>
        <v>1.8400000000000003</v>
      </c>
      <c r="J18" s="27">
        <f t="shared" si="8"/>
        <v>26.8</v>
      </c>
      <c r="K18" s="27">
        <f t="shared" si="8"/>
        <v>17.259200000000003</v>
      </c>
      <c r="L18" s="27">
        <f t="shared" si="9"/>
        <v>1.8400000000000003</v>
      </c>
      <c r="M18" s="27">
        <v>2</v>
      </c>
    </row>
    <row r="19" spans="1:13">
      <c r="A19" s="27">
        <f t="shared" si="1"/>
        <v>25</v>
      </c>
      <c r="B19" s="27">
        <v>40</v>
      </c>
      <c r="C19" s="27">
        <f t="shared" si="2"/>
        <v>32.5</v>
      </c>
      <c r="D19" s="27">
        <f t="shared" si="3"/>
        <v>0.1</v>
      </c>
      <c r="E19" s="27">
        <f t="shared" si="4"/>
        <v>6.0000000000000012E-2</v>
      </c>
      <c r="F19" s="27">
        <f t="shared" si="5"/>
        <v>13.4</v>
      </c>
      <c r="G19" s="27">
        <f t="shared" si="0"/>
        <v>8.0400000000000009</v>
      </c>
      <c r="H19" s="27">
        <f t="shared" si="6"/>
        <v>2.8284271247461898</v>
      </c>
      <c r="I19" s="27">
        <f t="shared" si="7"/>
        <v>2.2656021550572381</v>
      </c>
      <c r="J19" s="27">
        <f t="shared" si="8"/>
        <v>37.900923471598944</v>
      </c>
      <c r="K19" s="27">
        <f t="shared" si="8"/>
        <v>18.215441326660198</v>
      </c>
      <c r="L19" s="27">
        <f t="shared" si="9"/>
        <v>1.7250000000000003</v>
      </c>
      <c r="M19" s="27">
        <v>2</v>
      </c>
    </row>
    <row r="20" spans="1:13">
      <c r="A20" s="27">
        <f t="shared" si="1"/>
        <v>25</v>
      </c>
      <c r="B20" s="27">
        <v>45</v>
      </c>
      <c r="C20" s="27">
        <f t="shared" si="2"/>
        <v>35</v>
      </c>
      <c r="D20" s="27">
        <f t="shared" si="3"/>
        <v>0.1</v>
      </c>
      <c r="E20" s="27">
        <f t="shared" si="4"/>
        <v>5.0000000000000017E-2</v>
      </c>
      <c r="F20" s="27">
        <f t="shared" si="5"/>
        <v>13.4</v>
      </c>
      <c r="G20" s="27">
        <f t="shared" si="0"/>
        <v>6.700000000000002</v>
      </c>
      <c r="H20" s="27">
        <f t="shared" si="6"/>
        <v>4</v>
      </c>
      <c r="I20" s="27">
        <f t="shared" si="7"/>
        <v>2.5921000000000012</v>
      </c>
      <c r="J20" s="27">
        <f t="shared" si="8"/>
        <v>53.6</v>
      </c>
      <c r="K20" s="27">
        <f t="shared" si="8"/>
        <v>17.367070000000012</v>
      </c>
      <c r="L20" s="27">
        <f t="shared" si="9"/>
        <v>1.6100000000000003</v>
      </c>
      <c r="M20" s="27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K25" sqref="K25"/>
    </sheetView>
  </sheetViews>
  <sheetFormatPr defaultRowHeight="15"/>
  <cols>
    <col min="1" max="1" width="9.140625" style="27"/>
    <col min="2" max="2" width="12.42578125" style="27" customWidth="1"/>
    <col min="3" max="3" width="11.5703125" style="27" customWidth="1"/>
    <col min="4" max="4" width="9.140625" style="27"/>
    <col min="5" max="5" width="12.28515625" style="27" customWidth="1"/>
    <col min="6" max="16384" width="9.140625" style="27"/>
  </cols>
  <sheetData>
    <row r="1" spans="1:6">
      <c r="A1" s="27" t="s">
        <v>186</v>
      </c>
      <c r="B1" s="27" t="s">
        <v>96</v>
      </c>
    </row>
    <row r="2" spans="1:6">
      <c r="A2" s="27">
        <v>0</v>
      </c>
      <c r="B2" s="27">
        <f>MAX(0,1-(A2/$F$2)^$F$3)</f>
        <v>1</v>
      </c>
      <c r="E2" s="31" t="s">
        <v>187</v>
      </c>
      <c r="F2" s="31">
        <v>300</v>
      </c>
    </row>
    <row r="3" spans="1:6">
      <c r="A3" s="27">
        <v>10</v>
      </c>
      <c r="B3" s="27">
        <f t="shared" ref="B3:B32" si="0">MAX(0,1-(A3/$F$2)^$F$3)</f>
        <v>0.99999995884773663</v>
      </c>
      <c r="E3" s="31" t="s">
        <v>0</v>
      </c>
      <c r="F3" s="31">
        <v>5</v>
      </c>
    </row>
    <row r="4" spans="1:6" ht="15.75">
      <c r="A4" s="27">
        <v>20</v>
      </c>
      <c r="B4" s="27">
        <f t="shared" si="0"/>
        <v>0.99999868312757201</v>
      </c>
      <c r="E4" s="1"/>
    </row>
    <row r="5" spans="1:6">
      <c r="A5" s="27">
        <v>30</v>
      </c>
      <c r="B5" s="27">
        <f t="shared" si="0"/>
        <v>0.99999000000000005</v>
      </c>
    </row>
    <row r="6" spans="1:6">
      <c r="A6" s="27">
        <v>40</v>
      </c>
      <c r="B6" s="27">
        <f t="shared" si="0"/>
        <v>0.99995786008230447</v>
      </c>
    </row>
    <row r="7" spans="1:6">
      <c r="A7" s="27">
        <v>50</v>
      </c>
      <c r="B7" s="27">
        <f t="shared" si="0"/>
        <v>0.99987139917695478</v>
      </c>
    </row>
    <row r="8" spans="1:6">
      <c r="A8" s="27">
        <v>60</v>
      </c>
      <c r="B8" s="27">
        <f t="shared" si="0"/>
        <v>0.99968000000000001</v>
      </c>
    </row>
    <row r="9" spans="1:6">
      <c r="A9" s="27">
        <v>70</v>
      </c>
      <c r="B9" s="27">
        <f t="shared" si="0"/>
        <v>0.99930835390946504</v>
      </c>
    </row>
    <row r="10" spans="1:6">
      <c r="A10" s="27">
        <v>80</v>
      </c>
      <c r="B10" s="27">
        <f t="shared" si="0"/>
        <v>0.9986515226337449</v>
      </c>
    </row>
    <row r="11" spans="1:6">
      <c r="A11" s="27">
        <v>90</v>
      </c>
      <c r="B11" s="27">
        <f t="shared" si="0"/>
        <v>0.99756999999999996</v>
      </c>
    </row>
    <row r="12" spans="1:6">
      <c r="A12" s="27">
        <v>100</v>
      </c>
      <c r="B12" s="27">
        <f t="shared" si="0"/>
        <v>0.99588477366255146</v>
      </c>
    </row>
    <row r="13" spans="1:6">
      <c r="A13" s="27">
        <f>A12+10</f>
        <v>110</v>
      </c>
      <c r="B13" s="27">
        <f t="shared" si="0"/>
        <v>0.99337238683127571</v>
      </c>
    </row>
    <row r="14" spans="1:6">
      <c r="A14" s="27">
        <f t="shared" ref="A14:A32" si="1">A13+10</f>
        <v>120</v>
      </c>
      <c r="B14" s="27">
        <f t="shared" si="0"/>
        <v>0.98975999999999997</v>
      </c>
    </row>
    <row r="15" spans="1:6">
      <c r="A15" s="27">
        <f t="shared" si="1"/>
        <v>130</v>
      </c>
      <c r="B15" s="27">
        <f t="shared" si="0"/>
        <v>0.98472045267489716</v>
      </c>
    </row>
    <row r="16" spans="1:6">
      <c r="A16" s="27">
        <f t="shared" si="1"/>
        <v>140</v>
      </c>
      <c r="B16" s="27">
        <f t="shared" si="0"/>
        <v>0.97786732510288066</v>
      </c>
    </row>
    <row r="17" spans="1:2">
      <c r="A17" s="27">
        <f t="shared" si="1"/>
        <v>150</v>
      </c>
      <c r="B17" s="27">
        <f t="shared" si="0"/>
        <v>0.96875</v>
      </c>
    </row>
    <row r="18" spans="1:2">
      <c r="A18" s="27">
        <f t="shared" si="1"/>
        <v>160</v>
      </c>
      <c r="B18" s="27">
        <f t="shared" si="0"/>
        <v>0.95684872427983536</v>
      </c>
    </row>
    <row r="19" spans="1:2">
      <c r="A19" s="27">
        <f t="shared" si="1"/>
        <v>170</v>
      </c>
      <c r="B19" s="27">
        <f t="shared" si="0"/>
        <v>0.94156967078189302</v>
      </c>
    </row>
    <row r="20" spans="1:2">
      <c r="A20" s="27">
        <f t="shared" si="1"/>
        <v>180</v>
      </c>
      <c r="B20" s="27">
        <f t="shared" si="0"/>
        <v>0.92223999999999995</v>
      </c>
    </row>
    <row r="21" spans="1:2">
      <c r="A21" s="27">
        <f t="shared" si="1"/>
        <v>190</v>
      </c>
      <c r="B21" s="27">
        <f t="shared" si="0"/>
        <v>0.89810292181069962</v>
      </c>
    </row>
    <row r="22" spans="1:2">
      <c r="A22" s="27">
        <f t="shared" si="1"/>
        <v>200</v>
      </c>
      <c r="B22" s="27">
        <f t="shared" si="0"/>
        <v>0.86831275720164613</v>
      </c>
    </row>
    <row r="23" spans="1:2">
      <c r="A23" s="27">
        <f t="shared" si="1"/>
        <v>210</v>
      </c>
      <c r="B23" s="27">
        <f t="shared" si="0"/>
        <v>0.83193000000000006</v>
      </c>
    </row>
    <row r="24" spans="1:2">
      <c r="A24" s="27">
        <f t="shared" si="1"/>
        <v>220</v>
      </c>
      <c r="B24" s="27">
        <f t="shared" si="0"/>
        <v>0.7879163786008232</v>
      </c>
    </row>
    <row r="25" spans="1:2">
      <c r="A25" s="27">
        <f t="shared" si="1"/>
        <v>230</v>
      </c>
      <c r="B25" s="27">
        <f t="shared" si="0"/>
        <v>0.73512991769547309</v>
      </c>
    </row>
    <row r="26" spans="1:2">
      <c r="A26" s="27">
        <f t="shared" si="1"/>
        <v>240</v>
      </c>
      <c r="B26" s="27">
        <f t="shared" si="0"/>
        <v>0.67231999999999981</v>
      </c>
    </row>
    <row r="27" spans="1:2">
      <c r="A27" s="27">
        <f t="shared" si="1"/>
        <v>250</v>
      </c>
      <c r="B27" s="27">
        <f t="shared" si="0"/>
        <v>0.59812242798353898</v>
      </c>
    </row>
    <row r="28" spans="1:2">
      <c r="A28" s="27">
        <f t="shared" si="1"/>
        <v>260</v>
      </c>
      <c r="B28" s="27">
        <f t="shared" si="0"/>
        <v>0.51105448559670774</v>
      </c>
    </row>
    <row r="29" spans="1:2">
      <c r="A29" s="27">
        <f t="shared" si="1"/>
        <v>270</v>
      </c>
      <c r="B29" s="27">
        <f t="shared" si="0"/>
        <v>0.40950999999999982</v>
      </c>
    </row>
    <row r="30" spans="1:2">
      <c r="A30" s="27">
        <f t="shared" si="1"/>
        <v>280</v>
      </c>
      <c r="B30" s="27">
        <f t="shared" si="0"/>
        <v>0.29175440329218094</v>
      </c>
    </row>
    <row r="31" spans="1:2">
      <c r="A31" s="27">
        <f t="shared" si="1"/>
        <v>290</v>
      </c>
      <c r="B31" s="27">
        <f t="shared" si="0"/>
        <v>0.15591979423868318</v>
      </c>
    </row>
    <row r="32" spans="1:2">
      <c r="A32" s="27">
        <f t="shared" si="1"/>
        <v>300</v>
      </c>
      <c r="B32" s="27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75</vt:i4>
      </vt:variant>
    </vt:vector>
  </HeadingPairs>
  <TitlesOfParts>
    <vt:vector size="87" baseType="lpstr">
      <vt:lpstr>PnET-Succ v. PnET-II</vt:lpstr>
      <vt:lpstr>Amax A&amp;B worksheet</vt:lpstr>
      <vt:lpstr>DTemp</vt:lpstr>
      <vt:lpstr>CO2 effects</vt:lpstr>
      <vt:lpstr>CO2HalfSatEff</vt:lpstr>
      <vt:lpstr>EstMod</vt:lpstr>
      <vt:lpstr>AdjFolN</vt:lpstr>
      <vt:lpstr>Wythers</vt:lpstr>
      <vt:lpstr>fAge</vt:lpstr>
      <vt:lpstr>DelAmax</vt:lpstr>
      <vt:lpstr>CiModifier</vt:lpstr>
      <vt:lpstr>O3Effect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USDA Forest Service</cp:lastModifiedBy>
  <cp:lastPrinted>2016-05-12T20:31:54Z</cp:lastPrinted>
  <dcterms:created xsi:type="dcterms:W3CDTF">2016-03-04T15:50:18Z</dcterms:created>
  <dcterms:modified xsi:type="dcterms:W3CDTF">2018-01-11T16:13:28Z</dcterms:modified>
</cp:coreProperties>
</file>