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ustafson\Documents\USERDOCS\"/>
    </mc:Choice>
  </mc:AlternateContent>
  <bookViews>
    <workbookView xWindow="-12" yWindow="36" windowWidth="27672" windowHeight="12300" firstSheet="2" activeTab="4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CO2HalfSatEff" sheetId="14" r:id="rId5"/>
    <sheet name="EstMod" sheetId="10" r:id="rId6"/>
    <sheet name="AdjFolN" sheetId="15" r:id="rId7"/>
    <sheet name="FrActWd" sheetId="16" r:id="rId8"/>
    <sheet name="Wythers" sheetId="11" r:id="rId9"/>
    <sheet name="fAge" sheetId="13" r:id="rId10"/>
  </sheets>
  <definedNames>
    <definedName name="Amax" localSheetId="9">#REF!</definedName>
    <definedName name="Amax" localSheetId="0">'PnET-Succ v. PnET-II'!$AD$11</definedName>
    <definedName name="Amax">#REF!</definedName>
    <definedName name="Amax_pnet_ii" localSheetId="9">#REF!</definedName>
    <definedName name="Amax_pnet_ii" localSheetId="0">'PnET-Succ v. PnET-II'!$AA$21</definedName>
    <definedName name="Amax_pnet_ii">#REF!</definedName>
    <definedName name="Amax_temp1" localSheetId="9">#REF!</definedName>
    <definedName name="Amax_temp1" localSheetId="0">'PnET-Succ v. PnET-II'!$AQ$21</definedName>
    <definedName name="Amax_temp1">#REF!</definedName>
    <definedName name="AMaxFrac" localSheetId="9">#REF!</definedName>
    <definedName name="AMaxFrac" localSheetId="0">'PnET-Succ v. PnET-II'!$AD$30</definedName>
    <definedName name="AMaxFrac">#REF!</definedName>
    <definedName name="BaseFolResp" localSheetId="9">#REF!</definedName>
    <definedName name="BaseFolResp" localSheetId="0">'PnET-Succ v. PnET-II'!#REF!</definedName>
    <definedName name="BaseFolResp">#REF!</definedName>
    <definedName name="BaseFolResp_pnet_ii" localSheetId="9">#REF!</definedName>
    <definedName name="BaseFolResp_pnet_ii" localSheetId="0">'PnET-Succ v. PnET-II'!$U$21</definedName>
    <definedName name="BaseFolResp_pnet_ii">#REF!</definedName>
    <definedName name="BaseFolRespFrac" localSheetId="9">#REF!</definedName>
    <definedName name="BaseFolRespFrac" localSheetId="0">'PnET-Succ v. PnET-II'!$AD$23</definedName>
    <definedName name="BaseFolRespFrac">#REF!</definedName>
    <definedName name="BaseFolRespFrac_PnET_II" localSheetId="9">#REF!</definedName>
    <definedName name="BaseFolRespFrac_PnET_II" localSheetId="0">'PnET-Succ v. PnET-II'!$AE$19</definedName>
    <definedName name="BaseFolRespFrac_PnET_II">#REF!</definedName>
    <definedName name="Billion" localSheetId="9">#REF!</definedName>
    <definedName name="Billion" localSheetId="0">'PnET-Succ v. PnET-II'!$AD$4</definedName>
    <definedName name="Billion">#REF!</definedName>
    <definedName name="biomass" localSheetId="9">#REF!</definedName>
    <definedName name="biomass" localSheetId="0">'PnET-Succ v. PnET-II'!#REF!</definedName>
    <definedName name="biomass">#REF!</definedName>
    <definedName name="CanopyGrossPsn" localSheetId="9">#REF!</definedName>
    <definedName name="CanopyGrossPsn" localSheetId="0">'PnET-Succ v. PnET-II'!$AD$34</definedName>
    <definedName name="CanopyGrossPsn">#REF!</definedName>
    <definedName name="CanopyGrossPsnAct_pnet_ii" localSheetId="9">#REF!</definedName>
    <definedName name="CanopyGrossPsnAct_pnet_ii" localSheetId="0">'PnET-Succ v. PnET-II'!$X$21</definedName>
    <definedName name="CanopyGrossPsnAct_pnet_ii">#REF!</definedName>
    <definedName name="CanopyGrossPsnMG" localSheetId="9">#REF!</definedName>
    <definedName name="CanopyGrossPsnMG" localSheetId="0">'PnET-Succ v. PnET-II'!$AD$35</definedName>
    <definedName name="CanopyGrossPsnMG">#REF!</definedName>
    <definedName name="DayLength" localSheetId="9">#REF!</definedName>
    <definedName name="DayLength" localSheetId="0">'PnET-Succ v. PnET-II'!$AD$6</definedName>
    <definedName name="DayLength">#REF!</definedName>
    <definedName name="DayResp_pnet_ii" localSheetId="9">#REF!</definedName>
    <definedName name="DayResp_pnet_ii" localSheetId="0">'PnET-Succ v. PnET-II'!$S$21</definedName>
    <definedName name="DayResp_pnet_ii">#REF!</definedName>
    <definedName name="dayspan" localSheetId="9">#REF!</definedName>
    <definedName name="dayspan" localSheetId="0">'PnET-Succ v. PnET-II'!$AD$8</definedName>
    <definedName name="dayspan">#REF!</definedName>
    <definedName name="DelAmax" localSheetId="9">#REF!</definedName>
    <definedName name="DelAmax" localSheetId="0">'PnET-Succ v. PnET-II'!$AD$16</definedName>
    <definedName name="DelAmax">#REF!</definedName>
    <definedName name="Delgs" localSheetId="9">#REF!</definedName>
    <definedName name="Delgs" localSheetId="0">'PnET-Succ v. PnET-II'!$AD$24</definedName>
    <definedName name="Delgs">#REF!</definedName>
    <definedName name="Dtemp_pnet_ii" localSheetId="9">#REF!</definedName>
    <definedName name="Dtemp_pnet_ii" localSheetId="0">'PnET-Succ v. PnET-II'!$J$21</definedName>
    <definedName name="Dtemp_pnet_ii">#REF!</definedName>
    <definedName name="Dtemp_pnet_suc" localSheetId="9">#REF!</definedName>
    <definedName name="Dtemp_pnet_suc" localSheetId="0">'PnET-Succ v. PnET-II'!$J$2</definedName>
    <definedName name="Dtemp_pnet_suc">#REF!</definedName>
    <definedName name="DVPD_pnet_ii" localSheetId="9">#REF!</definedName>
    <definedName name="DVPD_pnet_ii" localSheetId="0">'PnET-Succ v. PnET-II'!$L$21</definedName>
    <definedName name="DVPD_pnet_ii">#REF!</definedName>
    <definedName name="DVPD_pnet_suc" localSheetId="9">#REF!</definedName>
    <definedName name="DVPD_pnet_suc" localSheetId="0">'PnET-Succ v. PnET-II'!$L$2</definedName>
    <definedName name="DVPD_pnet_suc">#REF!</definedName>
    <definedName name="DVPD1" localSheetId="9">#REF!</definedName>
    <definedName name="DVPD1" localSheetId="0">'PnET-Succ v. PnET-II'!$AD$20</definedName>
    <definedName name="DVPD1">#REF!</definedName>
    <definedName name="DVPD2" localSheetId="9">#REF!</definedName>
    <definedName name="DVPD2" localSheetId="0">'PnET-Succ v. PnET-II'!$AD$21</definedName>
    <definedName name="DVPD2">#REF!</definedName>
    <definedName name="emean_PnET_II" localSheetId="9">#REF!</definedName>
    <definedName name="emean_PnET_II" localSheetId="0">'PnET-Succ v. PnET-II'!$H$21</definedName>
    <definedName name="emean_PnET_II">#REF!</definedName>
    <definedName name="emean_PnET_Succession" localSheetId="9">#REF!</definedName>
    <definedName name="emean_PnET_Succession" localSheetId="0">'PnET-Succ v. PnET-II'!$H$2</definedName>
    <definedName name="emean_PnET_Succession">#REF!</definedName>
    <definedName name="es_PnET_II" localSheetId="9">#REF!</definedName>
    <definedName name="es_PnET_II" localSheetId="0">'PnET-Succ v. PnET-II'!$G$21</definedName>
    <definedName name="es_PnET_II">#REF!</definedName>
    <definedName name="es_PnET_Succession" localSheetId="9">#REF!</definedName>
    <definedName name="es_PnET_Succession" localSheetId="0">'PnET-Succ v. PnET-II'!$G$2</definedName>
    <definedName name="es_PnET_Succession">#REF!</definedName>
    <definedName name="fAge" localSheetId="9">#REF!</definedName>
    <definedName name="fAge" localSheetId="0">'PnET-Succ v. PnET-II'!$AD$14</definedName>
    <definedName name="fAge">#REF!</definedName>
    <definedName name="Fol" localSheetId="9">#REF!</definedName>
    <definedName name="Fol" localSheetId="0">'PnET-Succ v. PnET-II'!$AD$10</definedName>
    <definedName name="Fol">#REF!</definedName>
    <definedName name="FolResp_pnet_suc" localSheetId="9">#REF!</definedName>
    <definedName name="FolResp_pnet_suc" localSheetId="0">'PnET-Succ v. PnET-II'!$V$2</definedName>
    <definedName name="FolResp_pnet_suc">#REF!</definedName>
    <definedName name="fRad" localSheetId="9">#REF!</definedName>
    <definedName name="fRad" localSheetId="0">'PnET-Succ v. PnET-II'!$AD$12</definedName>
    <definedName name="fRad">#REF!</definedName>
    <definedName name="FTempPsn_pnet_suc" localSheetId="9">#REF!</definedName>
    <definedName name="FTempPsn_pnet_suc" localSheetId="0">'PnET-Succ v. PnET-II'!$K$2</definedName>
    <definedName name="FTempPsn_pnet_suc">#REF!</definedName>
    <definedName name="FTempPSNRefNetPsn_pnet_suc" localSheetId="9">#REF!</definedName>
    <definedName name="FTempPSNRefNetPsn_pnet_suc" localSheetId="0">'PnET-Succ v. PnET-II'!$O$2</definedName>
    <definedName name="FTempPSNRefNetPsn_pnet_suc">#REF!</definedName>
    <definedName name="FTempRespDay_pnet_suc" localSheetId="9">#REF!</definedName>
    <definedName name="FTempRespDay_pnet_suc" localSheetId="0">'PnET-Succ v. PnET-II'!$S$2</definedName>
    <definedName name="FTempRespDay_pnet_suc">#REF!</definedName>
    <definedName name="FTempRespDayRefResp_pnet_suc" localSheetId="9">#REF!</definedName>
    <definedName name="FTempRespDayRefResp_pnet_suc" localSheetId="0">'PnET-Succ v. PnET-II'!$U$2</definedName>
    <definedName name="FTempRespDayRefResp_pnet_suc">#REF!</definedName>
    <definedName name="fWater" localSheetId="9">#REF!</definedName>
    <definedName name="fWater" localSheetId="0">'PnET-Succ v. PnET-II'!$AD$13</definedName>
    <definedName name="fWater">#REF!</definedName>
    <definedName name="GrossAmax_pnet_ii" localSheetId="9">#REF!</definedName>
    <definedName name="GrossAmax_pnet_ii" localSheetId="0">'PnET-Succ v. PnET-II'!$O$21</definedName>
    <definedName name="GrossAmax_pnet_ii">#REF!</definedName>
    <definedName name="GrossAmax_temp1_pnet_ii" localSheetId="9">#REF!</definedName>
    <definedName name="GrossAmax_temp1_pnet_ii" localSheetId="0">'PnET-Succ v. PnET-II'!$M$21</definedName>
    <definedName name="GrossAmax_temp1_pnet_ii">#REF!</definedName>
    <definedName name="GrossAmax_temp2_pnet_ii" localSheetId="9">#REF!</definedName>
    <definedName name="GrossAmax_temp2_pnet_ii" localSheetId="0">'PnET-Succ v. PnET-II'!$N$21</definedName>
    <definedName name="GrossAmax_temp2_pnet_ii">#REF!</definedName>
    <definedName name="GrossPsn_pnet_suc" localSheetId="9">#REF!</definedName>
    <definedName name="GrossPsn_pnet_suc" localSheetId="0">'PnET-Succ v. PnET-II'!$W$2</definedName>
    <definedName name="GrossPsn_pnet_suc">#REF!</definedName>
    <definedName name="IMAX" localSheetId="9">#REF!</definedName>
    <definedName name="IMAX" localSheetId="0">'PnET-Succ v. PnET-II'!$AD$9</definedName>
    <definedName name="IMAX">#REF!</definedName>
    <definedName name="index" localSheetId="9">#REF!</definedName>
    <definedName name="index" localSheetId="0">'PnET-Succ v. PnET-II'!#REF!</definedName>
    <definedName name="index">#REF!</definedName>
    <definedName name="LAI" localSheetId="9">#REF!</definedName>
    <definedName name="LAI" localSheetId="0">'PnET-Succ v. PnET-II'!$AD$31</definedName>
    <definedName name="LAI">#REF!</definedName>
    <definedName name="LAI_pnet_ii" localSheetId="9">#REF!</definedName>
    <definedName name="LAI_pnet_ii" localSheetId="0">'PnET-Succ v. PnET-II'!$P$21</definedName>
    <definedName name="LAI_pnet_ii">#REF!</definedName>
    <definedName name="LAI_pnet_suc" localSheetId="9">#REF!</definedName>
    <definedName name="LAI_pnet_suc" localSheetId="0">'PnET-Succ v. PnET-II'!$P$2</definedName>
    <definedName name="LAI_pnet_suc">#REF!</definedName>
    <definedName name="LayerGrossPsn_pnet_ii" localSheetId="9">#REF!</definedName>
    <definedName name="LayerGrossPsn_pnet_ii" localSheetId="0">'PnET-Succ v. PnET-II'!$R$21</definedName>
    <definedName name="LayerGrossPsn_pnet_ii">#REF!</definedName>
    <definedName name="LayerGrossPsnRate_pnet_ii" localSheetId="9">#REF!</definedName>
    <definedName name="LayerGrossPsnRate_pnet_ii" localSheetId="0">'PnET-Succ v. PnET-II'!$W$21</definedName>
    <definedName name="LayerGrossPsnRate_pnet_ii">#REF!</definedName>
    <definedName name="LayerLAI" localSheetId="9">#REF!</definedName>
    <definedName name="LayerLAI" localSheetId="0">'PnET-Succ v. PnET-II'!$AD$31</definedName>
    <definedName name="LayerLAI">#REF!</definedName>
    <definedName name="LayerNetPsn_pnet_ii" localSheetId="9">#REF!</definedName>
    <definedName name="LayerNetPsn_pnet_ii" localSheetId="0">'PnET-Succ v. PnET-II'!$Y$21</definedName>
    <definedName name="LayerNetPsn_pnet_ii">#REF!</definedName>
    <definedName name="LayerResp_pnet_ii" localSheetId="9">#REF!</definedName>
    <definedName name="LayerResp_pnet_ii" localSheetId="0">'PnET-Succ v. PnET-II'!$V$21</definedName>
    <definedName name="LayerResp_pnet_ii">#REF!</definedName>
    <definedName name="LayerSLW" localSheetId="9">#REF!</definedName>
    <definedName name="LayerSLW" localSheetId="0">'PnET-Succ v. PnET-II'!$AD$25</definedName>
    <definedName name="LayerSLW">#REF!</definedName>
    <definedName name="LightEff_pnet_ii" localSheetId="9">#REF!</definedName>
    <definedName name="LightEff_pnet_ii" localSheetId="0">'PnET-Succ v. PnET-II'!#REF!</definedName>
    <definedName name="LightEff_pnet_ii">#REF!</definedName>
    <definedName name="MaintResp_pnet_suc" localSheetId="9">#REF!</definedName>
    <definedName name="MaintResp_pnet_suc" localSheetId="0">'PnET-Succ v. PnET-II'!$Q$2</definedName>
    <definedName name="MaintResp_pnet_suc">#REF!</definedName>
    <definedName name="MC" localSheetId="9">#REF!</definedName>
    <definedName name="MC" localSheetId="0">'PnET-Succ v. PnET-II'!$AD$3</definedName>
    <definedName name="MC">#REF!</definedName>
    <definedName name="MCO2_MC" localSheetId="9">#REF!</definedName>
    <definedName name="MCO2_MC" localSheetId="0">'PnET-Succ v. PnET-II'!$AD$2</definedName>
    <definedName name="MCO2_MC">#REF!</definedName>
    <definedName name="NetPsn_pnet_suc" localSheetId="9">#REF!</definedName>
    <definedName name="NetPsn_pnet_suc" localSheetId="0">'PnET-Succ v. PnET-II'!$R$2</definedName>
    <definedName name="NetPsn_pnet_suc">#REF!</definedName>
    <definedName name="NightLength" localSheetId="9">#REF!</definedName>
    <definedName name="NightLength" localSheetId="0">'PnET-Succ v. PnET-II'!$AD$7</definedName>
    <definedName name="NightLength">#REF!</definedName>
    <definedName name="NightResp" localSheetId="9">#REF!</definedName>
    <definedName name="NightResp" localSheetId="0">'PnET-Succ v. PnET-II'!$T$21</definedName>
    <definedName name="NightResp">#REF!</definedName>
    <definedName name="NSC" localSheetId="9">#REF!</definedName>
    <definedName name="NSC" localSheetId="0">'PnET-Succ v. PnET-II'!#REF!</definedName>
    <definedName name="NSC">#REF!</definedName>
    <definedName name="PotTransd_pnet_ii" localSheetId="9">#REF!</definedName>
    <definedName name="PotTransd_pnet_ii" localSheetId="0">'PnET-Succ v. PnET-II'!$Z$21</definedName>
    <definedName name="PotTransd_pnet_ii">#REF!</definedName>
    <definedName name="PsnTMax" localSheetId="9">#REF!</definedName>
    <definedName name="PsnTMax" localSheetId="0">'PnET-Succ v. PnET-II'!$AD$19</definedName>
    <definedName name="PsnTMax">#REF!</definedName>
    <definedName name="PsnTMin" localSheetId="9">#REF!</definedName>
    <definedName name="PsnTMin" localSheetId="0">'PnET-Succ v. PnET-II'!$AD$17</definedName>
    <definedName name="PsnTMin">#REF!</definedName>
    <definedName name="PsnTOpt" localSheetId="9">#REF!</definedName>
    <definedName name="PsnTOpt" localSheetId="0">'PnET-Succ v. PnET-II'!$AD$18</definedName>
    <definedName name="PsnTOpt">#REF!</definedName>
    <definedName name="Q10const" localSheetId="9">#REF!</definedName>
    <definedName name="Q10const" localSheetId="0">'PnET-Succ v. PnET-II'!#REF!</definedName>
    <definedName name="Q10const">#REF!</definedName>
    <definedName name="RefNetPsn_pnet_suc" localSheetId="9">#REF!</definedName>
    <definedName name="RefNetPsn_pnet_suc" localSheetId="0">'PnET-Succ v. PnET-II'!$N$2</definedName>
    <definedName name="RefNetPsn_pnet_suc">#REF!</definedName>
    <definedName name="RespQ10" localSheetId="9">#REF!</definedName>
    <definedName name="RespQ10" localSheetId="0">'PnET-Succ v. PnET-II'!$AD$22</definedName>
    <definedName name="RespQ10">#REF!</definedName>
    <definedName name="SLWDel" localSheetId="9">#REF!</definedName>
    <definedName name="SLWDel" localSheetId="0">'PnET-Succ v. PnET-II'!#REF!</definedName>
    <definedName name="SLWDel">#REF!</definedName>
    <definedName name="SLWLayer" localSheetId="9">#REF!</definedName>
    <definedName name="SLWLayer" localSheetId="0">'PnET-Succ v. PnET-II'!$AD$25</definedName>
    <definedName name="SLWLayer">#REF!</definedName>
    <definedName name="SLWmax" localSheetId="9">#REF!</definedName>
    <definedName name="SLWmax" localSheetId="0">'PnET-Succ v. PnET-II'!#REF!</definedName>
    <definedName name="SLWmax">#REF!</definedName>
    <definedName name="Tave" localSheetId="9">#REF!</definedName>
    <definedName name="Tave" localSheetId="0">'PnET-Succ v. PnET-II'!$D$2</definedName>
    <definedName name="Tave">#REF!</definedName>
    <definedName name="Tday" localSheetId="9">#REF!</definedName>
    <definedName name="Tday" localSheetId="0">'PnET-Succ v. PnET-II'!$E$2</definedName>
    <definedName name="Tday">#REF!</definedName>
    <definedName name="Tmax" localSheetId="9">#REF!</definedName>
    <definedName name="Tmax" localSheetId="0">'PnET-Succ v. PnET-II'!$C$2</definedName>
    <definedName name="Tmax">#REF!</definedName>
    <definedName name="Tmin" localSheetId="9">#REF!</definedName>
    <definedName name="Tmin" localSheetId="0">'PnET-Succ v. PnET-II'!$B$2</definedName>
    <definedName name="Tmin">#REF!</definedName>
    <definedName name="Tnight" localSheetId="9">#REF!</definedName>
    <definedName name="Tnight" localSheetId="0">'PnET-Succ v. PnET-II'!$F$2</definedName>
    <definedName name="Tnight">#REF!</definedName>
    <definedName name="Transpiration_pnet_suc" localSheetId="9">#REF!</definedName>
    <definedName name="Transpiration_pnet_suc" localSheetId="0">'PnET-Succ v. PnET-II'!$Z$2</definedName>
    <definedName name="Transpiration_pnet_suc">#REF!</definedName>
    <definedName name="VPD" localSheetId="9">#REF!</definedName>
    <definedName name="VPD" localSheetId="0">'PnET-Succ v. PnET-II'!$AD$5</definedName>
    <definedName name="VPD">#REF!</definedName>
    <definedName name="VPD_PnET_II" localSheetId="9">#REF!</definedName>
    <definedName name="VPD_PnET_II" localSheetId="0">'PnET-Succ v. PnET-II'!$I$21</definedName>
    <definedName name="VPD_PnET_II">#REF!</definedName>
    <definedName name="VPD_PnET_Succession" localSheetId="9">#REF!</definedName>
    <definedName name="VPD_PnET_Succession" localSheetId="0">'PnET-Succ v. PnET-II'!$I$2</definedName>
    <definedName name="VPD_PnET_Succession">#REF!</definedName>
    <definedName name="WoodMRespMo_pnet_ii" localSheetId="9">#REF!</definedName>
    <definedName name="WoodMRespMo_pnet_ii" localSheetId="0">'PnET-Succ v. PnET-II'!$Q$21</definedName>
    <definedName name="WoodMRespMo_pnet_ii">#REF!</definedName>
    <definedName name="WUE" localSheetId="9">#REF!</definedName>
    <definedName name="WUE" localSheetId="0">'PnET-Succ v. PnET-II'!$X$2</definedName>
    <definedName name="WUE">#REF!</definedName>
    <definedName name="WUE_PnET" localSheetId="9">#REF!</definedName>
    <definedName name="WUE_PnET" localSheetId="0">'PnET-Succ v. PnET-II'!$X$21</definedName>
    <definedName name="WUE_PnET">#REF!</definedName>
    <definedName name="WUEconst" localSheetId="9">#REF!</definedName>
    <definedName name="WUEconst" localSheetId="0">'PnET-Succ v. PnET-II'!$AD$15</definedName>
    <definedName name="WUEconst">#REF!</definedName>
  </definedNames>
  <calcPr calcId="152511"/>
</workbook>
</file>

<file path=xl/calcChain.xml><?xml version="1.0" encoding="utf-8"?>
<calcChain xmlns="http://schemas.openxmlformats.org/spreadsheetml/2006/main">
  <c r="B17" i="14" l="1"/>
  <c r="C17" i="14"/>
  <c r="B23" i="16" l="1"/>
  <c r="B24" i="16"/>
  <c r="B25" i="16"/>
  <c r="B26" i="16"/>
  <c r="B27" i="16"/>
  <c r="B28" i="16"/>
  <c r="B29" i="16"/>
  <c r="A4" i="16"/>
  <c r="A5" i="16"/>
  <c r="A6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" i="16"/>
  <c r="B3" i="16" s="1"/>
  <c r="B2" i="16"/>
  <c r="B12" i="15" l="1"/>
  <c r="C12" i="15" s="1"/>
  <c r="B11" i="15"/>
  <c r="C11" i="15" s="1"/>
  <c r="B8" i="15"/>
  <c r="C8" i="15" s="1"/>
  <c r="B5" i="15"/>
  <c r="C5" i="15" s="1"/>
  <c r="B4" i="15"/>
  <c r="C4" i="15" s="1"/>
  <c r="B3" i="15"/>
  <c r="C3" i="15" s="1"/>
  <c r="B2" i="15"/>
  <c r="C2" i="15" s="1"/>
  <c r="B6" i="15" l="1"/>
  <c r="C6" i="15" s="1"/>
  <c r="B7" i="15"/>
  <c r="C7" i="15" s="1"/>
  <c r="B9" i="15"/>
  <c r="C9" i="15" s="1"/>
  <c r="B10" i="15"/>
  <c r="C10" i="15" s="1"/>
  <c r="B4" i="16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B5" i="16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B6" i="16" l="1"/>
  <c r="B28" i="13"/>
  <c r="B29" i="13"/>
  <c r="B30" i="13"/>
  <c r="B31" i="13"/>
  <c r="B32" i="13"/>
  <c r="A32" i="13"/>
  <c r="A28" i="13"/>
  <c r="A29" i="13"/>
  <c r="A30" i="13" s="1"/>
  <c r="A31" i="13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" i="13"/>
  <c r="B7" i="16" l="1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13" i="13"/>
  <c r="B8" i="16" l="1"/>
  <c r="B3" i="12"/>
  <c r="B4" i="12"/>
  <c r="B5" i="12"/>
  <c r="B6" i="12"/>
  <c r="B7" i="12"/>
  <c r="B2" i="12"/>
  <c r="B9" i="16" l="1"/>
  <c r="B5" i="10"/>
  <c r="B6" i="10"/>
  <c r="B7" i="10"/>
  <c r="B8" i="10"/>
  <c r="B9" i="10"/>
  <c r="B10" i="10"/>
  <c r="B11" i="10"/>
  <c r="B12" i="10"/>
  <c r="B13" i="10"/>
  <c r="B14" i="10"/>
  <c r="B4" i="10"/>
  <c r="B8" i="11"/>
  <c r="E20" i="11"/>
  <c r="D20" i="11"/>
  <c r="A20" i="11"/>
  <c r="C20" i="11" s="1"/>
  <c r="E19" i="11"/>
  <c r="D19" i="11"/>
  <c r="A19" i="11"/>
  <c r="C19" i="11" s="1"/>
  <c r="E18" i="11"/>
  <c r="D18" i="11"/>
  <c r="A18" i="11"/>
  <c r="H18" i="11" s="1"/>
  <c r="E17" i="11"/>
  <c r="D17" i="11"/>
  <c r="C17" i="11"/>
  <c r="I17" i="11" s="1"/>
  <c r="A17" i="11"/>
  <c r="H17" i="11" s="1"/>
  <c r="E16" i="11"/>
  <c r="D16" i="11"/>
  <c r="C16" i="11"/>
  <c r="L16" i="11" s="1"/>
  <c r="A16" i="11"/>
  <c r="H16" i="11" s="1"/>
  <c r="E15" i="11"/>
  <c r="D15" i="11"/>
  <c r="A15" i="11"/>
  <c r="C15" i="11" s="1"/>
  <c r="E14" i="11"/>
  <c r="D14" i="11"/>
  <c r="A14" i="11"/>
  <c r="H14" i="11" s="1"/>
  <c r="E13" i="11"/>
  <c r="D13" i="11"/>
  <c r="A13" i="11"/>
  <c r="C13" i="11" s="1"/>
  <c r="I13" i="11" s="1"/>
  <c r="E12" i="11"/>
  <c r="D12" i="11"/>
  <c r="A12" i="11"/>
  <c r="C12" i="11" s="1"/>
  <c r="E11" i="11"/>
  <c r="D11" i="11"/>
  <c r="A11" i="11"/>
  <c r="C11" i="11" s="1"/>
  <c r="F20" i="11"/>
  <c r="B10" i="16" l="1"/>
  <c r="L12" i="11"/>
  <c r="I12" i="11"/>
  <c r="H13" i="11"/>
  <c r="I16" i="11"/>
  <c r="H12" i="11"/>
  <c r="H20" i="11"/>
  <c r="J20" i="11" s="1"/>
  <c r="I19" i="11"/>
  <c r="L19" i="11"/>
  <c r="L15" i="11"/>
  <c r="I15" i="11"/>
  <c r="L20" i="11"/>
  <c r="I20" i="11"/>
  <c r="L11" i="11"/>
  <c r="I11" i="11"/>
  <c r="G13" i="11"/>
  <c r="F14" i="11"/>
  <c r="F18" i="11"/>
  <c r="G14" i="11"/>
  <c r="G18" i="11"/>
  <c r="F19" i="11"/>
  <c r="H11" i="11"/>
  <c r="G12" i="11"/>
  <c r="F13" i="11"/>
  <c r="L13" i="11"/>
  <c r="H15" i="11"/>
  <c r="G16" i="11"/>
  <c r="F17" i="11"/>
  <c r="L17" i="11"/>
  <c r="H19" i="11"/>
  <c r="G20" i="11"/>
  <c r="G17" i="11"/>
  <c r="F11" i="11"/>
  <c r="C14" i="11"/>
  <c r="F15" i="11"/>
  <c r="C18" i="11"/>
  <c r="G11" i="11"/>
  <c r="F12" i="11"/>
  <c r="G15" i="11"/>
  <c r="F16" i="11"/>
  <c r="G19" i="11"/>
  <c r="B11" i="16" l="1"/>
  <c r="J16" i="11"/>
  <c r="L18" i="11"/>
  <c r="I18" i="11"/>
  <c r="J17" i="11"/>
  <c r="K13" i="11"/>
  <c r="J15" i="11"/>
  <c r="K16" i="11"/>
  <c r="K19" i="11"/>
  <c r="K11" i="11"/>
  <c r="J11" i="11"/>
  <c r="J19" i="11"/>
  <c r="J14" i="11"/>
  <c r="K17" i="11"/>
  <c r="J13" i="11"/>
  <c r="K18" i="11"/>
  <c r="K15" i="11"/>
  <c r="K20" i="11"/>
  <c r="K12" i="11"/>
  <c r="J12" i="11"/>
  <c r="I14" i="11"/>
  <c r="K14" i="11" s="1"/>
  <c r="L14" i="11"/>
  <c r="J18" i="11"/>
  <c r="B12" i="16" l="1"/>
  <c r="G6" i="10"/>
  <c r="G8" i="10"/>
  <c r="G10" i="10"/>
  <c r="G12" i="10"/>
  <c r="G14" i="10"/>
  <c r="G5" i="10"/>
  <c r="G7" i="10"/>
  <c r="G9" i="10"/>
  <c r="G11" i="10"/>
  <c r="G13" i="10"/>
  <c r="G4" i="10"/>
  <c r="C14" i="10"/>
  <c r="A14" i="10" s="1"/>
  <c r="F14" i="10" s="1"/>
  <c r="C13" i="10"/>
  <c r="A13" i="10" s="1"/>
  <c r="F13" i="10" s="1"/>
  <c r="C12" i="10"/>
  <c r="A12" i="10" s="1"/>
  <c r="F12" i="10" s="1"/>
  <c r="C11" i="10"/>
  <c r="A11" i="10" s="1"/>
  <c r="F11" i="10" s="1"/>
  <c r="C10" i="10"/>
  <c r="A10" i="10" s="1"/>
  <c r="F10" i="10" s="1"/>
  <c r="C9" i="10"/>
  <c r="A9" i="10" s="1"/>
  <c r="F9" i="10" s="1"/>
  <c r="C8" i="10"/>
  <c r="A8" i="10" s="1"/>
  <c r="F8" i="10" s="1"/>
  <c r="C7" i="10"/>
  <c r="A7" i="10" s="1"/>
  <c r="F7" i="10" s="1"/>
  <c r="C6" i="10"/>
  <c r="A6" i="10" s="1"/>
  <c r="F6" i="10" s="1"/>
  <c r="C5" i="10"/>
  <c r="A5" i="10" s="1"/>
  <c r="F5" i="10" s="1"/>
  <c r="C4" i="10"/>
  <c r="A4" i="10" s="1"/>
  <c r="F4" i="10" s="1"/>
  <c r="B13" i="16" l="1"/>
  <c r="I4" i="9"/>
  <c r="L4" i="9"/>
  <c r="M2" i="8"/>
  <c r="S11" i="8"/>
  <c r="AA11" i="3"/>
  <c r="B14" i="16" l="1"/>
  <c r="S4" i="9"/>
  <c r="S5" i="9"/>
  <c r="S6" i="9"/>
  <c r="S7" i="9"/>
  <c r="S8" i="9"/>
  <c r="S9" i="9"/>
  <c r="S10" i="9"/>
  <c r="S11" i="9"/>
  <c r="S12" i="9"/>
  <c r="S13" i="9"/>
  <c r="S3" i="9"/>
  <c r="H32" i="9"/>
  <c r="H31" i="9"/>
  <c r="H30" i="9"/>
  <c r="H29" i="9"/>
  <c r="H28" i="9"/>
  <c r="H27" i="9"/>
  <c r="H26" i="9"/>
  <c r="AD25" i="9"/>
  <c r="H25" i="9"/>
  <c r="H24" i="9"/>
  <c r="H23" i="9"/>
  <c r="H22" i="9"/>
  <c r="U21" i="9"/>
  <c r="Q21" i="9"/>
  <c r="H21" i="9"/>
  <c r="AD19" i="9"/>
  <c r="AD16" i="9"/>
  <c r="AD24" i="9" s="1"/>
  <c r="H13" i="9"/>
  <c r="F13" i="9"/>
  <c r="E13" i="9"/>
  <c r="D13" i="9"/>
  <c r="H12" i="9"/>
  <c r="D12" i="9"/>
  <c r="F12" i="9" s="1"/>
  <c r="H11" i="9"/>
  <c r="F11" i="9"/>
  <c r="E11" i="9"/>
  <c r="D11" i="9"/>
  <c r="AD10" i="9"/>
  <c r="P21" i="9" s="1"/>
  <c r="H10" i="9"/>
  <c r="D10" i="9"/>
  <c r="H9" i="9"/>
  <c r="F9" i="9"/>
  <c r="D9" i="9"/>
  <c r="E9" i="9" s="1"/>
  <c r="H8" i="9"/>
  <c r="D8" i="9"/>
  <c r="H7" i="9"/>
  <c r="D7" i="9"/>
  <c r="F7" i="9" s="1"/>
  <c r="AD6" i="9"/>
  <c r="AD7" i="9" s="1"/>
  <c r="H6" i="9"/>
  <c r="F6" i="9"/>
  <c r="D6" i="9"/>
  <c r="E6" i="9" s="1"/>
  <c r="H5" i="9"/>
  <c r="D5" i="9"/>
  <c r="F5" i="9" s="1"/>
  <c r="H4" i="9"/>
  <c r="D4" i="9"/>
  <c r="F4" i="9" s="1"/>
  <c r="H3" i="9"/>
  <c r="F3" i="9"/>
  <c r="D3" i="9"/>
  <c r="E3" i="9" s="1"/>
  <c r="Q2" i="9"/>
  <c r="H2" i="9"/>
  <c r="D2" i="9"/>
  <c r="E2" i="9" s="1"/>
  <c r="B15" i="16" l="1"/>
  <c r="S2" i="9"/>
  <c r="U2" i="9" s="1"/>
  <c r="V2" i="9" s="1"/>
  <c r="F2" i="9"/>
  <c r="T21" i="9" s="1"/>
  <c r="P2" i="9"/>
  <c r="J6" i="9"/>
  <c r="U9" i="9"/>
  <c r="V9" i="9" s="1"/>
  <c r="U5" i="9"/>
  <c r="U11" i="9"/>
  <c r="V11" i="9" s="1"/>
  <c r="U7" i="9"/>
  <c r="T22" i="9"/>
  <c r="T24" i="9"/>
  <c r="U3" i="9"/>
  <c r="V3" i="9" s="1"/>
  <c r="U10" i="9"/>
  <c r="U6" i="9"/>
  <c r="V6" i="9" s="1"/>
  <c r="U13" i="9"/>
  <c r="V13" i="9" s="1"/>
  <c r="S25" i="9"/>
  <c r="U12" i="9"/>
  <c r="U8" i="9"/>
  <c r="U4" i="9"/>
  <c r="G21" i="9"/>
  <c r="I21" i="9" s="1"/>
  <c r="L21" i="9" s="1"/>
  <c r="J2" i="9"/>
  <c r="K2" i="9"/>
  <c r="G2" i="9"/>
  <c r="I2" i="9" s="1"/>
  <c r="G22" i="9"/>
  <c r="I22" i="9" s="1"/>
  <c r="J22" i="9"/>
  <c r="K3" i="9"/>
  <c r="G3" i="9"/>
  <c r="I3" i="9" s="1"/>
  <c r="J3" i="9"/>
  <c r="E4" i="9"/>
  <c r="E5" i="9"/>
  <c r="K11" i="9"/>
  <c r="G11" i="9"/>
  <c r="I11" i="9" s="1"/>
  <c r="J11" i="9"/>
  <c r="M21" i="9"/>
  <c r="T23" i="9"/>
  <c r="M25" i="9"/>
  <c r="G30" i="9"/>
  <c r="I30" i="9" s="1"/>
  <c r="G25" i="9"/>
  <c r="I25" i="9" s="1"/>
  <c r="K6" i="9"/>
  <c r="G6" i="9"/>
  <c r="I6" i="9" s="1"/>
  <c r="F10" i="9"/>
  <c r="E10" i="9"/>
  <c r="K9" i="9"/>
  <c r="G9" i="9"/>
  <c r="I9" i="9" s="1"/>
  <c r="F8" i="9"/>
  <c r="E8" i="9"/>
  <c r="J9" i="9"/>
  <c r="K13" i="9"/>
  <c r="G13" i="9"/>
  <c r="I13" i="9" s="1"/>
  <c r="J13" i="9"/>
  <c r="J32" i="9"/>
  <c r="M24" i="9"/>
  <c r="S23" i="9"/>
  <c r="M23" i="9"/>
  <c r="S22" i="9"/>
  <c r="M22" i="9"/>
  <c r="T32" i="9"/>
  <c r="T31" i="9"/>
  <c r="T30" i="9"/>
  <c r="T29" i="9"/>
  <c r="T28" i="9"/>
  <c r="T27" i="9"/>
  <c r="T26" i="9"/>
  <c r="S21" i="9"/>
  <c r="S32" i="9"/>
  <c r="V32" i="9" s="1"/>
  <c r="M32" i="9"/>
  <c r="M31" i="9"/>
  <c r="S30" i="9"/>
  <c r="M30" i="9"/>
  <c r="S29" i="9"/>
  <c r="M29" i="9"/>
  <c r="S28" i="9"/>
  <c r="M28" i="9"/>
  <c r="S27" i="9"/>
  <c r="V27" i="9" s="1"/>
  <c r="M27" i="9"/>
  <c r="S26" i="9"/>
  <c r="M26" i="9"/>
  <c r="T25" i="9"/>
  <c r="G28" i="9"/>
  <c r="I28" i="9" s="1"/>
  <c r="G32" i="9"/>
  <c r="I32" i="9" s="1"/>
  <c r="E7" i="9"/>
  <c r="E12" i="9"/>
  <c r="S31" i="9" s="1"/>
  <c r="V31" i="9" s="1"/>
  <c r="J21" i="9"/>
  <c r="J25" i="9"/>
  <c r="J26" i="9"/>
  <c r="J27" i="9"/>
  <c r="J28" i="9"/>
  <c r="J29" i="9"/>
  <c r="J30" i="9"/>
  <c r="J31" i="9"/>
  <c r="B16" i="16" l="1"/>
  <c r="V21" i="9"/>
  <c r="V22" i="9"/>
  <c r="V23" i="9"/>
  <c r="V26" i="9"/>
  <c r="V30" i="9"/>
  <c r="V28" i="9"/>
  <c r="V25" i="9"/>
  <c r="X32" i="9"/>
  <c r="L32" i="9"/>
  <c r="N32" i="9" s="1"/>
  <c r="O32" i="9" s="1"/>
  <c r="W32" i="9" s="1"/>
  <c r="R32" i="9" s="1"/>
  <c r="X9" i="9"/>
  <c r="L9" i="9"/>
  <c r="N9" i="9" s="1"/>
  <c r="O9" i="9" s="1"/>
  <c r="R9" i="9" s="1"/>
  <c r="W9" i="9" s="1"/>
  <c r="L25" i="9"/>
  <c r="N25" i="9" s="1"/>
  <c r="O25" i="9" s="1"/>
  <c r="W25" i="9" s="1"/>
  <c r="R25" i="9" s="1"/>
  <c r="X25" i="9"/>
  <c r="N21" i="9"/>
  <c r="O21" i="9" s="1"/>
  <c r="W21" i="9" s="1"/>
  <c r="R21" i="9" s="1"/>
  <c r="X21" i="9"/>
  <c r="L2" i="9"/>
  <c r="N2" i="9" s="1"/>
  <c r="X2" i="9"/>
  <c r="X28" i="9"/>
  <c r="L28" i="9"/>
  <c r="N28" i="9" s="1"/>
  <c r="O28" i="9" s="1"/>
  <c r="W28" i="9" s="1"/>
  <c r="R28" i="9" s="1"/>
  <c r="X30" i="9"/>
  <c r="L30" i="9"/>
  <c r="N30" i="9" s="1"/>
  <c r="O30" i="9" s="1"/>
  <c r="W30" i="9" s="1"/>
  <c r="R30" i="9" s="1"/>
  <c r="J7" i="9"/>
  <c r="V7" i="9"/>
  <c r="G7" i="9"/>
  <c r="I7" i="9" s="1"/>
  <c r="K7" i="9"/>
  <c r="G26" i="9"/>
  <c r="I26" i="9" s="1"/>
  <c r="V29" i="9"/>
  <c r="X13" i="9"/>
  <c r="L13" i="9"/>
  <c r="N13" i="9" s="1"/>
  <c r="O13" i="9" s="1"/>
  <c r="R13" i="9" s="1"/>
  <c r="W13" i="9" s="1"/>
  <c r="Z13" i="9" s="1"/>
  <c r="K8" i="9"/>
  <c r="G8" i="9"/>
  <c r="I8" i="9" s="1"/>
  <c r="J8" i="9"/>
  <c r="G27" i="9"/>
  <c r="I27" i="9" s="1"/>
  <c r="V8" i="9"/>
  <c r="X11" i="9"/>
  <c r="L11" i="9"/>
  <c r="N11" i="9" s="1"/>
  <c r="O11" i="9" s="1"/>
  <c r="R11" i="9" s="1"/>
  <c r="W11" i="9" s="1"/>
  <c r="G23" i="9"/>
  <c r="I23" i="9" s="1"/>
  <c r="J23" i="9"/>
  <c r="K4" i="9"/>
  <c r="G4" i="9"/>
  <c r="J4" i="9"/>
  <c r="V4" i="9"/>
  <c r="X3" i="9"/>
  <c r="L3" i="9"/>
  <c r="N3" i="9" s="1"/>
  <c r="O3" i="9" s="1"/>
  <c r="R3" i="9" s="1"/>
  <c r="W3" i="9" s="1"/>
  <c r="Z3" i="9" s="1"/>
  <c r="X22" i="9"/>
  <c r="L22" i="9"/>
  <c r="N22" i="9" s="1"/>
  <c r="O22" i="9" s="1"/>
  <c r="W22" i="9" s="1"/>
  <c r="R22" i="9" s="1"/>
  <c r="O2" i="9"/>
  <c r="R2" i="9" s="1"/>
  <c r="W2" i="9" s="1"/>
  <c r="J12" i="9"/>
  <c r="V12" i="9"/>
  <c r="K12" i="9"/>
  <c r="G31" i="9"/>
  <c r="I31" i="9" s="1"/>
  <c r="G12" i="9"/>
  <c r="I12" i="9" s="1"/>
  <c r="X6" i="9"/>
  <c r="L6" i="9"/>
  <c r="N6" i="9" s="1"/>
  <c r="O6" i="9" s="1"/>
  <c r="R6" i="9" s="1"/>
  <c r="W6" i="9" s="1"/>
  <c r="Z6" i="9" s="1"/>
  <c r="K5" i="9"/>
  <c r="G5" i="9"/>
  <c r="I5" i="9" s="1"/>
  <c r="G24" i="9"/>
  <c r="I24" i="9" s="1"/>
  <c r="V5" i="9"/>
  <c r="J5" i="9"/>
  <c r="J24" i="9"/>
  <c r="S24" i="9"/>
  <c r="V24" i="9" s="1"/>
  <c r="K10" i="9"/>
  <c r="G10" i="9"/>
  <c r="I10" i="9" s="1"/>
  <c r="J10" i="9"/>
  <c r="V10" i="9"/>
  <c r="G29" i="9"/>
  <c r="I29" i="9" s="1"/>
  <c r="B17" i="16" l="1"/>
  <c r="Z9" i="9"/>
  <c r="Z2" i="9"/>
  <c r="Z22" i="9"/>
  <c r="Y22" i="9"/>
  <c r="Z32" i="9"/>
  <c r="Y32" i="9"/>
  <c r="X5" i="9"/>
  <c r="L5" i="9"/>
  <c r="N5" i="9" s="1"/>
  <c r="O5" i="9" s="1"/>
  <c r="R5" i="9" s="1"/>
  <c r="W5" i="9" s="1"/>
  <c r="Z5" i="9" s="1"/>
  <c r="X12" i="9"/>
  <c r="L12" i="9"/>
  <c r="N12" i="9" s="1"/>
  <c r="O12" i="9" s="1"/>
  <c r="R12" i="9" s="1"/>
  <c r="W12" i="9" s="1"/>
  <c r="X4" i="9"/>
  <c r="N4" i="9"/>
  <c r="O4" i="9" s="1"/>
  <c r="R4" i="9" s="1"/>
  <c r="W4" i="9" s="1"/>
  <c r="Z4" i="9" s="1"/>
  <c r="X27" i="9"/>
  <c r="L27" i="9"/>
  <c r="N27" i="9" s="1"/>
  <c r="O27" i="9" s="1"/>
  <c r="W27" i="9" s="1"/>
  <c r="R27" i="9" s="1"/>
  <c r="Z21" i="9"/>
  <c r="Y21" i="9"/>
  <c r="X10" i="9"/>
  <c r="L10" i="9"/>
  <c r="N10" i="9" s="1"/>
  <c r="O10" i="9" s="1"/>
  <c r="R10" i="9" s="1"/>
  <c r="W10" i="9" s="1"/>
  <c r="X31" i="9"/>
  <c r="L31" i="9"/>
  <c r="N31" i="9" s="1"/>
  <c r="O31" i="9" s="1"/>
  <c r="W31" i="9" s="1"/>
  <c r="R31" i="9" s="1"/>
  <c r="X29" i="9"/>
  <c r="L29" i="9"/>
  <c r="N29" i="9" s="1"/>
  <c r="O29" i="9" s="1"/>
  <c r="W29" i="9" s="1"/>
  <c r="R29" i="9" s="1"/>
  <c r="Z28" i="9"/>
  <c r="Y28" i="9"/>
  <c r="Z11" i="9"/>
  <c r="Z25" i="9"/>
  <c r="Y25" i="9"/>
  <c r="X8" i="9"/>
  <c r="L8" i="9"/>
  <c r="N8" i="9" s="1"/>
  <c r="O8" i="9" s="1"/>
  <c r="R8" i="9" s="1"/>
  <c r="W8" i="9" s="1"/>
  <c r="Z8" i="9" s="1"/>
  <c r="Z30" i="9"/>
  <c r="Y30" i="9"/>
  <c r="X26" i="9"/>
  <c r="L26" i="9"/>
  <c r="N26" i="9" s="1"/>
  <c r="O26" i="9" s="1"/>
  <c r="W26" i="9" s="1"/>
  <c r="R26" i="9" s="1"/>
  <c r="X24" i="9"/>
  <c r="L24" i="9"/>
  <c r="N24" i="9" s="1"/>
  <c r="O24" i="9" s="1"/>
  <c r="W24" i="9" s="1"/>
  <c r="R24" i="9" s="1"/>
  <c r="X23" i="9"/>
  <c r="L23" i="9"/>
  <c r="N23" i="9" s="1"/>
  <c r="O23" i="9" s="1"/>
  <c r="W23" i="9" s="1"/>
  <c r="R23" i="9" s="1"/>
  <c r="X7" i="9"/>
  <c r="L7" i="9"/>
  <c r="N7" i="9" s="1"/>
  <c r="O7" i="9" s="1"/>
  <c r="R7" i="9" s="1"/>
  <c r="W7" i="9" s="1"/>
  <c r="B18" i="16" l="1"/>
  <c r="Z7" i="9"/>
  <c r="Z10" i="9"/>
  <c r="Z12" i="9"/>
  <c r="Z26" i="9"/>
  <c r="Y26" i="9"/>
  <c r="Z27" i="9"/>
  <c r="Y27" i="9"/>
  <c r="Z31" i="9"/>
  <c r="Y31" i="9"/>
  <c r="Z29" i="9"/>
  <c r="Y29" i="9"/>
  <c r="Z24" i="9"/>
  <c r="Y24" i="9"/>
  <c r="Z23" i="9"/>
  <c r="Y23" i="9"/>
  <c r="B19" i="16" l="1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C3" i="8" s="1"/>
  <c r="E3" i="8" s="1"/>
  <c r="B4" i="8"/>
  <c r="D4" i="8" s="1"/>
  <c r="F4" i="8" s="1"/>
  <c r="B5" i="8"/>
  <c r="C5" i="8" s="1"/>
  <c r="E5" i="8" s="1"/>
  <c r="B6" i="8"/>
  <c r="D6" i="8" s="1"/>
  <c r="F6" i="8" s="1"/>
  <c r="B7" i="8"/>
  <c r="D7" i="8" s="1"/>
  <c r="F7" i="8" s="1"/>
  <c r="B8" i="8"/>
  <c r="D8" i="8" s="1"/>
  <c r="F8" i="8" s="1"/>
  <c r="B9" i="8"/>
  <c r="C9" i="8" s="1"/>
  <c r="E9" i="8" s="1"/>
  <c r="B10" i="8"/>
  <c r="D10" i="8" s="1"/>
  <c r="F10" i="8" s="1"/>
  <c r="B11" i="8"/>
  <c r="C11" i="8" s="1"/>
  <c r="E11" i="8" s="1"/>
  <c r="B12" i="8"/>
  <c r="D12" i="8" s="1"/>
  <c r="F12" i="8" s="1"/>
  <c r="B13" i="8"/>
  <c r="C13" i="8" s="1"/>
  <c r="E13" i="8" s="1"/>
  <c r="B14" i="8"/>
  <c r="D14" i="8" s="1"/>
  <c r="F14" i="8" s="1"/>
  <c r="B15" i="8"/>
  <c r="D15" i="8" s="1"/>
  <c r="F15" i="8" s="1"/>
  <c r="B16" i="8"/>
  <c r="D16" i="8" s="1"/>
  <c r="F16" i="8" s="1"/>
  <c r="B2" i="8"/>
  <c r="B20" i="16" l="1"/>
  <c r="D2" i="8"/>
  <c r="F2" i="8" s="1"/>
  <c r="C2" i="8"/>
  <c r="E2" i="8" s="1"/>
  <c r="D5" i="8"/>
  <c r="F5" i="8" s="1"/>
  <c r="D11" i="8"/>
  <c r="F11" i="8" s="1"/>
  <c r="D9" i="8"/>
  <c r="F9" i="8" s="1"/>
  <c r="D3" i="8"/>
  <c r="F3" i="8" s="1"/>
  <c r="C10" i="8"/>
  <c r="E10" i="8" s="1"/>
  <c r="D13" i="8"/>
  <c r="F13" i="8" s="1"/>
  <c r="C15" i="8"/>
  <c r="E15" i="8" s="1"/>
  <c r="C7" i="8"/>
  <c r="E7" i="8" s="1"/>
  <c r="C14" i="8"/>
  <c r="E14" i="8" s="1"/>
  <c r="C6" i="8"/>
  <c r="E6" i="8" s="1"/>
  <c r="C16" i="8"/>
  <c r="E16" i="8" s="1"/>
  <c r="C12" i="8"/>
  <c r="E12" i="8" s="1"/>
  <c r="C8" i="8"/>
  <c r="E8" i="8" s="1"/>
  <c r="C4" i="8"/>
  <c r="E4" i="8" s="1"/>
  <c r="G3" i="3"/>
  <c r="G4" i="3"/>
  <c r="G5" i="3"/>
  <c r="G6" i="3"/>
  <c r="G7" i="3"/>
  <c r="G8" i="3"/>
  <c r="G9" i="3"/>
  <c r="G10" i="3"/>
  <c r="G11" i="3"/>
  <c r="G12" i="3"/>
  <c r="G13" i="3"/>
  <c r="G2" i="3"/>
  <c r="C11" i="3"/>
  <c r="D11" i="3" s="1"/>
  <c r="C12" i="3"/>
  <c r="D12" i="3" s="1"/>
  <c r="C13" i="3"/>
  <c r="D13" i="3" s="1"/>
  <c r="C3" i="3"/>
  <c r="D3" i="3" s="1"/>
  <c r="Q3" i="3" s="1"/>
  <c r="C4" i="3"/>
  <c r="E4" i="3" s="1"/>
  <c r="C5" i="3"/>
  <c r="C6" i="3"/>
  <c r="E6" i="3" s="1"/>
  <c r="C7" i="3"/>
  <c r="D7" i="3" s="1"/>
  <c r="C8" i="3"/>
  <c r="E8" i="3" s="1"/>
  <c r="C9" i="3"/>
  <c r="C10" i="3"/>
  <c r="E10" i="3" s="1"/>
  <c r="C2" i="3"/>
  <c r="D2" i="3" s="1"/>
  <c r="Q2" i="3" s="1"/>
  <c r="AA7" i="3"/>
  <c r="B22" i="16" l="1"/>
  <c r="B21" i="16"/>
  <c r="K10" i="8"/>
  <c r="N10" i="8" s="1"/>
  <c r="U2" i="3"/>
  <c r="V2" i="3" s="1"/>
  <c r="U3" i="3"/>
  <c r="V3" i="3" s="1"/>
  <c r="R2" i="3"/>
  <c r="R3" i="3"/>
  <c r="K11" i="3"/>
  <c r="Q11" i="3"/>
  <c r="U11" i="3" s="1"/>
  <c r="V11" i="3" s="1"/>
  <c r="Q7" i="3"/>
  <c r="U7" i="3" s="1"/>
  <c r="V7" i="3" s="1"/>
  <c r="K13" i="3"/>
  <c r="Q13" i="3"/>
  <c r="U13" i="3" s="1"/>
  <c r="V13" i="3" s="1"/>
  <c r="K12" i="3"/>
  <c r="Q12" i="3"/>
  <c r="U12" i="3" s="1"/>
  <c r="V12" i="3" s="1"/>
  <c r="F2" i="3"/>
  <c r="H2" i="3" s="1"/>
  <c r="I10" i="8"/>
  <c r="J10" i="8" s="1"/>
  <c r="K12" i="8"/>
  <c r="N12" i="8" s="1"/>
  <c r="I12" i="8"/>
  <c r="J12" i="8" s="1"/>
  <c r="K16" i="8"/>
  <c r="N16" i="8" s="1"/>
  <c r="I16" i="8"/>
  <c r="J16" i="8" s="1"/>
  <c r="K4" i="8"/>
  <c r="N4" i="8" s="1"/>
  <c r="I4" i="8"/>
  <c r="J4" i="8" s="1"/>
  <c r="K8" i="8"/>
  <c r="N8" i="8" s="1"/>
  <c r="I8" i="8"/>
  <c r="J8" i="8" s="1"/>
  <c r="K11" i="8"/>
  <c r="N11" i="8" s="1"/>
  <c r="I11" i="8"/>
  <c r="J11" i="8" s="1"/>
  <c r="K9" i="8"/>
  <c r="N9" i="8" s="1"/>
  <c r="I9" i="8"/>
  <c r="J9" i="8" s="1"/>
  <c r="K5" i="8"/>
  <c r="N5" i="8" s="1"/>
  <c r="I5" i="8"/>
  <c r="J5" i="8" s="1"/>
  <c r="K15" i="8"/>
  <c r="N15" i="8" s="1"/>
  <c r="I15" i="8"/>
  <c r="J15" i="8" s="1"/>
  <c r="K14" i="8"/>
  <c r="N14" i="8" s="1"/>
  <c r="I14" i="8"/>
  <c r="J14" i="8" s="1"/>
  <c r="K13" i="8"/>
  <c r="N13" i="8" s="1"/>
  <c r="I13" i="8"/>
  <c r="J13" i="8" s="1"/>
  <c r="K7" i="8"/>
  <c r="N7" i="8" s="1"/>
  <c r="I7" i="8"/>
  <c r="J7" i="8" s="1"/>
  <c r="K3" i="8"/>
  <c r="N3" i="8" s="1"/>
  <c r="I3" i="8"/>
  <c r="J3" i="8" s="1"/>
  <c r="K6" i="8"/>
  <c r="N6" i="8" s="1"/>
  <c r="I6" i="8"/>
  <c r="J6" i="8" s="1"/>
  <c r="D8" i="3"/>
  <c r="Q8" i="3" s="1"/>
  <c r="U8" i="3" s="1"/>
  <c r="V8" i="3" s="1"/>
  <c r="D4" i="3"/>
  <c r="Q4" i="3" s="1"/>
  <c r="U4" i="3" s="1"/>
  <c r="V4" i="3" s="1"/>
  <c r="E2" i="3"/>
  <c r="D10" i="3"/>
  <c r="Q10" i="3" s="1"/>
  <c r="U10" i="3" s="1"/>
  <c r="V10" i="3" s="1"/>
  <c r="D6" i="3"/>
  <c r="Q6" i="3" s="1"/>
  <c r="U6" i="3" s="1"/>
  <c r="V6" i="3" s="1"/>
  <c r="E9" i="3"/>
  <c r="E5" i="3"/>
  <c r="F12" i="3"/>
  <c r="H12" i="3" s="1"/>
  <c r="D9" i="3"/>
  <c r="Q9" i="3" s="1"/>
  <c r="U9" i="3" s="1"/>
  <c r="V9" i="3" s="1"/>
  <c r="D5" i="3"/>
  <c r="Q5" i="3" s="1"/>
  <c r="U5" i="3" s="1"/>
  <c r="V5" i="3" s="1"/>
  <c r="E7" i="3"/>
  <c r="E3" i="3"/>
  <c r="F13" i="3"/>
  <c r="H13" i="3" s="1"/>
  <c r="F11" i="3"/>
  <c r="H11" i="3" s="1"/>
  <c r="F7" i="3"/>
  <c r="H7" i="3" s="1"/>
  <c r="F3" i="3"/>
  <c r="H3" i="3" s="1"/>
  <c r="E11" i="3"/>
  <c r="E13" i="3"/>
  <c r="E12" i="3"/>
  <c r="AA3" i="3"/>
  <c r="J2" i="3" s="1"/>
  <c r="K2" i="8" l="1"/>
  <c r="N2" i="8" s="1"/>
  <c r="I2" i="8"/>
  <c r="J2" i="8" s="1"/>
  <c r="K3" i="3"/>
  <c r="K7" i="3"/>
  <c r="R5" i="3"/>
  <c r="R4" i="3"/>
  <c r="R13" i="3"/>
  <c r="R11" i="3"/>
  <c r="R9" i="3"/>
  <c r="R6" i="3"/>
  <c r="R8" i="3"/>
  <c r="R10" i="3"/>
  <c r="R12" i="3"/>
  <c r="R7" i="3"/>
  <c r="F4" i="3"/>
  <c r="H4" i="3" s="1"/>
  <c r="I4" i="3" s="1"/>
  <c r="L4" i="3" s="1"/>
  <c r="F6" i="3"/>
  <c r="H6" i="3" s="1"/>
  <c r="K6" i="3"/>
  <c r="K2" i="3"/>
  <c r="K5" i="3"/>
  <c r="K4" i="3"/>
  <c r="F5" i="3"/>
  <c r="H5" i="3" s="1"/>
  <c r="I5" i="3" s="1"/>
  <c r="L5" i="3" s="1"/>
  <c r="F9" i="3"/>
  <c r="H9" i="3" s="1"/>
  <c r="K9" i="3"/>
  <c r="K10" i="3"/>
  <c r="F8" i="3"/>
  <c r="H8" i="3" s="1"/>
  <c r="I8" i="3" s="1"/>
  <c r="L8" i="3" s="1"/>
  <c r="K8" i="3"/>
  <c r="O3" i="8"/>
  <c r="O14" i="8"/>
  <c r="O5" i="8"/>
  <c r="O11" i="8"/>
  <c r="O4" i="8"/>
  <c r="O12" i="8"/>
  <c r="O10" i="8"/>
  <c r="F10" i="3"/>
  <c r="H10" i="3" s="1"/>
  <c r="I10" i="3" s="1"/>
  <c r="L10" i="3" s="1"/>
  <c r="O6" i="8"/>
  <c r="O7" i="8"/>
  <c r="O13" i="8"/>
  <c r="O15" i="8"/>
  <c r="O9" i="8"/>
  <c r="O8" i="8"/>
  <c r="O16" i="8"/>
  <c r="I6" i="3"/>
  <c r="L6" i="3" s="1"/>
  <c r="W6" i="3"/>
  <c r="I9" i="3"/>
  <c r="W9" i="3"/>
  <c r="I12" i="3"/>
  <c r="L12" i="3" s="1"/>
  <c r="M12" i="3" s="1"/>
  <c r="O12" i="3" s="1"/>
  <c r="W12" i="3"/>
  <c r="I3" i="3"/>
  <c r="W3" i="3"/>
  <c r="I7" i="3"/>
  <c r="L7" i="3" s="1"/>
  <c r="W7" i="3"/>
  <c r="I11" i="3"/>
  <c r="L11" i="3" s="1"/>
  <c r="M11" i="3" s="1"/>
  <c r="O11" i="3" s="1"/>
  <c r="W11" i="3"/>
  <c r="I13" i="3"/>
  <c r="L13" i="3" s="1"/>
  <c r="M13" i="3" s="1"/>
  <c r="O13" i="3" s="1"/>
  <c r="W13" i="3"/>
  <c r="I2" i="3"/>
  <c r="L2" i="3" s="1"/>
  <c r="N2" i="3" s="1"/>
  <c r="P2" i="3" s="1"/>
  <c r="W2" i="3"/>
  <c r="J13" i="3"/>
  <c r="J7" i="3"/>
  <c r="J9" i="3"/>
  <c r="J6" i="3"/>
  <c r="J11" i="3"/>
  <c r="J4" i="3"/>
  <c r="J10" i="3"/>
  <c r="J8" i="3"/>
  <c r="J5" i="3"/>
  <c r="J12" i="3"/>
  <c r="J3" i="3"/>
  <c r="O2" i="8" l="1"/>
  <c r="M6" i="3"/>
  <c r="O6" i="3" s="1"/>
  <c r="S6" i="3" s="1"/>
  <c r="N5" i="3"/>
  <c r="P5" i="3" s="1"/>
  <c r="T5" i="3" s="1"/>
  <c r="N11" i="3"/>
  <c r="P11" i="3" s="1"/>
  <c r="T11" i="3" s="1"/>
  <c r="M7" i="3"/>
  <c r="O7" i="3" s="1"/>
  <c r="S7" i="3" s="1"/>
  <c r="N13" i="3"/>
  <c r="P13" i="3" s="1"/>
  <c r="T13" i="3" s="1"/>
  <c r="N8" i="3"/>
  <c r="P8" i="3" s="1"/>
  <c r="T8" i="3" s="1"/>
  <c r="N6" i="3"/>
  <c r="P6" i="3" s="1"/>
  <c r="T6" i="3" s="1"/>
  <c r="M10" i="3"/>
  <c r="O10" i="3" s="1"/>
  <c r="S10" i="3" s="1"/>
  <c r="T2" i="3"/>
  <c r="M4" i="3"/>
  <c r="O4" i="3" s="1"/>
  <c r="S4" i="3" s="1"/>
  <c r="N10" i="3"/>
  <c r="P10" i="3" s="1"/>
  <c r="T10" i="3" s="1"/>
  <c r="W4" i="3"/>
  <c r="W10" i="3"/>
  <c r="W8" i="3"/>
  <c r="M5" i="3"/>
  <c r="O5" i="3" s="1"/>
  <c r="S5" i="3" s="1"/>
  <c r="N12" i="3"/>
  <c r="P12" i="3" s="1"/>
  <c r="N4" i="3"/>
  <c r="P4" i="3" s="1"/>
  <c r="T4" i="3" s="1"/>
  <c r="N7" i="3"/>
  <c r="P7" i="3" s="1"/>
  <c r="T7" i="3" s="1"/>
  <c r="L3" i="3"/>
  <c r="M3" i="3" s="1"/>
  <c r="O3" i="3" s="1"/>
  <c r="S3" i="3" s="1"/>
  <c r="M8" i="3"/>
  <c r="O8" i="3" s="1"/>
  <c r="S8" i="3" s="1"/>
  <c r="M2" i="3"/>
  <c r="O2" i="3" s="1"/>
  <c r="S2" i="3" s="1"/>
  <c r="L9" i="3"/>
  <c r="M9" i="3" s="1"/>
  <c r="O9" i="3" s="1"/>
  <c r="S9" i="3" s="1"/>
  <c r="W5" i="3"/>
  <c r="S12" i="3"/>
  <c r="N3" i="3" l="1"/>
  <c r="P3" i="3" s="1"/>
  <c r="T3" i="3" s="1"/>
  <c r="S11" i="3"/>
  <c r="T12" i="3"/>
  <c r="X12" i="3" s="1"/>
  <c r="S13" i="3"/>
  <c r="X4" i="3"/>
  <c r="N9" i="3"/>
  <c r="P9" i="3" s="1"/>
  <c r="T9" i="3" s="1"/>
  <c r="X6" i="3"/>
  <c r="X2" i="3"/>
  <c r="X5" i="3"/>
  <c r="X10" i="3"/>
  <c r="X8" i="3"/>
  <c r="X7" i="3"/>
  <c r="X11" i="3"/>
  <c r="X13" i="3"/>
  <c r="X3" i="3" l="1"/>
  <c r="X9" i="3"/>
</calcChain>
</file>

<file path=xl/comments1.xml><?xml version="1.0" encoding="utf-8"?>
<comments xmlns="http://schemas.openxmlformats.org/spreadsheetml/2006/main">
  <authors>
    <author>Eric Gustafson</author>
  </authors>
  <commentList>
    <comment ref="AB12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>
  <authors>
    <author>Eric Gustafson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sharedStrings.xml><?xml version="1.0" encoding="utf-8"?>
<sst xmlns="http://schemas.openxmlformats.org/spreadsheetml/2006/main" count="295" uniqueCount="213">
  <si>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</si>
  <si>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</si>
  <si>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</si>
  <si>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</si>
  <si>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</si>
  <si>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</si>
  <si>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</si>
  <si>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</si>
  <si>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</si>
  <si>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</si>
  <si>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</si>
  <si>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</si>
  <si>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</si>
  <si>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</si>
  <si>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</si>
  <si>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</si>
  <si>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</si>
  <si>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</si>
  <si>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</si>
  <si>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</si>
  <si>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</si>
  <si>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</si>
  <si>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</si>
  <si>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</si>
  <si>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fol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</si>
  <si>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</si>
  <si>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</si>
  <si>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</si>
  <si>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</si>
  <si>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</si>
  <si>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</si>
  <si>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</si>
  <si>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</si>
  <si>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</si>
  <si>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</si>
  <si>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</si>
  <si>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</si>
  <si>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</si>
  <si>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</si>
  <si>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</si>
  <si>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</si>
  <si>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</si>
  <si>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</si>
  <si>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</si>
  <si>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</si>
  <si>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</si>
  <si>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</si>
  <si>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</si>
  <si>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</si>
  <si>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</si>
  <si>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</si>
  <si>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</si>
  <si>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</si>
  <si>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</si>
  <si>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</si>
  <si>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</si>
  <si>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</si>
  <si>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</si>
  <si>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PnET-Suc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</si>
  <si>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</si>
  <si>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</si>
  <si>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</si>
  <si>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</si>
  <si>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</si>
  <si>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</si>
  <si>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</si>
  <si>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</si>
  <si>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</si>
  <si>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</si>
  <si>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</si>
  <si>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</si>
  <si>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</si>
  <si>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</si>
  <si>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</si>
  <si>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</si>
  <si>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</si>
  <si>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</si>
  <si>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</si>
  <si>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</si>
  <si>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</si>
  <si>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</si>
  <si>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</si>
  <si>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</si>
  <si>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</si>
  <si>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</si>
  <si>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</si>
  <si>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</si>
  <si>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</si>
  <si>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</si>
  <si>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</si>
  <si>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</si>
  <si>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</si>
  <si>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</si>
  <si>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</si>
  <si>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</si>
  <si>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</si>
  <si>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</si>
  <si>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</si>
  <si>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</si>
  <si>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</si>
  <si>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</si>
  <si>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</si>
  <si>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</si>
  <si>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</si>
  <si>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</si>
  <si>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</si>
  <si>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</si>
  <si>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</si>
  <si>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</si>
  <si>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</si>
  <si>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</si>
  <si>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</si>
  <si>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</si>
  <si>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</si>
  <si>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</si>
  <si>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</si>
  <si>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</si>
  <si>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</si>
  <si>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</si>
  <si>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</si>
  <si>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</si>
  <si>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</si>
  <si>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</si>
  <si>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</si>
  <si>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</si>
  <si>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</si>
  <si>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</si>
  <si>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>&lt;==Topt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</si>
  <si>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</si>
  <si>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</si>
  <si>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</si>
  <si>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</si>
  <si>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</si>
  <si>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</si>
  <si>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</si>
  <si>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</si>
  <si>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</si>
  <si>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</si>
  <si>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</si>
  <si>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</si>
  <si>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</si>
  <si>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</si>
  <si>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</si>
  <si>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</si>
  <si>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</si>
  <si>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</si>
  <si>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</si>
  <si>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</si>
  <si>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</si>
  <si>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</si>
  <si>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</si>
  <si>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</si>
  <si>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</si>
  <si>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</si>
  <si>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</si>
  <si>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</si>
  <si>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</si>
  <si>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EstModifier</t>
  </si>
  <si>
    <t>Timestep</t>
  </si>
  <si>
    <t>Unmodified</t>
  </si>
  <si>
    <t>Modified</t>
  </si>
  <si>
    <t>Modified-Pest</t>
  </si>
  <si>
    <t>UnModified-Pest</t>
  </si>
  <si>
    <t>Red. Factor</t>
  </si>
  <si>
    <t>modified red. factor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</si>
  <si>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</si>
  <si>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</si>
  <si>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</si>
  <si>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</si>
  <si>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</si>
  <si>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</si>
  <si>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</si>
  <si>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</si>
  <si>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</si>
  <si>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</si>
  <si>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Computed value</t>
  </si>
  <si>
    <t>No Wythers-Bfol</t>
  </si>
  <si>
    <t>Wythers-Bfol</t>
  </si>
  <si>
    <t>Wythers Q10</t>
  </si>
  <si>
    <t>NoWythers Q10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</si>
  <si>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</si>
  <si>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</si>
  <si>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</si>
  <si>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</si>
  <si>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</si>
  <si>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</si>
  <si>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</si>
  <si>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</si>
  <si>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</si>
  <si>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</si>
  <si>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</si>
  <si>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</si>
  <si>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</si>
  <si>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</si>
  <si>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</si>
  <si>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</si>
  <si>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Set HalfSat to produce the desired HalfSat at your reference CO2 concentration</t>
  </si>
  <si>
    <t>CO2HalfSatEff</t>
  </si>
  <si>
    <t>AdjHalfSat</t>
  </si>
  <si>
    <t>350 is the nominal reference concentration</t>
  </si>
  <si>
    <t>frad</t>
  </si>
  <si>
    <t>intcpt</t>
  </si>
  <si>
    <t>slope</t>
  </si>
  <si>
    <t>nom FolN</t>
  </si>
  <si>
    <t>FrActWd</t>
  </si>
  <si>
    <t>Total Biomass</t>
  </si>
  <si>
    <t>NOTE</t>
  </si>
  <si>
    <t>DelAmax was used in PnET-Succession v1.2</t>
  </si>
  <si>
    <t>DelAmax' was used in PnET-Succession v2.0 and later</t>
  </si>
  <si>
    <t>Fraction Active Biomass</t>
  </si>
  <si>
    <t>CO2 (ppm)</t>
  </si>
  <si>
    <t>Multiplier</t>
  </si>
  <si>
    <t>AdjFolN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</si>
</sst>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rgb="FFFF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6" xfId="0" applyFill="1" applyBorder="1"/>
    <xf numFmtId="0" fontId="0" fillId="0" borderId="6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7" xfId="0" applyFont="1" applyBorder="1"/>
    <xf numFmtId="0" fontId="0" fillId="0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3" borderId="4" xfId="0" applyFill="1" applyBorder="1"/>
    <xf numFmtId="0" fontId="0" fillId="0" borderId="8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8" fillId="3" borderId="0" xfId="0" applyFont="1" applyFill="1" applyBorder="1"/>
    <xf numFmtId="0" fontId="8" fillId="3" borderId="6" xfId="0" applyFont="1" applyFill="1" applyBorder="1"/>
    <xf numFmtId="0" fontId="7" fillId="0" borderId="9" xfId="0" applyFont="1" applyBorder="1"/>
    <xf numFmtId="0" fontId="0" fillId="0" borderId="8" xfId="0" applyFill="1" applyBorder="1"/>
    <xf numFmtId="0" fontId="0" fillId="3" borderId="8" xfId="0" applyFill="1" applyBorder="1"/>
    <xf numFmtId="0" fontId="0" fillId="6" borderId="8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Border="1"/>
    <xf numFmtId="0" fontId="2" fillId="0" borderId="0" xfId="0" applyFont="1"/>
    <xf numFmtId="0" fontId="7" fillId="5" borderId="0" xfId="0" applyFont="1" applyFill="1"/>
    <xf numFmtId="0" fontId="12" fillId="5" borderId="0" xfId="0" applyFont="1" applyFill="1"/>
    <xf numFmtId="0" fontId="0" fillId="11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PnET-II'!$O$1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PnET-II'!$O$2:$O$13</c:f>
              <c:numCache>
                <c:formatCode>General</c:formatCode>
                <c:ptCount val="12"/>
                <c:pt idx="0">
                  <c:v>0</c:v>
                </c:pt>
                <c:pt idx="1">
                  <c:v>0.6603266855261245</c:v>
                </c:pt>
                <c:pt idx="2">
                  <c:v>1.5220020447640326</c:v>
                </c:pt>
                <c:pt idx="3">
                  <c:v>2.069536634772331</c:v>
                </c:pt>
                <c:pt idx="4">
                  <c:v>2.2817974235194201</c:v>
                </c:pt>
                <c:pt idx="5">
                  <c:v>2.1420935290853733</c:v>
                </c:pt>
                <c:pt idx="6">
                  <c:v>1.6593868398662139</c:v>
                </c:pt>
                <c:pt idx="7">
                  <c:v>0.91367050629585933</c:v>
                </c:pt>
                <c:pt idx="8">
                  <c:v>0.14317563237710493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PnET-II'!$O$20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PnET-II'!$O$21:$O$32</c:f>
              <c:numCache>
                <c:formatCode>General</c:formatCode>
                <c:ptCount val="12"/>
                <c:pt idx="0">
                  <c:v>0</c:v>
                </c:pt>
                <c:pt idx="1">
                  <c:v>0.72519580097727487</c:v>
                </c:pt>
                <c:pt idx="2">
                  <c:v>1.6714041752959881</c:v>
                </c:pt>
                <c:pt idx="3">
                  <c:v>2.2764902982495636</c:v>
                </c:pt>
                <c:pt idx="4">
                  <c:v>2.509977165871363</c:v>
                </c:pt>
                <c:pt idx="5">
                  <c:v>2.3563028819939107</c:v>
                </c:pt>
                <c:pt idx="6">
                  <c:v>1.8253255238528354</c:v>
                </c:pt>
                <c:pt idx="7">
                  <c:v>1.0050375569254451</c:v>
                </c:pt>
                <c:pt idx="8">
                  <c:v>0.15749319561481545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47128"/>
        <c:axId val="533648304"/>
      </c:lineChart>
      <c:catAx>
        <c:axId val="53364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3648304"/>
        <c:crosses val="autoZero"/>
        <c:auto val="1"/>
        <c:lblAlgn val="ctr"/>
        <c:lblOffset val="100"/>
        <c:noMultiLvlLbl val="0"/>
      </c:catAx>
      <c:valAx>
        <c:axId val="533648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364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DTemp!$V$1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DTemp!$V$2:$V$13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1.3492720303644898</c:v>
                </c:pt>
                <c:pt idx="2">
                  <c:v>1.9081588046721443</c:v>
                </c:pt>
                <c:pt idx="3">
                  <c:v>2.6985440607289797</c:v>
                </c:pt>
                <c:pt idx="4">
                  <c:v>3.8163176093442885</c:v>
                </c:pt>
                <c:pt idx="5">
                  <c:v>5.3970881214579594</c:v>
                </c:pt>
                <c:pt idx="6">
                  <c:v>7.6326352186885771</c:v>
                </c:pt>
                <c:pt idx="7">
                  <c:v>10.794176242915919</c:v>
                </c:pt>
                <c:pt idx="8">
                  <c:v>15.265270437377154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90232"/>
        <c:axId val="533194936"/>
      </c:lineChart>
      <c:catAx>
        <c:axId val="53319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4936"/>
        <c:crosses val="autoZero"/>
        <c:auto val="1"/>
        <c:lblAlgn val="ctr"/>
        <c:lblOffset val="100"/>
        <c:noMultiLvlLbl val="0"/>
      </c:catAx>
      <c:valAx>
        <c:axId val="5331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DTemp!$O$1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DTemp!$O$2:$O$13</c:f>
              <c:numCache>
                <c:formatCode>General</c:formatCode>
                <c:ptCount val="12"/>
                <c:pt idx="0">
                  <c:v>0</c:v>
                </c:pt>
                <c:pt idx="1">
                  <c:v>8.6790800556289511</c:v>
                </c:pt>
                <c:pt idx="2">
                  <c:v>14.896595013127973</c:v>
                </c:pt>
                <c:pt idx="3">
                  <c:v>18.520072192029389</c:v>
                </c:pt>
                <c:pt idx="4">
                  <c:v>19.402505512568759</c:v>
                </c:pt>
                <c:pt idx="5">
                  <c:v>17.795983973062672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DTemp!$P$1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8.6790800556289511</c:v>
                </c:pt>
                <c:pt idx="2">
                  <c:v>14.896595013127973</c:v>
                </c:pt>
                <c:pt idx="3">
                  <c:v>18.520072192029389</c:v>
                </c:pt>
                <c:pt idx="4">
                  <c:v>19.402505512568759</c:v>
                </c:pt>
                <c:pt idx="5">
                  <c:v>17.465066915712335</c:v>
                </c:pt>
                <c:pt idx="6">
                  <c:v>12.897462199121927</c:v>
                </c:pt>
                <c:pt idx="7">
                  <c:v>6.573230783432443</c:v>
                </c:pt>
                <c:pt idx="8">
                  <c:v>0.83298962341503313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91016"/>
        <c:axId val="533192976"/>
      </c:lineChart>
      <c:catAx>
        <c:axId val="53319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2976"/>
        <c:crosses val="autoZero"/>
        <c:auto val="1"/>
        <c:lblAlgn val="ctr"/>
        <c:lblOffset val="100"/>
        <c:noMultiLvlLbl val="0"/>
      </c:catAx>
      <c:valAx>
        <c:axId val="5331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95328"/>
        <c:axId val="533195720"/>
      </c:lineChart>
      <c:catAx>
        <c:axId val="5331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5720"/>
        <c:crosses val="autoZero"/>
        <c:auto val="1"/>
        <c:lblAlgn val="ctr"/>
        <c:lblOffset val="100"/>
        <c:noMultiLvlLbl val="0"/>
      </c:catAx>
      <c:valAx>
        <c:axId val="5331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'CO2 effects'!$L$1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01992"/>
        <c:axId val="533200424"/>
      </c:scatterChart>
      <c:valAx>
        <c:axId val="533201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00424"/>
        <c:crosses val="autoZero"/>
        <c:crossBetween val="midCat"/>
      </c:valAx>
      <c:valAx>
        <c:axId val="5332004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0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01208"/>
        <c:axId val="533201600"/>
      </c:scatterChart>
      <c:valAx>
        <c:axId val="5332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01600"/>
        <c:crosses val="autoZero"/>
        <c:crossBetween val="midCat"/>
      </c:valAx>
      <c:valAx>
        <c:axId val="533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0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99248"/>
        <c:axId val="533200032"/>
      </c:scatterChart>
      <c:valAx>
        <c:axId val="53319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00032"/>
        <c:crosses val="autoZero"/>
        <c:crossBetween val="midCat"/>
      </c:valAx>
      <c:valAx>
        <c:axId val="5332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84040"/>
        <c:axId val="536482080"/>
      </c:scatterChart>
      <c:valAx>
        <c:axId val="53648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2080"/>
        <c:crosses val="autoZero"/>
        <c:crossBetween val="midCat"/>
      </c:valAx>
      <c:valAx>
        <c:axId val="5364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78552"/>
        <c:axId val="536485216"/>
      </c:scatterChart>
      <c:valAx>
        <c:axId val="53647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5216"/>
        <c:crosses val="autoZero"/>
        <c:crossBetween val="midCat"/>
      </c:valAx>
      <c:valAx>
        <c:axId val="5364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7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88744"/>
        <c:axId val="536485608"/>
      </c:scatterChart>
      <c:valAx>
        <c:axId val="53648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5608"/>
        <c:crosses val="autoZero"/>
        <c:crossBetween val="midCat"/>
      </c:valAx>
      <c:valAx>
        <c:axId val="53648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CO2HalfSatEff!$B$1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CO2HalfSatEff!$A$7:$A$17</c:f>
              <c:numCache>
                <c:formatCode>General</c:formatCode>
                <c:ptCount val="11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</c:numCache>
            </c:numRef>
          </c:cat>
          <c:val>
            <c:numRef>
              <c:f>CO2HalfSatEff!$B$7:$B$17</c:f>
              <c:numCache>
                <c:formatCode>General</c:formatCode>
                <c:ptCount val="11"/>
                <c:pt idx="0">
                  <c:v>210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CO2HalfSatEff!$C$1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CO2HalfSatEff!$A$7:$A$17</c:f>
              <c:numCache>
                <c:formatCode>General</c:formatCode>
                <c:ptCount val="11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</c:numCache>
            </c:numRef>
          </c:cat>
          <c:val>
            <c:numRef>
              <c:f>CO2HalfSatEff!$C$7:$C$17</c:f>
              <c:numCache>
                <c:formatCode>General</c:formatCode>
                <c:ptCount val="11"/>
                <c:pt idx="0">
                  <c:v>297.5</c:v>
                </c:pt>
                <c:pt idx="1">
                  <c:v>300</c:v>
                </c:pt>
                <c:pt idx="2">
                  <c:v>302.5</c:v>
                </c:pt>
                <c:pt idx="3">
                  <c:v>305</c:v>
                </c:pt>
                <c:pt idx="4">
                  <c:v>307.5</c:v>
                </c:pt>
                <c:pt idx="5">
                  <c:v>310</c:v>
                </c:pt>
                <c:pt idx="6">
                  <c:v>312.5</c:v>
                </c:pt>
                <c:pt idx="7">
                  <c:v>315</c:v>
                </c:pt>
                <c:pt idx="8">
                  <c:v>317.5</c:v>
                </c:pt>
                <c:pt idx="9">
                  <c:v>320</c:v>
                </c:pt>
                <c:pt idx="10">
                  <c:v>322.5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80512"/>
        <c:axId val="536486000"/>
      </c:lineChart>
      <c:catAx>
        <c:axId val="5364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6000"/>
        <c:crosses val="autoZero"/>
        <c:auto val="1"/>
        <c:lblAlgn val="ctr"/>
        <c:lblOffset val="100"/>
        <c:noMultiLvlLbl val="0"/>
      </c:catAx>
      <c:valAx>
        <c:axId val="5364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PnET-II'!$R$1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PnET-II'!$R$2:$R$13</c:f>
              <c:numCache>
                <c:formatCode>General</c:formatCode>
                <c:ptCount val="12"/>
                <c:pt idx="0">
                  <c:v>0</c:v>
                </c:pt>
                <c:pt idx="1">
                  <c:v>9.2445735973657435</c:v>
                </c:pt>
                <c:pt idx="2">
                  <c:v>21.308028626696455</c:v>
                </c:pt>
                <c:pt idx="3">
                  <c:v>28.973512886812635</c:v>
                </c:pt>
                <c:pt idx="4">
                  <c:v>31.945163929271882</c:v>
                </c:pt>
                <c:pt idx="5">
                  <c:v>29.989309407195226</c:v>
                </c:pt>
                <c:pt idx="6">
                  <c:v>23.231415758126996</c:v>
                </c:pt>
                <c:pt idx="7">
                  <c:v>12.791387088142031</c:v>
                </c:pt>
                <c:pt idx="8">
                  <c:v>2.0044588532794689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PnET-II'!$Y$20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PnET-II'!$Y$21:$Y$32</c:f>
              <c:numCache>
                <c:formatCode>General</c:formatCode>
                <c:ptCount val="12"/>
                <c:pt idx="0">
                  <c:v>-1.0519194228907485</c:v>
                </c:pt>
                <c:pt idx="1">
                  <c:v>8.665102499306073</c:v>
                </c:pt>
                <c:pt idx="2">
                  <c:v>21.295819608362336</c:v>
                </c:pt>
                <c:pt idx="3">
                  <c:v>28.895586746742342</c:v>
                </c:pt>
                <c:pt idx="4">
                  <c:v>30.932002630636092</c:v>
                </c:pt>
                <c:pt idx="5">
                  <c:v>27.037685490411647</c:v>
                </c:pt>
                <c:pt idx="6">
                  <c:v>17.139201950813707</c:v>
                </c:pt>
                <c:pt idx="7">
                  <c:v>2.1694160819500272</c:v>
                </c:pt>
                <c:pt idx="8">
                  <c:v>-14.625806027644556</c:v>
                </c:pt>
                <c:pt idx="9">
                  <c:v>-23.802219430012407</c:v>
                </c:pt>
                <c:pt idx="10">
                  <c:v>-33.661421532503944</c:v>
                </c:pt>
                <c:pt idx="11">
                  <c:v>-47.604438860024814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647912"/>
        <c:axId val="533193760"/>
      </c:lineChart>
      <c:catAx>
        <c:axId val="53364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3193760"/>
        <c:crosses val="autoZero"/>
        <c:auto val="1"/>
        <c:lblAlgn val="ctr"/>
        <c:lblOffset val="100"/>
        <c:noMultiLvlLbl val="0"/>
      </c:catAx>
      <c:valAx>
        <c:axId val="53319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364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EstMod!$C$3</c:f>
              <c:strCache>
                <c:ptCount val="1"/>
                <c:pt idx="0">
                  <c:v>modified red.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EstMod!$C$4:$C$14</c:f>
              <c:numCache>
                <c:formatCode>General</c:formatCode>
                <c:ptCount val="11"/>
                <c:pt idx="0">
                  <c:v>0</c:v>
                </c:pt>
                <c:pt idx="1">
                  <c:v>2.5118864315095799E-3</c:v>
                </c:pt>
                <c:pt idx="2">
                  <c:v>1.5229231509727031E-2</c:v>
                </c:pt>
                <c:pt idx="3">
                  <c:v>4.370340373471833E-2</c:v>
                </c:pt>
                <c:pt idx="4">
                  <c:v>9.233279397806167E-2</c:v>
                </c:pt>
                <c:pt idx="5">
                  <c:v>0.16493848884661177</c:v>
                </c:pt>
                <c:pt idx="6">
                  <c:v>0.26496789221441996</c:v>
                </c:pt>
                <c:pt idx="7">
                  <c:v>0.39559874396917555</c:v>
                </c:pt>
                <c:pt idx="8">
                  <c:v>0.55980138185895845</c:v>
                </c:pt>
                <c:pt idx="9">
                  <c:v>0.7603797186212512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36486392"/>
        <c:axId val="536488352"/>
      </c:lineChart>
      <c:catAx>
        <c:axId val="536486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Psn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8352"/>
        <c:crosses val="autoZero"/>
        <c:auto val="1"/>
        <c:lblAlgn val="ctr"/>
        <c:lblOffset val="100"/>
        <c:noMultiLvlLbl val="0"/>
      </c:catAx>
      <c:valAx>
        <c:axId val="536488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 of establishment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EstMod!$F$3</c:f>
              <c:strCache>
                <c:ptCount val="1"/>
                <c:pt idx="0">
                  <c:v>Modified-Pest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EstMod!$F$4:$F$14</c:f>
              <c:numCache>
                <c:formatCode>General</c:formatCode>
                <c:ptCount val="11"/>
                <c:pt idx="0">
                  <c:v>0</c:v>
                </c:pt>
                <c:pt idx="1">
                  <c:v>6.3095734448292973E-6</c:v>
                </c:pt>
                <c:pt idx="2">
                  <c:v>2.3192949237682559E-4</c:v>
                </c:pt>
                <c:pt idx="3">
                  <c:v>1.9099874979997544E-3</c:v>
                </c:pt>
                <c:pt idx="4">
                  <c:v>8.5253448437951906E-3</c:v>
                </c:pt>
                <c:pt idx="5">
                  <c:v>2.7204705103003879E-2</c:v>
                </c:pt>
                <c:pt idx="6">
                  <c:v>7.0207983904552518E-2</c:v>
                </c:pt>
                <c:pt idx="7">
                  <c:v>0.15649836622998925</c:v>
                </c:pt>
                <c:pt idx="8">
                  <c:v>0.31337758713119945</c:v>
                </c:pt>
                <c:pt idx="9">
                  <c:v>0.57817731649053317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EstMod!$G$3</c:f>
              <c:strCache>
                <c:ptCount val="1"/>
                <c:pt idx="0">
                  <c:v>UnModified-Pest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EstMod!$G$4:$G$14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1.0000000000000009E-2</c:v>
                </c:pt>
                <c:pt idx="2">
                  <c:v>4.0000000000000036E-2</c:v>
                </c:pt>
                <c:pt idx="3">
                  <c:v>8.9999999999999969E-2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77376"/>
        <c:axId val="536486784"/>
      </c:lineChart>
      <c:catAx>
        <c:axId val="5364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Psn reduction factor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6784"/>
        <c:crosses val="autoZero"/>
        <c:auto val="1"/>
        <c:lblAlgn val="ctr"/>
        <c:lblOffset val="100"/>
        <c:noMultiLvlLbl val="0"/>
      </c:catAx>
      <c:valAx>
        <c:axId val="5364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Pest per time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AdjFolN!$B$1</c:f>
              <c:strCache>
                <c:ptCount val="1"/>
                <c:pt idx="0">
                  <c:v>Multiplier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AdjFolN!$B$2:$B$12</c:f>
              <c:numCache>
                <c:formatCode>General</c:formatCode>
                <c:ptCount val="11"/>
                <c:pt idx="0">
                  <c:v>0.8</c:v>
                </c:pt>
                <c:pt idx="1">
                  <c:v>0.84000000000000008</c:v>
                </c:pt>
                <c:pt idx="2">
                  <c:v>0.88000000000000012</c:v>
                </c:pt>
                <c:pt idx="3">
                  <c:v>0.92</c:v>
                </c:pt>
                <c:pt idx="4">
                  <c:v>0.96000000000000008</c:v>
                </c:pt>
                <c:pt idx="5">
                  <c:v>1</c:v>
                </c:pt>
                <c:pt idx="6">
                  <c:v>1.04</c:v>
                </c:pt>
                <c:pt idx="7">
                  <c:v>1.08</c:v>
                </c:pt>
                <c:pt idx="8">
                  <c:v>1.1200000000000001</c:v>
                </c:pt>
                <c:pt idx="9">
                  <c:v>1.1600000000000001</c:v>
                </c:pt>
                <c:pt idx="10">
                  <c:v>1.2000000000000002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AdjFolN!$C$1</c:f>
              <c:strCache>
                <c:ptCount val="1"/>
                <c:pt idx="0">
                  <c:v>AdjFolN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AdjFolN!$A$2:$A$12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AdjFolN!$C$2:$C$12</c:f>
              <c:numCache>
                <c:formatCode>General</c:formatCode>
                <c:ptCount val="11"/>
                <c:pt idx="0">
                  <c:v>1.6</c:v>
                </c:pt>
                <c:pt idx="1">
                  <c:v>1.6800000000000002</c:v>
                </c:pt>
                <c:pt idx="2">
                  <c:v>1.7600000000000002</c:v>
                </c:pt>
                <c:pt idx="3">
                  <c:v>1.84</c:v>
                </c:pt>
                <c:pt idx="4">
                  <c:v>1.9200000000000002</c:v>
                </c:pt>
                <c:pt idx="5">
                  <c:v>2</c:v>
                </c:pt>
                <c:pt idx="6">
                  <c:v>2.08</c:v>
                </c:pt>
                <c:pt idx="7">
                  <c:v>2.16</c:v>
                </c:pt>
                <c:pt idx="8">
                  <c:v>2.2400000000000002</c:v>
                </c:pt>
                <c:pt idx="9">
                  <c:v>2.3200000000000003</c:v>
                </c:pt>
                <c:pt idx="10">
                  <c:v>2.4000000000000004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89136"/>
        <c:axId val="536481688"/>
      </c:lineChart>
      <c:catAx>
        <c:axId val="5364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1688"/>
        <c:crosses val="autoZero"/>
        <c:auto val="1"/>
        <c:lblAlgn val="ctr"/>
        <c:lblOffset val="100"/>
        <c:noMultiLvlLbl val="0"/>
      </c:catAx>
      <c:valAx>
        <c:axId val="53648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FrActWd!$A$2:$A$29</c:f>
              <c:numCache>
                <c:formatCode>General</c:formatCode>
                <c:ptCount val="28"/>
                <c:pt idx="0">
                  <c:v>100</c:v>
                </c:pt>
                <c:pt idx="1">
                  <c:v>1500</c:v>
                </c:pt>
                <c:pt idx="2">
                  <c:v>2900</c:v>
                </c:pt>
                <c:pt idx="3">
                  <c:v>4300</c:v>
                </c:pt>
                <c:pt idx="4">
                  <c:v>5700</c:v>
                </c:pt>
                <c:pt idx="5">
                  <c:v>7100</c:v>
                </c:pt>
                <c:pt idx="6">
                  <c:v>8500</c:v>
                </c:pt>
                <c:pt idx="7">
                  <c:v>9900</c:v>
                </c:pt>
                <c:pt idx="8">
                  <c:v>11300</c:v>
                </c:pt>
                <c:pt idx="9">
                  <c:v>12700</c:v>
                </c:pt>
                <c:pt idx="10">
                  <c:v>14100</c:v>
                </c:pt>
                <c:pt idx="11">
                  <c:v>15500</c:v>
                </c:pt>
                <c:pt idx="12">
                  <c:v>16900</c:v>
                </c:pt>
                <c:pt idx="13">
                  <c:v>18300</c:v>
                </c:pt>
                <c:pt idx="14">
                  <c:v>19700</c:v>
                </c:pt>
                <c:pt idx="15">
                  <c:v>21100</c:v>
                </c:pt>
                <c:pt idx="16">
                  <c:v>22500</c:v>
                </c:pt>
                <c:pt idx="17">
                  <c:v>23900</c:v>
                </c:pt>
                <c:pt idx="18">
                  <c:v>25300</c:v>
                </c:pt>
                <c:pt idx="19">
                  <c:v>26700</c:v>
                </c:pt>
                <c:pt idx="20">
                  <c:v>28100</c:v>
                </c:pt>
                <c:pt idx="21">
                  <c:v>29500</c:v>
                </c:pt>
                <c:pt idx="22">
                  <c:v>30900</c:v>
                </c:pt>
                <c:pt idx="23">
                  <c:v>32300</c:v>
                </c:pt>
                <c:pt idx="24">
                  <c:v>33700</c:v>
                </c:pt>
                <c:pt idx="25">
                  <c:v>35100</c:v>
                </c:pt>
                <c:pt idx="26">
                  <c:v>36500</c:v>
                </c:pt>
                <c:pt idx="27">
                  <c:v>37900</c:v>
                </c:pt>
              </c:numCache>
            </c:numRef>
          </c:cat>
          <c:val>
            <c:numRef>
              <c:f>FrActWd!$B$2:$B$29</c:f>
              <c:numCache>
                <c:formatCode>General</c:formatCode>
                <c:ptCount val="28"/>
                <c:pt idx="0">
                  <c:v>0.99401796405393528</c:v>
                </c:pt>
                <c:pt idx="1">
                  <c:v>0.91393118527122819</c:v>
                </c:pt>
                <c:pt idx="2">
                  <c:v>0.84029689765843141</c:v>
                </c:pt>
                <c:pt idx="3">
                  <c:v>0.77259523210692804</c:v>
                </c:pt>
                <c:pt idx="4">
                  <c:v>0.71034820470917726</c:v>
                </c:pt>
                <c:pt idx="5">
                  <c:v>0.6531163421206756</c:v>
                </c:pt>
                <c:pt idx="6">
                  <c:v>0.6004955788122659</c:v>
                </c:pt>
                <c:pt idx="7">
                  <c:v>0.5521144043069306</c:v>
                </c:pt>
                <c:pt idx="8">
                  <c:v>0.50763124026013273</c:v>
                </c:pt>
                <c:pt idx="9">
                  <c:v>0.46673202886549986</c:v>
                </c:pt>
                <c:pt idx="10">
                  <c:v>0.42912801555963254</c:v>
                </c:pt>
                <c:pt idx="11">
                  <c:v>0.39455371037160109</c:v>
                </c:pt>
                <c:pt idx="12">
                  <c:v>0.36276501352395324</c:v>
                </c:pt>
                <c:pt idx="13">
                  <c:v>0.3335374920516932</c:v>
                </c:pt>
                <c:pt idx="14">
                  <c:v>0.30666479527190599</c:v>
                </c:pt>
                <c:pt idx="15">
                  <c:v>0.28195719791700274</c:v>
                </c:pt>
                <c:pt idx="16">
                  <c:v>0.25924026064589151</c:v>
                </c:pt>
                <c:pt idx="17">
                  <c:v>0.23835359847607956</c:v>
                </c:pt>
                <c:pt idx="18">
                  <c:v>0.2191497484416548</c:v>
                </c:pt>
                <c:pt idx="19">
                  <c:v>0.20149312848264125</c:v>
                </c:pt>
                <c:pt idx="20">
                  <c:v>0.18525908021533122</c:v>
                </c:pt>
                <c:pt idx="21">
                  <c:v>0.17033298882540943</c:v>
                </c:pt>
                <c:pt idx="22">
                  <c:v>0.15660947387018301</c:v>
                </c:pt>
                <c:pt idx="23">
                  <c:v>0.14399164527685901</c:v>
                </c:pt>
                <c:pt idx="24">
                  <c:v>0.13239041928410605</c:v>
                </c:pt>
                <c:pt idx="25">
                  <c:v>0.12172388949734589</c:v>
                </c:pt>
                <c:pt idx="26">
                  <c:v>0.11191674861732888</c:v>
                </c:pt>
                <c:pt idx="27">
                  <c:v>0.102899756759313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87960"/>
        <c:axId val="536476984"/>
      </c:lineChart>
      <c:catAx>
        <c:axId val="53648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76984"/>
        <c:crosses val="autoZero"/>
        <c:auto val="1"/>
        <c:lblAlgn val="ctr"/>
        <c:lblOffset val="100"/>
        <c:noMultiLvlLbl val="0"/>
      </c:catAx>
      <c:valAx>
        <c:axId val="5364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Wythers!$J$10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Wythers!$J$11:$J$20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Wythers!$K$10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Wythers!$K$11:$K$20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81296"/>
        <c:axId val="536482472"/>
      </c:lineChart>
      <c:catAx>
        <c:axId val="5364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2472"/>
        <c:crosses val="autoZero"/>
        <c:auto val="1"/>
        <c:lblAlgn val="ctr"/>
        <c:lblOffset val="100"/>
        <c:noMultiLvlLbl val="0"/>
      </c:catAx>
      <c:valAx>
        <c:axId val="5364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Wythers!$D$10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Wythers!$D$11:$D$20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Wythers!$E$10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Wythers!$B$11:$B$20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Wythers!$E$11:$E$20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79336"/>
        <c:axId val="536479728"/>
      </c:lineChart>
      <c:catAx>
        <c:axId val="53647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79728"/>
        <c:crosses val="autoZero"/>
        <c:auto val="1"/>
        <c:lblAlgn val="ctr"/>
        <c:lblOffset val="100"/>
        <c:noMultiLvlLbl val="0"/>
      </c:catAx>
      <c:valAx>
        <c:axId val="536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Wythers!$L$10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Wythers!$L$11:$L$20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Wythers!$M$10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Wythers!$M$11:$M$20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83256"/>
        <c:axId val="536483648"/>
      </c:lineChart>
      <c:catAx>
        <c:axId val="53648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3648"/>
        <c:crosses val="autoZero"/>
        <c:auto val="1"/>
        <c:lblAlgn val="ctr"/>
        <c:lblOffset val="100"/>
        <c:noMultiLvlLbl val="0"/>
      </c:catAx>
      <c:valAx>
        <c:axId val="536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0.99999995884773663</c:v>
                </c:pt>
                <c:pt idx="2">
                  <c:v>0.99999868312757201</c:v>
                </c:pt>
                <c:pt idx="3">
                  <c:v>0.99999000000000005</c:v>
                </c:pt>
                <c:pt idx="4">
                  <c:v>0.99995786008230447</c:v>
                </c:pt>
                <c:pt idx="5">
                  <c:v>0.99987139917695478</c:v>
                </c:pt>
                <c:pt idx="6">
                  <c:v>0.99968000000000001</c:v>
                </c:pt>
                <c:pt idx="7">
                  <c:v>0.99930835390946504</c:v>
                </c:pt>
                <c:pt idx="8">
                  <c:v>0.9986515226337449</c:v>
                </c:pt>
                <c:pt idx="9">
                  <c:v>0.99756999999999996</c:v>
                </c:pt>
                <c:pt idx="10">
                  <c:v>0.99588477366255146</c:v>
                </c:pt>
                <c:pt idx="11">
                  <c:v>0.99337238683127571</c:v>
                </c:pt>
                <c:pt idx="12">
                  <c:v>0.98975999999999997</c:v>
                </c:pt>
                <c:pt idx="13">
                  <c:v>0.98472045267489716</c:v>
                </c:pt>
                <c:pt idx="14">
                  <c:v>0.97786732510288066</c:v>
                </c:pt>
                <c:pt idx="15">
                  <c:v>0.96875</c:v>
                </c:pt>
                <c:pt idx="16">
                  <c:v>0.95684872427983536</c:v>
                </c:pt>
                <c:pt idx="17">
                  <c:v>0.94156967078189302</c:v>
                </c:pt>
                <c:pt idx="18">
                  <c:v>0.92223999999999995</c:v>
                </c:pt>
                <c:pt idx="19">
                  <c:v>0.89810292181069962</c:v>
                </c:pt>
                <c:pt idx="20">
                  <c:v>0.86831275720164613</c:v>
                </c:pt>
                <c:pt idx="21">
                  <c:v>0.83193000000000006</c:v>
                </c:pt>
                <c:pt idx="22">
                  <c:v>0.7879163786008232</c:v>
                </c:pt>
                <c:pt idx="23">
                  <c:v>0.73512991769547309</c:v>
                </c:pt>
                <c:pt idx="24">
                  <c:v>0.67231999999999981</c:v>
                </c:pt>
                <c:pt idx="25">
                  <c:v>0.59812242798353898</c:v>
                </c:pt>
                <c:pt idx="26">
                  <c:v>0.51105448559670774</c:v>
                </c:pt>
                <c:pt idx="27">
                  <c:v>0.40950999999999982</c:v>
                </c:pt>
                <c:pt idx="28">
                  <c:v>0.29175440329218094</c:v>
                </c:pt>
                <c:pt idx="29">
                  <c:v>0.15591979423868318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36495800"/>
        <c:axId val="536490312"/>
      </c:lineChart>
      <c:catAx>
        <c:axId val="53649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0312"/>
        <c:crosses val="autoZero"/>
        <c:auto val="1"/>
        <c:lblAlgn val="ctr"/>
        <c:lblOffset val="100"/>
        <c:noMultiLvlLbl val="0"/>
      </c:catAx>
      <c:valAx>
        <c:axId val="53649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PnET-II'!$V$1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PnET-II'!$V$2:$V$13</c:f>
              <c:numCache>
                <c:formatCode>General</c:formatCode>
                <c:ptCount val="12"/>
                <c:pt idx="0">
                  <c:v>0.99175914291718381</c:v>
                </c:pt>
                <c:pt idx="1">
                  <c:v>1.4025592305209982</c:v>
                </c:pt>
                <c:pt idx="2">
                  <c:v>1.9835182858343672</c:v>
                </c:pt>
                <c:pt idx="3">
                  <c:v>2.8051184610419964</c:v>
                </c:pt>
                <c:pt idx="4">
                  <c:v>3.9670365716687344</c:v>
                </c:pt>
                <c:pt idx="5">
                  <c:v>5.6102369220839927</c:v>
                </c:pt>
                <c:pt idx="6">
                  <c:v>7.9340731433374687</c:v>
                </c:pt>
                <c:pt idx="7">
                  <c:v>11.220473844167982</c:v>
                </c:pt>
                <c:pt idx="8">
                  <c:v>15.868146286674937</c:v>
                </c:pt>
                <c:pt idx="9">
                  <c:v>22.440947688335964</c:v>
                </c:pt>
                <c:pt idx="10">
                  <c:v>31.736292573349875</c:v>
                </c:pt>
                <c:pt idx="11">
                  <c:v>44.881895376671928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PnET-II'!$V$20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PnET-II'!$V$21:$V$32</c:f>
              <c:numCache>
                <c:formatCode>General</c:formatCode>
                <c:ptCount val="12"/>
                <c:pt idx="0">
                  <c:v>1.0519194228907485</c:v>
                </c:pt>
                <c:pt idx="1">
                  <c:v>1.4876387143757757</c:v>
                </c:pt>
                <c:pt idx="2">
                  <c:v>2.1038388457814965</c:v>
                </c:pt>
                <c:pt idx="3">
                  <c:v>2.9752774287515509</c:v>
                </c:pt>
                <c:pt idx="4">
                  <c:v>4.207677691562993</c:v>
                </c:pt>
                <c:pt idx="5">
                  <c:v>5.9505548575031018</c:v>
                </c:pt>
                <c:pt idx="6">
                  <c:v>8.415355383125986</c:v>
                </c:pt>
                <c:pt idx="7">
                  <c:v>11.901109715006204</c:v>
                </c:pt>
                <c:pt idx="8">
                  <c:v>16.830710766251972</c:v>
                </c:pt>
                <c:pt idx="9">
                  <c:v>23.802219430012407</c:v>
                </c:pt>
                <c:pt idx="10">
                  <c:v>33.661421532503944</c:v>
                </c:pt>
                <c:pt idx="11">
                  <c:v>47.604438860024814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97680"/>
        <c:axId val="533196896"/>
      </c:lineChart>
      <c:catAx>
        <c:axId val="53319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3196896"/>
        <c:crosses val="autoZero"/>
        <c:auto val="1"/>
        <c:lblAlgn val="ctr"/>
        <c:lblOffset val="100"/>
        <c:noMultiLvlLbl val="0"/>
      </c:catAx>
      <c:valAx>
        <c:axId val="53319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319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PnET-II'!$W$1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PnET-II'!$W$2:$W$13</c:f>
              <c:numCache>
                <c:formatCode>General</c:formatCode>
                <c:ptCount val="12"/>
                <c:pt idx="0">
                  <c:v>0.99175914291718381</c:v>
                </c:pt>
                <c:pt idx="1">
                  <c:v>10.647132827886741</c:v>
                </c:pt>
                <c:pt idx="2">
                  <c:v>23.291546912530823</c:v>
                </c:pt>
                <c:pt idx="3">
                  <c:v>31.778631347854631</c:v>
                </c:pt>
                <c:pt idx="4">
                  <c:v>35.912200500940614</c:v>
                </c:pt>
                <c:pt idx="5">
                  <c:v>35.599546329279221</c:v>
                </c:pt>
                <c:pt idx="6">
                  <c:v>31.165488901464464</c:v>
                </c:pt>
                <c:pt idx="7">
                  <c:v>24.011860932310015</c:v>
                </c:pt>
                <c:pt idx="8">
                  <c:v>17.872605139954405</c:v>
                </c:pt>
                <c:pt idx="9">
                  <c:v>22.440947688335964</c:v>
                </c:pt>
                <c:pt idx="10">
                  <c:v>31.736292573349875</c:v>
                </c:pt>
                <c:pt idx="11">
                  <c:v>44.881895376671928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PnET-II'!$R$20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PnET-II'!$R$21:$R$32</c:f>
              <c:numCache>
                <c:formatCode>General</c:formatCode>
                <c:ptCount val="12"/>
                <c:pt idx="0">
                  <c:v>0</c:v>
                </c:pt>
                <c:pt idx="1">
                  <c:v>10.152741213681848</c:v>
                </c:pt>
                <c:pt idx="2">
                  <c:v>23.399658454143832</c:v>
                </c:pt>
                <c:pt idx="3">
                  <c:v>31.870864175493892</c:v>
                </c:pt>
                <c:pt idx="4">
                  <c:v>35.139680322199084</c:v>
                </c:pt>
                <c:pt idx="5">
                  <c:v>32.988240347914747</c:v>
                </c:pt>
                <c:pt idx="6">
                  <c:v>25.554557333939695</c:v>
                </c:pt>
                <c:pt idx="7">
                  <c:v>14.070525796956231</c:v>
                </c:pt>
                <c:pt idx="8">
                  <c:v>2.2049047386074161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89448"/>
        <c:axId val="533194152"/>
      </c:lineChart>
      <c:catAx>
        <c:axId val="53318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3194152"/>
        <c:crosses val="autoZero"/>
        <c:auto val="1"/>
        <c:lblAlgn val="ctr"/>
        <c:lblOffset val="100"/>
        <c:noMultiLvlLbl val="0"/>
      </c:catAx>
      <c:valAx>
        <c:axId val="533194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318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PnET-II'!$Z$1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PnET-II'!$Z$2:$Z$13</c:f>
              <c:numCache>
                <c:formatCode>General</c:formatCode>
                <c:ptCount val="12"/>
                <c:pt idx="0">
                  <c:v>0.12286808818273674</c:v>
                </c:pt>
                <c:pt idx="1">
                  <c:v>1.8407855242628399</c:v>
                </c:pt>
                <c:pt idx="2">
                  <c:v>5.5383418094084709</c:v>
                </c:pt>
                <c:pt idx="3">
                  <c:v>10.251491163083575</c:v>
                </c:pt>
                <c:pt idx="4">
                  <c:v>15.516003947429867</c:v>
                </c:pt>
                <c:pt idx="5">
                  <c:v>20.352259364031852</c:v>
                </c:pt>
                <c:pt idx="6">
                  <c:v>23.308836667362556</c:v>
                </c:pt>
                <c:pt idx="7">
                  <c:v>23.242375173493208</c:v>
                </c:pt>
                <c:pt idx="8">
                  <c:v>22.163633521530283</c:v>
                </c:pt>
                <c:pt idx="9">
                  <c:v>35.312235377968406</c:v>
                </c:pt>
                <c:pt idx="10">
                  <c:v>62.795522092282283</c:v>
                </c:pt>
                <c:pt idx="11">
                  <c:v>110.7131259336563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PnET-II'!$Z$20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PnET-II'!$Z$21:$Z$32</c:f>
              <c:numCache>
                <c:formatCode>General</c:formatCode>
                <c:ptCount val="12"/>
                <c:pt idx="0">
                  <c:v>0</c:v>
                </c:pt>
                <c:pt idx="1">
                  <c:v>1.8338720701161906</c:v>
                </c:pt>
                <c:pt idx="2">
                  <c:v>5.7006104028715621</c:v>
                </c:pt>
                <c:pt idx="3">
                  <c:v>10.281244616186708</c:v>
                </c:pt>
                <c:pt idx="4">
                  <c:v>15.182233641638975</c:v>
                </c:pt>
                <c:pt idx="5">
                  <c:v>18.859375827820404</c:v>
                </c:pt>
                <c:pt idx="6">
                  <c:v>19.112390788631682</c:v>
                </c:pt>
                <c:pt idx="7">
                  <c:v>13.619620752555713</c:v>
                </c:pt>
                <c:pt idx="8">
                  <c:v>2.7342796527817743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88272"/>
        <c:axId val="533188664"/>
      </c:lineChart>
      <c:catAx>
        <c:axId val="5331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33188664"/>
        <c:crosses val="autoZero"/>
        <c:auto val="1"/>
        <c:lblAlgn val="ctr"/>
        <c:lblOffset val="100"/>
        <c:noMultiLvlLbl val="0"/>
      </c:catAx>
      <c:valAx>
        <c:axId val="533188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318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PnET-II'!$K$2:$K$13</c:f>
              <c:numCache>
                <c:formatCode>General</c:formatCode>
                <c:ptCount val="12"/>
                <c:pt idx="0">
                  <c:v>0</c:v>
                </c:pt>
                <c:pt idx="1">
                  <c:v>0.25413223140495866</c:v>
                </c:pt>
                <c:pt idx="2">
                  <c:v>0.5950413223140496</c:v>
                </c:pt>
                <c:pt idx="3">
                  <c:v>0.8326446280991735</c:v>
                </c:pt>
                <c:pt idx="4">
                  <c:v>0.96694214876033058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PnET-II'!$J$20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PnET-II'!$J$21:$J$32</c:f>
              <c:numCache>
                <c:formatCode>General</c:formatCode>
                <c:ptCount val="12"/>
                <c:pt idx="0">
                  <c:v>0</c:v>
                </c:pt>
                <c:pt idx="1">
                  <c:v>0.25413223140495866</c:v>
                </c:pt>
                <c:pt idx="2">
                  <c:v>0.5950413223140496</c:v>
                </c:pt>
                <c:pt idx="3">
                  <c:v>0.8326446280991735</c:v>
                </c:pt>
                <c:pt idx="4">
                  <c:v>0.96694214876033058</c:v>
                </c:pt>
                <c:pt idx="5">
                  <c:v>0.99793388429752061</c:v>
                </c:pt>
                <c:pt idx="6">
                  <c:v>0.92561983471074383</c:v>
                </c:pt>
                <c:pt idx="7">
                  <c:v>0.75</c:v>
                </c:pt>
                <c:pt idx="8">
                  <c:v>0.47107438016528924</c:v>
                </c:pt>
                <c:pt idx="9">
                  <c:v>8.8842975206611566E-2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94544"/>
        <c:axId val="533191800"/>
      </c:lineChart>
      <c:catAx>
        <c:axId val="5331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1800"/>
        <c:crosses val="autoZero"/>
        <c:auto val="1"/>
        <c:lblAlgn val="ctr"/>
        <c:lblOffset val="100"/>
        <c:noMultiLvlLbl val="0"/>
      </c:catAx>
      <c:valAx>
        <c:axId val="53319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'Amax A&amp;B worksheet'!$B$2:$B$7</c:f>
              <c:numCache>
                <c:formatCode>General</c:formatCode>
                <c:ptCount val="6"/>
                <c:pt idx="0">
                  <c:v>14</c:v>
                </c:pt>
                <c:pt idx="1">
                  <c:v>64</c:v>
                </c:pt>
                <c:pt idx="2">
                  <c:v>114</c:v>
                </c:pt>
                <c:pt idx="3">
                  <c:v>164</c:v>
                </c:pt>
                <c:pt idx="4">
                  <c:v>214</c:v>
                </c:pt>
                <c:pt idx="5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87488"/>
        <c:axId val="533187880"/>
      </c:lineChart>
      <c:catAx>
        <c:axId val="53318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87880"/>
        <c:crosses val="autoZero"/>
        <c:auto val="1"/>
        <c:lblAlgn val="ctr"/>
        <c:lblOffset val="100"/>
        <c:noMultiLvlLbl val="0"/>
      </c:catAx>
      <c:valAx>
        <c:axId val="5331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0.40289256198347106</c:v>
                </c:pt>
                <c:pt idx="2">
                  <c:v>0.7024793388429752</c:v>
                </c:pt>
                <c:pt idx="3">
                  <c:v>0.89876033057851235</c:v>
                </c:pt>
                <c:pt idx="4">
                  <c:v>0.99173553719008267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DTemp!$J$1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0.40289256198347106</c:v>
                </c:pt>
                <c:pt idx="2">
                  <c:v>0.7024793388429752</c:v>
                </c:pt>
                <c:pt idx="3">
                  <c:v>0.89876033057851235</c:v>
                </c:pt>
                <c:pt idx="4">
                  <c:v>0.99173553719008267</c:v>
                </c:pt>
                <c:pt idx="5">
                  <c:v>0.98140495867768596</c:v>
                </c:pt>
                <c:pt idx="6">
                  <c:v>0.86776859504132231</c:v>
                </c:pt>
                <c:pt idx="7">
                  <c:v>0.65082644628099173</c:v>
                </c:pt>
                <c:pt idx="8">
                  <c:v>0.33057851239669422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90624"/>
        <c:axId val="533189056"/>
      </c:lineChart>
      <c:catAx>
        <c:axId val="5331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89056"/>
        <c:crosses val="autoZero"/>
        <c:auto val="1"/>
        <c:lblAlgn val="ctr"/>
        <c:lblOffset val="100"/>
        <c:noMultiLvlLbl val="0"/>
      </c:catAx>
      <c:valAx>
        <c:axId val="5331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DTemp!$S$1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DTemp!$S$2:$S$13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10.028352085993442</c:v>
                </c:pt>
                <c:pt idx="2">
                  <c:v>16.804753817800119</c:v>
                </c:pt>
                <c:pt idx="3">
                  <c:v>21.21861625275837</c:v>
                </c:pt>
                <c:pt idx="4">
                  <c:v>23.218823121913047</c:v>
                </c:pt>
                <c:pt idx="5">
                  <c:v>23.19307209452063</c:v>
                </c:pt>
                <c:pt idx="6">
                  <c:v>22.495424991010037</c:v>
                </c:pt>
                <c:pt idx="7">
                  <c:v>20.893997510158151</c:v>
                </c:pt>
                <c:pt idx="8">
                  <c:v>17.78506404820763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DTemp!$T$1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0.95407940233607225</c:v>
                </c:pt>
                <c:pt idx="1">
                  <c:v>10.028352085993442</c:v>
                </c:pt>
                <c:pt idx="2">
                  <c:v>16.804753817800119</c:v>
                </c:pt>
                <c:pt idx="3">
                  <c:v>21.21861625275837</c:v>
                </c:pt>
                <c:pt idx="4">
                  <c:v>23.218823121913047</c:v>
                </c:pt>
                <c:pt idx="5">
                  <c:v>22.862155037170293</c:v>
                </c:pt>
                <c:pt idx="6">
                  <c:v>20.530097417810502</c:v>
                </c:pt>
                <c:pt idx="7">
                  <c:v>17.36740702634836</c:v>
                </c:pt>
                <c:pt idx="8">
                  <c:v>16.098260060792189</c:v>
                </c:pt>
                <c:pt idx="9">
                  <c:v>21.588352485831837</c:v>
                </c:pt>
                <c:pt idx="10">
                  <c:v>30.530540874754308</c:v>
                </c:pt>
                <c:pt idx="11">
                  <c:v>43.176704971663675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92584"/>
        <c:axId val="533189840"/>
      </c:lineChart>
      <c:catAx>
        <c:axId val="53319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89840"/>
        <c:crosses val="autoZero"/>
        <c:auto val="1"/>
        <c:lblAlgn val="ctr"/>
        <c:lblOffset val="100"/>
        <c:noMultiLvlLbl val="0"/>
      </c:catAx>
      <c:valAx>
        <c:axId val="533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9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34</xdr:row>
      <xdr:rowOff>168587</xdr:rowOff>
    </xdr:from>
    <xdr:to>
      <xdr:col>23</xdr:col>
      <xdr:colOff>985457</xdr:colOff>
      <xdr:row>48</xdr:row>
      <xdr:rowOff>115655</xdr:rowOff>
    </xdr:to>
    <xdr:graphicFrame macro="">
      <xdr:nvGraphicFramePr>
        <xdr:cNvPr id="2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34</xdr:row>
      <xdr:rowOff>171931</xdr:rowOff>
    </xdr:from>
    <xdr:to>
      <xdr:col>25</xdr:col>
      <xdr:colOff>1303844</xdr:colOff>
      <xdr:row>48</xdr:row>
      <xdr:rowOff>103895</xdr:rowOff>
    </xdr:to>
    <xdr:graphicFrame macro="">
      <xdr:nvGraphicFramePr>
        <xdr:cNvPr id="3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34</xdr:row>
      <xdr:rowOff>167127</xdr:rowOff>
    </xdr:from>
    <xdr:to>
      <xdr:col>31</xdr:col>
      <xdr:colOff>71316</xdr:colOff>
      <xdr:row>48</xdr:row>
      <xdr:rowOff>115654</xdr:rowOff>
    </xdr:to>
    <xdr:graphicFrame macro="">
      <xdr:nvGraphicFramePr>
        <xdr:cNvPr id="4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34</xdr:row>
      <xdr:rowOff>167125</xdr:rowOff>
    </xdr:from>
    <xdr:to>
      <xdr:col>36</xdr:col>
      <xdr:colOff>15747</xdr:colOff>
      <xdr:row>48</xdr:row>
      <xdr:rowOff>115654</xdr:rowOff>
    </xdr:to>
    <xdr:graphicFrame macro="">
      <xdr:nvGraphicFramePr>
        <xdr:cNvPr id="5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34</xdr:row>
      <xdr:rowOff>183023</xdr:rowOff>
    </xdr:from>
    <xdr:to>
      <xdr:col>42</xdr:col>
      <xdr:colOff>10824</xdr:colOff>
      <xdr:row>48</xdr:row>
      <xdr:rowOff>117592</xdr:rowOff>
    </xdr:to>
    <xdr:graphicFrame macro="">
      <xdr:nvGraphicFramePr>
        <xdr:cNvPr id="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34</xdr:row>
      <xdr:rowOff>151432</xdr:rowOff>
    </xdr:from>
    <xdr:to>
      <xdr:col>19</xdr:col>
      <xdr:colOff>400482</xdr:colOff>
      <xdr:row>48</xdr:row>
      <xdr:rowOff>97415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20</xdr:row>
      <xdr:rowOff>166687</xdr:rowOff>
    </xdr:from>
    <xdr:to>
      <xdr:col>19</xdr:col>
      <xdr:colOff>0</xdr:colOff>
      <xdr:row>34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20</xdr:row>
      <xdr:rowOff>176212</xdr:rowOff>
    </xdr:from>
    <xdr:to>
      <xdr:col>6</xdr:col>
      <xdr:colOff>0</xdr:colOff>
      <xdr:row>34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20</xdr:row>
      <xdr:rowOff>166687</xdr:rowOff>
    </xdr:from>
    <xdr:to>
      <xdr:col>12</xdr:col>
      <xdr:colOff>0</xdr:colOff>
      <xdr:row>34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428626</xdr:colOff>
      <xdr:row>18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85725</xdr:colOff>
      <xdr:row>18</xdr:row>
      <xdr:rowOff>85725</xdr:rowOff>
    </xdr:from>
    <xdr:to>
      <xdr:col>29</xdr:col>
      <xdr:colOff>19050</xdr:colOff>
      <xdr:row>32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18</xdr:row>
      <xdr:rowOff>76200</xdr:rowOff>
    </xdr:from>
    <xdr:to>
      <xdr:col>23</xdr:col>
      <xdr:colOff>95250</xdr:colOff>
      <xdr:row>32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16</xdr:col>
      <xdr:colOff>600075</xdr:colOff>
      <xdr:row>32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23812</xdr:rowOff>
    </xdr:from>
    <xdr:to>
      <xdr:col>22</xdr:col>
      <xdr:colOff>361950</xdr:colOff>
      <xdr:row>28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15</xdr:col>
      <xdr:colOff>185737</xdr:colOff>
      <xdr:row>39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71437</xdr:rowOff>
    </xdr:from>
    <xdr:to>
      <xdr:col>12</xdr:col>
      <xdr:colOff>342900</xdr:colOff>
      <xdr:row>22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14</xdr:row>
      <xdr:rowOff>128587</xdr:rowOff>
    </xdr:from>
    <xdr:to>
      <xdr:col>7</xdr:col>
      <xdr:colOff>333374</xdr:colOff>
      <xdr:row>26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14</xdr:row>
      <xdr:rowOff>128587</xdr:rowOff>
    </xdr:from>
    <xdr:to>
      <xdr:col>14</xdr:col>
      <xdr:colOff>542925</xdr:colOff>
      <xdr:row>26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80962</xdr:rowOff>
    </xdr:from>
    <xdr:to>
      <xdr:col>15</xdr:col>
      <xdr:colOff>419100</xdr:colOff>
      <xdr:row>17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90487</xdr:rowOff>
    </xdr:from>
    <xdr:to>
      <xdr:col>11</xdr:col>
      <xdr:colOff>304800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77"/>
  <sheetViews>
    <sheetView zoomScale="88" zoomScaleNormal="88" workbookViewId="0">
      <selection activeCell="AI33" sqref="AI33"/>
    </sheetView>
  </sheetViews>
  <sheetFormatPr defaultColWidth="9.109375" defaultRowHeight="14.4"/>
  <cols>
    <col min="1" max="6" width="9.109375" style="27"/>
    <col min="7" max="8" width="0" style="27" hidden="1" customWidth="1"/>
    <col min="9" max="9" width="9.109375" style="27"/>
    <col min="10" max="10" width="14.44140625" style="27" customWidth="1"/>
    <col min="11" max="11" width="15" style="27" customWidth="1"/>
    <col min="12" max="12" width="15.109375" style="27" customWidth="1"/>
    <col min="13" max="13" width="19.44140625" style="27" customWidth="1"/>
    <col min="14" max="14" width="19.6640625" style="27" customWidth="1"/>
    <col min="15" max="15" width="21.6640625" style="27" customWidth="1"/>
    <col min="16" max="16" width="19.109375" style="27" customWidth="1"/>
    <col min="17" max="17" width="13.44140625" style="27" customWidth="1"/>
    <col min="18" max="18" width="19.109375" style="27" customWidth="1"/>
    <col min="19" max="20" width="13.6640625" style="27" customWidth="1"/>
    <col min="21" max="21" width="21.6640625" style="27" customWidth="1"/>
    <col min="22" max="22" width="15.33203125" style="27" customWidth="1"/>
    <col min="23" max="23" width="19.44140625" style="27" customWidth="1"/>
    <col min="24" max="24" width="21.44140625" style="27" customWidth="1"/>
    <col min="25" max="25" width="23.33203125" style="27" customWidth="1"/>
    <col min="26" max="26" width="20.5546875" style="27" customWidth="1"/>
    <col min="27" max="27" width="7" style="27" customWidth="1"/>
    <col min="28" max="28" width="14.88671875" style="27" customWidth="1"/>
    <col min="29" max="30" width="9.109375" style="27"/>
    <col min="31" max="31" width="13.6640625" style="27" customWidth="1"/>
    <col min="32" max="32" width="9.109375" style="27"/>
    <col min="33" max="33" width="14.109375" style="27" customWidth="1"/>
    <col min="34" max="34" width="10.33203125" style="27" bestFit="1" customWidth="1"/>
    <col min="35" max="35" width="9.109375" style="27"/>
    <col min="36" max="36" width="16.33203125" style="27" customWidth="1"/>
    <col min="37" max="37" width="16.88671875" style="27" customWidth="1"/>
    <col min="38" max="43" width="9.109375" style="27"/>
    <col min="44" max="44" width="11.6640625" style="27" customWidth="1"/>
    <col min="45" max="16384" width="9.109375" style="27"/>
  </cols>
  <sheetData>
    <row r="1" spans="1:57" ht="15" thickBot="1">
      <c r="A1" s="27" t="s">
        <v>58</v>
      </c>
      <c r="B1" s="27" t="s">
        <v>17</v>
      </c>
      <c r="C1" s="27" t="s">
        <v>18</v>
      </c>
      <c r="D1" s="27" t="s">
        <v>19</v>
      </c>
      <c r="E1" s="27" t="s">
        <v>16</v>
      </c>
      <c r="F1" s="27" t="s">
        <v>111</v>
      </c>
      <c r="G1" s="43" t="s">
        <v>104</v>
      </c>
      <c r="H1" s="43" t="s">
        <v>105</v>
      </c>
      <c r="I1" s="43" t="s">
        <v>109</v>
      </c>
      <c r="J1" s="18" t="s">
        <v>59</v>
      </c>
      <c r="K1" s="18" t="s">
        <v>35</v>
      </c>
      <c r="L1" s="18" t="s">
        <v>9</v>
      </c>
      <c r="M1" s="9"/>
      <c r="N1" s="21" t="s">
        <v>60</v>
      </c>
      <c r="O1" s="23" t="s">
        <v>61</v>
      </c>
      <c r="P1" s="6" t="s">
        <v>63</v>
      </c>
      <c r="Q1" s="26" t="s">
        <v>65</v>
      </c>
      <c r="R1" s="22" t="s">
        <v>67</v>
      </c>
      <c r="S1" s="18" t="s">
        <v>12</v>
      </c>
      <c r="T1" s="18"/>
      <c r="U1" s="21" t="s">
        <v>68</v>
      </c>
      <c r="V1" s="22" t="s">
        <v>70</v>
      </c>
      <c r="W1" s="22" t="s">
        <v>72</v>
      </c>
      <c r="X1" s="14" t="s">
        <v>34</v>
      </c>
      <c r="Y1" s="14"/>
      <c r="Z1" s="22" t="s">
        <v>75</v>
      </c>
      <c r="AA1" s="33"/>
      <c r="AB1" s="32" t="s">
        <v>36</v>
      </c>
      <c r="AC1" s="31" t="s">
        <v>85</v>
      </c>
      <c r="AD1" s="31" t="s">
        <v>86</v>
      </c>
      <c r="AE1" s="29" t="s">
        <v>87</v>
      </c>
      <c r="AF1" s="29"/>
      <c r="AG1" s="29"/>
      <c r="AL1" s="37"/>
      <c r="AM1" s="38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>
      <c r="B2" s="27">
        <v>-15</v>
      </c>
      <c r="C2" s="27">
        <v>5</v>
      </c>
      <c r="D2" s="27">
        <f>(Tmin+Tmax)/2</f>
        <v>-5</v>
      </c>
      <c r="E2" s="27">
        <f>(Tave+Tmax)/2</f>
        <v>0</v>
      </c>
      <c r="F2" s="27">
        <f>(Tmin+Tave)/2</f>
        <v>-10</v>
      </c>
      <c r="G2" s="11">
        <f>0.61078 * EXP(17.26939 *Tday / (Tday + 237.3))</f>
        <v>0.61077999999999999</v>
      </c>
      <c r="H2" s="8">
        <f>0.61078 * EXP(17.26939 * Tmin / (Tmin + 237.3))</f>
        <v>0.19046355243449331</v>
      </c>
      <c r="I2" s="8">
        <f>es_PnET_Succession-emean_PnET_Succession</f>
        <v>0.42031644756550668</v>
      </c>
      <c r="J2" s="27">
        <f>MAX(0,(PsnTMax - Tday) * (Tday - PsnTMin) / (((PsnTMax - PsnTMin) / 2)*(PsnTMax - PsnTMin) / 2))</f>
        <v>0</v>
      </c>
      <c r="K2" s="8">
        <f>IF(Tday&gt;PsnTOpt,1,MAX(0,((PsnTMax-Tday)*(Tday-PsnTMin))/(((PsnTMax-PsnTMin)/2)^2)))</f>
        <v>0</v>
      </c>
      <c r="L2" s="8">
        <f>MAX(0,1 - DVPD1 * (VPD_PnET_Succession^DVPD2))</f>
        <v>0.99116670419529562</v>
      </c>
      <c r="M2" s="8"/>
      <c r="N2" s="8">
        <f>dayspan * (Amax * DVPD_pnet_suc * DayLength * MC) / Billion</f>
        <v>2.6204861792196903</v>
      </c>
      <c r="O2" s="24">
        <f>Dtemp_pnet_suc * RefNetPsn_pnet_suc</f>
        <v>0</v>
      </c>
      <c r="P2" s="35">
        <f xml:space="preserve"> Fol / SLWLayer</f>
        <v>0.875</v>
      </c>
      <c r="Q2" s="15" t="e">
        <f xml:space="preserve"> (1 / IMAX) * MIN(NSC, MaintRespFTempResp * biomass)</f>
        <v>#REF!</v>
      </c>
      <c r="R2" s="24">
        <f xml:space="preserve"> fWater* fRad* fAge *FTempPSNRefNetPsn_pnet_suc * Fol</f>
        <v>0</v>
      </c>
      <c r="S2" s="8">
        <f>BaseFolRespFrac*(RespQ10^((Tave-PsnTOpt)/10))</f>
        <v>1.3397168281703668E-2</v>
      </c>
      <c r="T2" s="8"/>
      <c r="U2" s="8">
        <f xml:space="preserve"> FTempRespDay_pnet_suc * dayspan * (DayLength+NightLength) * MC / Billion * Amax</f>
        <v>7.0839938779798842E-2</v>
      </c>
      <c r="V2" s="24">
        <f xml:space="preserve"> fWater* FTempRespDayRefResp_pnet_suc * Fol</f>
        <v>0.99175914291718381</v>
      </c>
      <c r="W2" s="24">
        <f xml:space="preserve"> NetPsn_pnet_suc + FolResp_pnet_suc</f>
        <v>0.99175914291718381</v>
      </c>
      <c r="X2" s="8">
        <f>(WUEconst/VPD_PnET_Succession) * (1 + 1 - Delgs)</f>
        <v>26.905528105428488</v>
      </c>
      <c r="Y2" s="8"/>
      <c r="Z2" s="34">
        <f xml:space="preserve"> GrossPsn_pnet_suc / WUE / DelAmax * MCO2_MC</f>
        <v>0.12286808818273674</v>
      </c>
      <c r="AA2" s="8"/>
      <c r="AB2" s="31" t="s">
        <v>52</v>
      </c>
      <c r="AC2" s="31" t="s">
        <v>92</v>
      </c>
      <c r="AD2" s="29">
        <v>3.6665999999999999</v>
      </c>
      <c r="AE2" s="27" t="s">
        <v>132</v>
      </c>
      <c r="AL2" s="3"/>
      <c r="AM2" s="39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7">
        <v>-10</v>
      </c>
      <c r="C3" s="27">
        <v>10</v>
      </c>
      <c r="D3" s="27">
        <f t="shared" ref="D3:D13" si="0">(B3+C3)/2</f>
        <v>0</v>
      </c>
      <c r="E3" s="27">
        <f t="shared" ref="E3:E13" si="1">(D3+C3)/2</f>
        <v>5</v>
      </c>
      <c r="F3" s="27">
        <f>(B3+D3)/2</f>
        <v>-5</v>
      </c>
      <c r="G3" s="11">
        <f t="shared" ref="G3:G13" si="2">0.61078 * EXP(17.26939 * E3 / (E3 + 237.3))</f>
        <v>0.87227141748882542</v>
      </c>
      <c r="H3" s="8">
        <f t="shared" ref="H3:H13" si="3">0.61078 * EXP(17.26939 * B3 / (B3 + 237.3))</f>
        <v>0.28570929427727804</v>
      </c>
      <c r="I3" s="8">
        <f t="shared" ref="I3:I13" si="4">G3-H3</f>
        <v>0.58656212321154744</v>
      </c>
      <c r="J3" s="27">
        <f t="shared" ref="J3:J13" si="5">MAX(0,(PsnTMax - E3) * (E3 - PsnTMin) / (((PsnTMax - PsnTMin) / 2)*(PsnTMax - PsnTMin) / 2))</f>
        <v>0.25413223140495866</v>
      </c>
      <c r="K3" s="8">
        <f t="shared" ref="K3:K13" si="6">IF(E3&gt;PsnTOpt,1,MAX(0,(PsnTMax - E3) * (E3 - PsnTMin) / (((PsnTMax - PsnTMin) / 2)*(PsnTMax - PsnTMin) / 2)))</f>
        <v>0.25413223140495866</v>
      </c>
      <c r="L3" s="8">
        <f t="shared" ref="L3:L13" si="7">MAX(0,1 - DVPD1 * (I3^DVPD2))</f>
        <v>0.98279724378067812</v>
      </c>
      <c r="M3" s="8"/>
      <c r="N3" s="8">
        <f t="shared" ref="N3:N13" si="8">dayspan * (Amax * L3 * DayLength * MC) / Billion</f>
        <v>2.5983586649971078</v>
      </c>
      <c r="O3" s="24">
        <f>J3 * N3</f>
        <v>0.6603266855261245</v>
      </c>
      <c r="P3" s="8"/>
      <c r="Q3" s="15"/>
      <c r="R3" s="24">
        <f t="shared" ref="R3:R13" si="9" xml:space="preserve"> fWater* fRad* fAge *O3 * Fol</f>
        <v>9.2445735973657435</v>
      </c>
      <c r="S3" s="8">
        <f t="shared" ref="S3:S13" si="10">BaseFolRespFrac*(RespQ10^((D3-PsnTOpt)/10))</f>
        <v>1.8946457081379979E-2</v>
      </c>
      <c r="T3" s="8"/>
      <c r="U3" s="8">
        <f t="shared" ref="U3:U13" si="11" xml:space="preserve"> S3 * dayspan * (DayLength+NightLength) * MC / Billion * Amax</f>
        <v>0.10018280218007129</v>
      </c>
      <c r="V3" s="24">
        <f t="shared" ref="V3:V13" si="12" xml:space="preserve"> fWater* U3 * Fol</f>
        <v>1.4025592305209982</v>
      </c>
      <c r="W3" s="24">
        <f t="shared" ref="W3:W13" si="13" xml:space="preserve"> R3 + V3</f>
        <v>10.647132827886741</v>
      </c>
      <c r="X3" s="8">
        <f t="shared" ref="X3:X13" si="14">(WUEconst/I3) * (1 + 1 - Delgs)</f>
        <v>19.279860641579468</v>
      </c>
      <c r="Y3" s="8"/>
      <c r="Z3" s="34">
        <f t="shared" ref="Z3:Z13" si="15" xml:space="preserve"> W3/ X3 / DelAmax * MCO2_MC</f>
        <v>1.8407855242628399</v>
      </c>
      <c r="AA3" s="8"/>
      <c r="AB3" s="31" t="s">
        <v>47</v>
      </c>
      <c r="AC3" s="31" t="s">
        <v>92</v>
      </c>
      <c r="AD3" s="29">
        <v>12</v>
      </c>
      <c r="AE3" s="27" t="s">
        <v>131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7">
        <v>-5</v>
      </c>
      <c r="C4" s="27">
        <v>15</v>
      </c>
      <c r="D4" s="27">
        <f t="shared" si="0"/>
        <v>5</v>
      </c>
      <c r="E4" s="27">
        <f t="shared" si="1"/>
        <v>10</v>
      </c>
      <c r="F4" s="27">
        <f t="shared" ref="F4:F13" si="16">(B4+D4)/2</f>
        <v>0</v>
      </c>
      <c r="G4" s="11">
        <f t="shared" si="2"/>
        <v>1.2278921229539039</v>
      </c>
      <c r="H4" s="8">
        <f t="shared" si="3"/>
        <v>0.42116823077156701</v>
      </c>
      <c r="I4" s="8">
        <f>G4-H4</f>
        <v>0.80672389218233698</v>
      </c>
      <c r="J4" s="27">
        <f t="shared" si="5"/>
        <v>0.5950413223140496</v>
      </c>
      <c r="K4" s="8">
        <f t="shared" si="6"/>
        <v>0.5950413223140496</v>
      </c>
      <c r="L4" s="8">
        <f>MAX(0,1 - DVPD1 * (I4^DVPD2))</f>
        <v>0.96745982808910902</v>
      </c>
      <c r="M4" s="8"/>
      <c r="N4" s="8">
        <f t="shared" si="8"/>
        <v>2.5578089918951101</v>
      </c>
      <c r="O4" s="24">
        <f t="shared" ref="O4:O13" si="17">J4 * N4</f>
        <v>1.5220020447640326</v>
      </c>
      <c r="P4" s="8"/>
      <c r="Q4" s="15"/>
      <c r="R4" s="24">
        <f t="shared" si="9"/>
        <v>21.308028626696455</v>
      </c>
      <c r="S4" s="8">
        <f t="shared" si="10"/>
        <v>2.679433656340733E-2</v>
      </c>
      <c r="T4" s="8"/>
      <c r="U4" s="8">
        <f t="shared" si="11"/>
        <v>0.14167987755959766</v>
      </c>
      <c r="V4" s="24">
        <f t="shared" si="12"/>
        <v>1.9835182858343672</v>
      </c>
      <c r="W4" s="24">
        <f t="shared" si="13"/>
        <v>23.291546912530823</v>
      </c>
      <c r="X4" s="8">
        <f t="shared" si="14"/>
        <v>14.018223710413622</v>
      </c>
      <c r="Y4" s="8"/>
      <c r="Z4" s="34">
        <f t="shared" si="15"/>
        <v>5.5383418094084709</v>
      </c>
      <c r="AA4" s="8"/>
      <c r="AB4" s="31" t="s">
        <v>93</v>
      </c>
      <c r="AC4" s="31"/>
      <c r="AD4" s="29">
        <v>1000000000</v>
      </c>
      <c r="AL4" s="7"/>
      <c r="AM4" s="7"/>
      <c r="AN4" s="7"/>
      <c r="AO4" s="7"/>
      <c r="AP4" s="7"/>
      <c r="AQ4" s="7"/>
      <c r="AR4" s="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7">
        <v>0</v>
      </c>
      <c r="C5" s="27">
        <v>20</v>
      </c>
      <c r="D5" s="27">
        <f t="shared" si="0"/>
        <v>10</v>
      </c>
      <c r="E5" s="27">
        <f t="shared" si="1"/>
        <v>15</v>
      </c>
      <c r="F5" s="27">
        <f t="shared" si="16"/>
        <v>5</v>
      </c>
      <c r="G5" s="11">
        <f t="shared" si="2"/>
        <v>1.7052285488209411</v>
      </c>
      <c r="H5" s="8">
        <f t="shared" si="3"/>
        <v>0.61077999999999999</v>
      </c>
      <c r="I5" s="8">
        <f t="shared" si="4"/>
        <v>1.094448548820941</v>
      </c>
      <c r="J5" s="27">
        <f t="shared" si="5"/>
        <v>0.8326446280991735</v>
      </c>
      <c r="K5" s="8">
        <f t="shared" si="6"/>
        <v>0.8326446280991735</v>
      </c>
      <c r="L5" s="8">
        <f t="shared" si="7"/>
        <v>0.94010911869918679</v>
      </c>
      <c r="M5" s="8"/>
      <c r="N5" s="8">
        <f t="shared" si="8"/>
        <v>2.4854980923816581</v>
      </c>
      <c r="O5" s="24">
        <f t="shared" si="17"/>
        <v>2.069536634772331</v>
      </c>
      <c r="P5" s="8"/>
      <c r="Q5" s="15"/>
      <c r="R5" s="24">
        <f t="shared" si="9"/>
        <v>28.973512886812635</v>
      </c>
      <c r="S5" s="8">
        <f t="shared" si="10"/>
        <v>3.7892914162759958E-2</v>
      </c>
      <c r="T5" s="8"/>
      <c r="U5" s="8">
        <f t="shared" si="11"/>
        <v>0.20036560436014259</v>
      </c>
      <c r="V5" s="24">
        <f t="shared" si="12"/>
        <v>2.8051184610419964</v>
      </c>
      <c r="W5" s="24">
        <f t="shared" si="13"/>
        <v>31.778631347854631</v>
      </c>
      <c r="X5" s="8">
        <f t="shared" si="14"/>
        <v>10.332907842338232</v>
      </c>
      <c r="Y5" s="8"/>
      <c r="Z5" s="34">
        <f t="shared" si="15"/>
        <v>10.251491163083575</v>
      </c>
      <c r="AA5" s="8"/>
      <c r="AB5" s="32" t="s">
        <v>155</v>
      </c>
      <c r="AC5" s="31"/>
      <c r="AD5" s="31"/>
    </row>
    <row r="6" spans="1:57">
      <c r="B6" s="27">
        <v>5</v>
      </c>
      <c r="C6" s="27">
        <v>25</v>
      </c>
      <c r="D6" s="27">
        <f t="shared" si="0"/>
        <v>15</v>
      </c>
      <c r="E6" s="27">
        <f t="shared" si="1"/>
        <v>20</v>
      </c>
      <c r="F6" s="27">
        <f t="shared" si="16"/>
        <v>10</v>
      </c>
      <c r="G6" s="11">
        <f t="shared" si="2"/>
        <v>2.3380938419374377</v>
      </c>
      <c r="H6" s="8">
        <f t="shared" si="3"/>
        <v>0.87227141748882542</v>
      </c>
      <c r="I6" s="8">
        <f t="shared" si="4"/>
        <v>1.4658224244486124</v>
      </c>
      <c r="J6" s="27">
        <f t="shared" si="5"/>
        <v>0.96694214876033058</v>
      </c>
      <c r="K6" s="8">
        <f t="shared" si="6"/>
        <v>0.96694214876033058</v>
      </c>
      <c r="L6" s="8">
        <f t="shared" si="7"/>
        <v>0.89256823099917959</v>
      </c>
      <c r="M6" s="8"/>
      <c r="N6" s="8">
        <f t="shared" si="8"/>
        <v>2.3598075918448704</v>
      </c>
      <c r="O6" s="24">
        <f t="shared" si="17"/>
        <v>2.2817974235194201</v>
      </c>
      <c r="P6" s="8"/>
      <c r="Q6" s="15"/>
      <c r="R6" s="24">
        <f t="shared" si="9"/>
        <v>31.945163929271882</v>
      </c>
      <c r="S6" s="8">
        <f t="shared" si="10"/>
        <v>5.3588673126814659E-2</v>
      </c>
      <c r="T6" s="8"/>
      <c r="U6" s="8">
        <f t="shared" si="11"/>
        <v>0.28335975511919531</v>
      </c>
      <c r="V6" s="24">
        <f t="shared" si="12"/>
        <v>3.9670365716687344</v>
      </c>
      <c r="W6" s="24">
        <f t="shared" si="13"/>
        <v>35.912200500940614</v>
      </c>
      <c r="X6" s="8">
        <f t="shared" si="14"/>
        <v>7.7150109075467039</v>
      </c>
      <c r="Y6" s="8"/>
      <c r="Z6" s="34">
        <f t="shared" si="15"/>
        <v>15.516003947429867</v>
      </c>
      <c r="AA6" s="8"/>
      <c r="AB6" s="31" t="s">
        <v>11</v>
      </c>
      <c r="AC6" s="31" t="s">
        <v>117</v>
      </c>
      <c r="AD6" s="29">
        <f>AE6*60*60</f>
        <v>43200</v>
      </c>
      <c r="AE6" s="31">
        <v>12</v>
      </c>
      <c r="AF6" s="31" t="s">
        <v>118</v>
      </c>
    </row>
    <row r="7" spans="1:57">
      <c r="B7" s="27">
        <v>10</v>
      </c>
      <c r="C7" s="27">
        <v>30</v>
      </c>
      <c r="D7" s="27">
        <f t="shared" si="0"/>
        <v>20</v>
      </c>
      <c r="E7" s="27">
        <f t="shared" si="1"/>
        <v>25</v>
      </c>
      <c r="F7" s="27">
        <f t="shared" si="16"/>
        <v>15</v>
      </c>
      <c r="G7" s="11">
        <f t="shared" si="2"/>
        <v>3.1674898302368564</v>
      </c>
      <c r="H7" s="8">
        <f t="shared" si="3"/>
        <v>1.2278921229539039</v>
      </c>
      <c r="I7" s="8">
        <f t="shared" si="4"/>
        <v>1.9395977072829524</v>
      </c>
      <c r="J7" s="27">
        <f t="shared" si="5"/>
        <v>0.99793388429752061</v>
      </c>
      <c r="K7" s="8">
        <f t="shared" si="6"/>
        <v>1</v>
      </c>
      <c r="L7" s="8">
        <f t="shared" si="7"/>
        <v>0.81189803669513572</v>
      </c>
      <c r="M7" s="8"/>
      <c r="N7" s="8">
        <f t="shared" si="8"/>
        <v>2.1465285053360676</v>
      </c>
      <c r="O7" s="24">
        <f t="shared" si="17"/>
        <v>2.1420935290853733</v>
      </c>
      <c r="P7" s="8"/>
      <c r="Q7" s="15"/>
      <c r="R7" s="24">
        <f t="shared" si="9"/>
        <v>29.989309407195226</v>
      </c>
      <c r="S7" s="8">
        <f t="shared" si="10"/>
        <v>7.5785828325519916E-2</v>
      </c>
      <c r="T7" s="8"/>
      <c r="U7" s="8">
        <f t="shared" si="11"/>
        <v>0.40073120872028517</v>
      </c>
      <c r="V7" s="24">
        <f t="shared" si="12"/>
        <v>5.6102369220839927</v>
      </c>
      <c r="W7" s="41">
        <f t="shared" si="13"/>
        <v>35.599546329279221</v>
      </c>
      <c r="X7" s="8">
        <f t="shared" si="14"/>
        <v>5.8305059604289591</v>
      </c>
      <c r="Y7" s="8"/>
      <c r="Z7" s="34">
        <f t="shared" si="15"/>
        <v>20.352259364031852</v>
      </c>
      <c r="AA7" s="8"/>
      <c r="AB7" s="10" t="s">
        <v>112</v>
      </c>
      <c r="AC7" s="31" t="s">
        <v>117</v>
      </c>
      <c r="AD7" s="48">
        <f>86400-DayLength</f>
        <v>43200</v>
      </c>
    </row>
    <row r="8" spans="1:57">
      <c r="B8" s="27">
        <v>15</v>
      </c>
      <c r="C8" s="27">
        <v>35</v>
      </c>
      <c r="D8" s="27">
        <f t="shared" si="0"/>
        <v>25</v>
      </c>
      <c r="E8" s="27">
        <f t="shared" si="1"/>
        <v>30</v>
      </c>
      <c r="F8" s="27">
        <f t="shared" si="16"/>
        <v>20</v>
      </c>
      <c r="G8" s="11">
        <f t="shared" si="2"/>
        <v>4.2426356531114431</v>
      </c>
      <c r="H8" s="8">
        <f t="shared" si="3"/>
        <v>1.7052285488209411</v>
      </c>
      <c r="I8" s="8">
        <f t="shared" si="4"/>
        <v>2.537407104290502</v>
      </c>
      <c r="J8" s="27">
        <f t="shared" si="5"/>
        <v>0.92561983471074383</v>
      </c>
      <c r="K8" s="8">
        <f t="shared" si="6"/>
        <v>1</v>
      </c>
      <c r="L8" s="8">
        <f t="shared" si="7"/>
        <v>0.67807825935480448</v>
      </c>
      <c r="M8" s="8"/>
      <c r="N8" s="8">
        <f t="shared" si="8"/>
        <v>1.7927304252126062</v>
      </c>
      <c r="O8" s="24">
        <f t="shared" si="17"/>
        <v>1.6593868398662139</v>
      </c>
      <c r="P8" s="8"/>
      <c r="Q8" s="15"/>
      <c r="R8" s="24">
        <f t="shared" si="9"/>
        <v>23.231415758126996</v>
      </c>
      <c r="S8" s="8">
        <f t="shared" si="10"/>
        <v>0.10717734625362932</v>
      </c>
      <c r="T8" s="8"/>
      <c r="U8" s="8">
        <f t="shared" si="11"/>
        <v>0.56671951023839062</v>
      </c>
      <c r="V8" s="24">
        <f t="shared" si="12"/>
        <v>7.9340731433374687</v>
      </c>
      <c r="W8" s="41">
        <f t="shared" si="13"/>
        <v>31.165488901464464</v>
      </c>
      <c r="X8" s="8">
        <f t="shared" si="14"/>
        <v>4.4568472966066368</v>
      </c>
      <c r="Y8" s="8"/>
      <c r="Z8" s="34">
        <f t="shared" si="15"/>
        <v>23.308836667362556</v>
      </c>
      <c r="AA8" s="8"/>
      <c r="AB8" s="31" t="s">
        <v>46</v>
      </c>
      <c r="AC8" s="31" t="s">
        <v>88</v>
      </c>
      <c r="AD8" s="31">
        <v>30</v>
      </c>
    </row>
    <row r="9" spans="1:57">
      <c r="B9" s="27">
        <v>20</v>
      </c>
      <c r="C9" s="27">
        <v>40</v>
      </c>
      <c r="D9" s="27">
        <f t="shared" si="0"/>
        <v>30</v>
      </c>
      <c r="E9" s="27">
        <f t="shared" si="1"/>
        <v>35</v>
      </c>
      <c r="F9" s="27">
        <f t="shared" si="16"/>
        <v>25</v>
      </c>
      <c r="G9" s="11">
        <f t="shared" si="2"/>
        <v>5.6220563085635584</v>
      </c>
      <c r="H9" s="8">
        <f t="shared" si="3"/>
        <v>2.3380938419374377</v>
      </c>
      <c r="I9" s="8">
        <f t="shared" si="4"/>
        <v>3.2839624666261207</v>
      </c>
      <c r="J9" s="27">
        <f t="shared" si="5"/>
        <v>0.75</v>
      </c>
      <c r="K9" s="8">
        <f t="shared" si="6"/>
        <v>1</v>
      </c>
      <c r="L9" s="8">
        <f t="shared" si="7"/>
        <v>0.46077952588954418</v>
      </c>
      <c r="M9" s="8"/>
      <c r="N9" s="8">
        <f t="shared" si="8"/>
        <v>1.2182273417278124</v>
      </c>
      <c r="O9" s="24">
        <f t="shared" si="17"/>
        <v>0.91367050629585933</v>
      </c>
      <c r="P9" s="8"/>
      <c r="Q9" s="15"/>
      <c r="R9" s="24">
        <f t="shared" si="9"/>
        <v>12.791387088142031</v>
      </c>
      <c r="S9" s="8">
        <f t="shared" si="10"/>
        <v>0.1515716566510398</v>
      </c>
      <c r="T9" s="8"/>
      <c r="U9" s="8">
        <f t="shared" si="11"/>
        <v>0.80146241744057012</v>
      </c>
      <c r="V9" s="24">
        <f t="shared" si="12"/>
        <v>11.220473844167982</v>
      </c>
      <c r="W9" s="41">
        <f t="shared" si="13"/>
        <v>24.011860932310015</v>
      </c>
      <c r="X9" s="8">
        <f t="shared" si="14"/>
        <v>3.4436556775772398</v>
      </c>
      <c r="Y9" s="8"/>
      <c r="Z9" s="34">
        <f t="shared" si="15"/>
        <v>23.242375173493208</v>
      </c>
      <c r="AA9" s="8"/>
      <c r="AB9" s="31" t="s">
        <v>25</v>
      </c>
      <c r="AC9" s="31" t="s">
        <v>89</v>
      </c>
      <c r="AD9" s="31">
        <v>5</v>
      </c>
    </row>
    <row r="10" spans="1:57">
      <c r="B10" s="27">
        <v>25</v>
      </c>
      <c r="C10" s="27">
        <v>45</v>
      </c>
      <c r="D10" s="27">
        <f t="shared" si="0"/>
        <v>35</v>
      </c>
      <c r="E10" s="27">
        <f t="shared" si="1"/>
        <v>40</v>
      </c>
      <c r="F10" s="27">
        <f t="shared" si="16"/>
        <v>30</v>
      </c>
      <c r="G10" s="11">
        <f t="shared" si="2"/>
        <v>7.3747231460360023</v>
      </c>
      <c r="H10" s="8">
        <f t="shared" si="3"/>
        <v>3.1674898302368564</v>
      </c>
      <c r="I10" s="8">
        <f t="shared" si="4"/>
        <v>4.2072333157991455</v>
      </c>
      <c r="J10" s="27">
        <f t="shared" si="5"/>
        <v>0.47107438016528924</v>
      </c>
      <c r="K10" s="8">
        <f t="shared" si="6"/>
        <v>1</v>
      </c>
      <c r="L10" s="8">
        <f t="shared" si="7"/>
        <v>0.11495939132148625</v>
      </c>
      <c r="M10" s="8"/>
      <c r="N10" s="8">
        <f t="shared" si="8"/>
        <v>0.30393423715139817</v>
      </c>
      <c r="O10" s="24">
        <f t="shared" si="17"/>
        <v>0.14317563237710493</v>
      </c>
      <c r="P10" s="8"/>
      <c r="Q10" s="15"/>
      <c r="R10" s="24">
        <f t="shared" si="9"/>
        <v>2.0044588532794689</v>
      </c>
      <c r="S10" s="8">
        <f t="shared" si="10"/>
        <v>0.21435469250725864</v>
      </c>
      <c r="T10" s="8"/>
      <c r="U10" s="8">
        <f t="shared" si="11"/>
        <v>1.1334390204767812</v>
      </c>
      <c r="V10" s="24">
        <f t="shared" si="12"/>
        <v>15.868146286674937</v>
      </c>
      <c r="W10" s="41">
        <f t="shared" si="13"/>
        <v>17.872605139954405</v>
      </c>
      <c r="X10" s="8">
        <f t="shared" si="14"/>
        <v>2.6879507610572184</v>
      </c>
      <c r="Y10" s="8"/>
      <c r="Z10" s="34">
        <f t="shared" si="15"/>
        <v>22.163633521530283</v>
      </c>
      <c r="AA10" s="8"/>
      <c r="AB10" s="31" t="s">
        <v>91</v>
      </c>
      <c r="AC10" s="31" t="s">
        <v>90</v>
      </c>
      <c r="AD10" s="29">
        <f>AE10/IMAX</f>
        <v>14</v>
      </c>
      <c r="AE10" s="31">
        <v>70</v>
      </c>
      <c r="AF10" s="31" t="s">
        <v>119</v>
      </c>
    </row>
    <row r="11" spans="1:57">
      <c r="B11" s="27">
        <v>30</v>
      </c>
      <c r="C11" s="27">
        <v>50</v>
      </c>
      <c r="D11" s="27">
        <f t="shared" si="0"/>
        <v>40</v>
      </c>
      <c r="E11" s="27">
        <f t="shared" si="1"/>
        <v>45</v>
      </c>
      <c r="F11" s="27">
        <f t="shared" si="16"/>
        <v>35</v>
      </c>
      <c r="G11" s="11">
        <f t="shared" si="2"/>
        <v>9.5812372781996284</v>
      </c>
      <c r="H11" s="8">
        <f t="shared" si="3"/>
        <v>4.2426356531114431</v>
      </c>
      <c r="I11" s="8">
        <f t="shared" si="4"/>
        <v>5.3386016250881854</v>
      </c>
      <c r="J11" s="27">
        <f t="shared" si="5"/>
        <v>8.8842975206611566E-2</v>
      </c>
      <c r="K11" s="8">
        <f t="shared" si="6"/>
        <v>1</v>
      </c>
      <c r="L11" s="8">
        <f t="shared" si="7"/>
        <v>0</v>
      </c>
      <c r="M11" s="8"/>
      <c r="N11" s="8">
        <f t="shared" si="8"/>
        <v>0</v>
      </c>
      <c r="O11" s="24">
        <f t="shared" si="17"/>
        <v>0</v>
      </c>
      <c r="P11" s="8"/>
      <c r="Q11" s="15"/>
      <c r="R11" s="24">
        <f t="shared" si="9"/>
        <v>0</v>
      </c>
      <c r="S11" s="8">
        <f t="shared" si="10"/>
        <v>0.30314331330207961</v>
      </c>
      <c r="T11" s="8"/>
      <c r="U11" s="8">
        <f t="shared" si="11"/>
        <v>1.6029248348811402</v>
      </c>
      <c r="V11" s="24">
        <f t="shared" si="12"/>
        <v>22.440947688335964</v>
      </c>
      <c r="W11" s="41">
        <f t="shared" si="13"/>
        <v>22.440947688335964</v>
      </c>
      <c r="X11" s="8">
        <f t="shared" si="14"/>
        <v>2.1183142679167029</v>
      </c>
      <c r="Y11" s="8"/>
      <c r="Z11" s="34">
        <f t="shared" si="15"/>
        <v>35.312235377968406</v>
      </c>
      <c r="AA11" s="8"/>
      <c r="AB11" s="31" t="s">
        <v>5</v>
      </c>
      <c r="AC11" s="31" t="s">
        <v>77</v>
      </c>
      <c r="AD11" s="31">
        <v>170</v>
      </c>
      <c r="AE11" s="27" t="s">
        <v>95</v>
      </c>
    </row>
    <row r="12" spans="1:57">
      <c r="B12" s="27">
        <v>35</v>
      </c>
      <c r="C12" s="27">
        <v>55</v>
      </c>
      <c r="D12" s="27">
        <f t="shared" si="0"/>
        <v>45</v>
      </c>
      <c r="E12" s="27">
        <f t="shared" si="1"/>
        <v>50</v>
      </c>
      <c r="F12" s="27">
        <f t="shared" si="16"/>
        <v>40</v>
      </c>
      <c r="G12" s="11">
        <f t="shared" si="2"/>
        <v>12.335046017492973</v>
      </c>
      <c r="H12" s="8">
        <f t="shared" si="3"/>
        <v>5.6220563085635584</v>
      </c>
      <c r="I12" s="8">
        <f t="shared" si="4"/>
        <v>6.7129897089294142</v>
      </c>
      <c r="J12" s="27">
        <f t="shared" si="5"/>
        <v>0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24">
        <f t="shared" si="17"/>
        <v>0</v>
      </c>
      <c r="P12" s="8"/>
      <c r="Q12" s="15"/>
      <c r="R12" s="24">
        <f t="shared" si="9"/>
        <v>0</v>
      </c>
      <c r="S12" s="8">
        <f t="shared" si="10"/>
        <v>0.42870938501451727</v>
      </c>
      <c r="T12" s="8"/>
      <c r="U12" s="8">
        <f t="shared" si="11"/>
        <v>2.2668780409535625</v>
      </c>
      <c r="V12" s="24">
        <f t="shared" si="12"/>
        <v>31.736292573349875</v>
      </c>
      <c r="W12" s="41">
        <f t="shared" si="13"/>
        <v>31.736292573349875</v>
      </c>
      <c r="X12" s="8">
        <f t="shared" si="14"/>
        <v>1.6846198912095649</v>
      </c>
      <c r="Y12" s="8"/>
      <c r="Z12" s="34">
        <f t="shared" si="15"/>
        <v>62.795522092282283</v>
      </c>
      <c r="AA12" s="8"/>
      <c r="AB12" s="31" t="s">
        <v>94</v>
      </c>
      <c r="AC12" s="31"/>
      <c r="AD12" s="31">
        <v>1</v>
      </c>
      <c r="AE12" s="50" t="s">
        <v>133</v>
      </c>
      <c r="AF12" s="50"/>
      <c r="AG12" s="50"/>
      <c r="AH12" s="50"/>
      <c r="AI12" s="50"/>
    </row>
    <row r="13" spans="1:57" ht="15" thickBot="1">
      <c r="B13" s="27">
        <v>40</v>
      </c>
      <c r="C13" s="27">
        <v>60</v>
      </c>
      <c r="D13" s="27">
        <f t="shared" si="0"/>
        <v>50</v>
      </c>
      <c r="E13" s="27">
        <f t="shared" si="1"/>
        <v>55</v>
      </c>
      <c r="F13" s="27">
        <f t="shared" si="16"/>
        <v>45</v>
      </c>
      <c r="G13" s="12">
        <f t="shared" si="2"/>
        <v>15.743681776119971</v>
      </c>
      <c r="H13" s="13">
        <f t="shared" si="3"/>
        <v>7.3747231460360023</v>
      </c>
      <c r="I13" s="13">
        <f t="shared" si="4"/>
        <v>8.3689586300839682</v>
      </c>
      <c r="J13" s="27">
        <f t="shared" si="5"/>
        <v>0</v>
      </c>
      <c r="K13" s="8">
        <f t="shared" si="6"/>
        <v>1</v>
      </c>
      <c r="L13" s="8">
        <f t="shared" si="7"/>
        <v>0</v>
      </c>
      <c r="M13" s="13"/>
      <c r="N13" s="8">
        <f t="shared" si="8"/>
        <v>0</v>
      </c>
      <c r="O13" s="24">
        <f t="shared" si="17"/>
        <v>0</v>
      </c>
      <c r="P13" s="13"/>
      <c r="Q13" s="16"/>
      <c r="R13" s="24">
        <f t="shared" si="9"/>
        <v>0</v>
      </c>
      <c r="S13" s="8">
        <f t="shared" si="10"/>
        <v>0.60628662660415922</v>
      </c>
      <c r="T13" s="13"/>
      <c r="U13" s="8">
        <f t="shared" si="11"/>
        <v>3.2058496697622805</v>
      </c>
      <c r="V13" s="24">
        <f t="shared" si="12"/>
        <v>44.881895376671928</v>
      </c>
      <c r="W13" s="42">
        <f t="shared" si="13"/>
        <v>44.881895376671928</v>
      </c>
      <c r="X13" s="8">
        <f t="shared" si="14"/>
        <v>1.3512835339507625</v>
      </c>
      <c r="Y13" s="13"/>
      <c r="Z13" s="34">
        <f t="shared" si="15"/>
        <v>110.7131259336563</v>
      </c>
      <c r="AA13" s="8"/>
      <c r="AB13" s="31" t="s">
        <v>96</v>
      </c>
      <c r="AC13" s="31"/>
      <c r="AD13" s="31">
        <v>1</v>
      </c>
      <c r="AE13" s="50" t="s">
        <v>134</v>
      </c>
      <c r="AF13" s="50"/>
      <c r="AG13" s="50"/>
      <c r="AH13" s="50"/>
      <c r="AI13" s="50"/>
    </row>
    <row r="14" spans="1:57">
      <c r="A14" s="56" t="s">
        <v>184</v>
      </c>
      <c r="B14" s="49" t="s">
        <v>124</v>
      </c>
      <c r="C14" s="49" t="s">
        <v>124</v>
      </c>
      <c r="D14" s="49" t="s">
        <v>124</v>
      </c>
      <c r="E14" s="49" t="s">
        <v>124</v>
      </c>
      <c r="F14" s="49" t="s">
        <v>124</v>
      </c>
      <c r="G14" s="49" t="s">
        <v>124</v>
      </c>
      <c r="H14" s="49" t="s">
        <v>125</v>
      </c>
      <c r="I14" s="49" t="s">
        <v>185</v>
      </c>
      <c r="J14" s="27" t="s">
        <v>76</v>
      </c>
      <c r="K14" s="27" t="s">
        <v>79</v>
      </c>
      <c r="L14" s="27" t="s">
        <v>76</v>
      </c>
      <c r="N14" s="28" t="s">
        <v>80</v>
      </c>
      <c r="O14" s="31" t="s">
        <v>84</v>
      </c>
      <c r="P14" s="28" t="s">
        <v>122</v>
      </c>
      <c r="Q14" s="30" t="s">
        <v>81</v>
      </c>
      <c r="R14" s="31" t="s">
        <v>82</v>
      </c>
      <c r="S14" s="27" t="s">
        <v>120</v>
      </c>
      <c r="U14" s="27" t="s">
        <v>83</v>
      </c>
      <c r="V14" s="31" t="s">
        <v>82</v>
      </c>
      <c r="W14" s="31" t="s">
        <v>82</v>
      </c>
      <c r="X14" s="27" t="s">
        <v>121</v>
      </c>
      <c r="Z14" s="31" t="s">
        <v>126</v>
      </c>
      <c r="AB14" s="31" t="s">
        <v>97</v>
      </c>
      <c r="AC14" s="31"/>
      <c r="AD14" s="31">
        <v>1</v>
      </c>
    </row>
    <row r="15" spans="1:57">
      <c r="AB15" s="31" t="s">
        <v>99</v>
      </c>
      <c r="AC15" s="31"/>
      <c r="AD15" s="31">
        <v>10.9</v>
      </c>
    </row>
    <row r="16" spans="1:57">
      <c r="AB16" s="31" t="s">
        <v>40</v>
      </c>
      <c r="AC16" s="31"/>
      <c r="AD16" s="29">
        <f>1+(((1.22*(((AD26*0.68)-68)/((AD26*0.68)+136)))-0.55455)/0.55455)</f>
        <v>1.0999909836804616</v>
      </c>
    </row>
    <row r="17" spans="1:49">
      <c r="AB17" s="31" t="s">
        <v>101</v>
      </c>
      <c r="AC17" s="31" t="s">
        <v>98</v>
      </c>
      <c r="AD17" s="31">
        <v>2</v>
      </c>
    </row>
    <row r="18" spans="1:49">
      <c r="AB18" s="31" t="s">
        <v>2</v>
      </c>
      <c r="AC18" s="31" t="s">
        <v>98</v>
      </c>
      <c r="AD18" s="31">
        <v>24</v>
      </c>
      <c r="AE18" s="2" t="s">
        <v>127</v>
      </c>
    </row>
    <row r="19" spans="1:49" ht="15" thickBot="1">
      <c r="G19" s="27" t="s">
        <v>106</v>
      </c>
      <c r="H19" s="27" t="s">
        <v>106</v>
      </c>
      <c r="I19" s="27" t="s">
        <v>106</v>
      </c>
      <c r="J19" s="27" t="s">
        <v>54</v>
      </c>
      <c r="L19" s="8" t="s">
        <v>54</v>
      </c>
      <c r="M19" s="8" t="s">
        <v>54</v>
      </c>
      <c r="N19" s="8" t="s">
        <v>54</v>
      </c>
      <c r="O19" s="8" t="s">
        <v>54</v>
      </c>
      <c r="AB19" s="31" t="s">
        <v>3</v>
      </c>
      <c r="AC19" s="31" t="s">
        <v>98</v>
      </c>
      <c r="AD19" s="29">
        <f>PsnTOpt+(PsnTOpt-PsnTMin)</f>
        <v>46</v>
      </c>
    </row>
    <row r="20" spans="1:49" ht="15" thickBot="1">
      <c r="A20" s="27" t="s">
        <v>55</v>
      </c>
      <c r="G20" s="9" t="s">
        <v>107</v>
      </c>
      <c r="H20" s="9" t="s">
        <v>108</v>
      </c>
      <c r="I20" s="9" t="s">
        <v>110</v>
      </c>
      <c r="J20" s="18" t="s">
        <v>59</v>
      </c>
      <c r="K20" s="19"/>
      <c r="L20" s="18" t="s">
        <v>9</v>
      </c>
      <c r="M20" s="20" t="s">
        <v>56</v>
      </c>
      <c r="N20" s="20" t="s">
        <v>56</v>
      </c>
      <c r="O20" s="22" t="s">
        <v>56</v>
      </c>
      <c r="P20" s="6" t="s">
        <v>62</v>
      </c>
      <c r="Q20" s="26" t="s">
        <v>64</v>
      </c>
      <c r="R20" s="23" t="s">
        <v>66</v>
      </c>
      <c r="S20" s="40" t="s">
        <v>57</v>
      </c>
      <c r="T20" s="47" t="s">
        <v>113</v>
      </c>
      <c r="U20" s="6" t="s">
        <v>100</v>
      </c>
      <c r="V20" s="22" t="s">
        <v>69</v>
      </c>
      <c r="W20" s="22" t="s">
        <v>71</v>
      </c>
      <c r="X20" s="14" t="s">
        <v>123</v>
      </c>
      <c r="Y20" s="6" t="s">
        <v>73</v>
      </c>
      <c r="Z20" s="40" t="s">
        <v>74</v>
      </c>
      <c r="AA20" s="8"/>
      <c r="AB20" s="31" t="s">
        <v>30</v>
      </c>
      <c r="AC20" s="31"/>
      <c r="AD20" s="10">
        <v>0.05</v>
      </c>
      <c r="AQ20" s="8"/>
      <c r="AR20" s="8"/>
      <c r="AS20" s="8"/>
      <c r="AT20" s="8"/>
      <c r="AU20" s="8"/>
      <c r="AV20" s="8"/>
      <c r="AW20" s="8"/>
    </row>
    <row r="21" spans="1:49" ht="15" thickBot="1">
      <c r="G21" s="11">
        <f>IF(Tday &lt;0,0.61078 * EXP(21.87456 * Tday / (Tday + 265.5)),0.61078 * EXP(17.26939 * Tday / (Tday + 237.3)))</f>
        <v>0.61077999999999999</v>
      </c>
      <c r="H21" s="8">
        <f>IF(Tmin &lt; 0,0.61078 * EXP(21.87456 * Tmin / (Tmin + 265.5)), 0.61078 * EXP(17.26939 * Tmin / (Tmin + 237.3)))</f>
        <v>0.16482477446204352</v>
      </c>
      <c r="I21" s="8">
        <f>es_PnET_II - emean_PnET_II</f>
        <v>0.44595522553795647</v>
      </c>
      <c r="J21" s="27">
        <f>MAX(0,(PsnTMax - Tday) * (Tday - PsnTMin) / (((PsnTMax - PsnTMin) / 2)*(PsnTMax - PsnTMin) / 2))</f>
        <v>0</v>
      </c>
      <c r="K21" s="35"/>
      <c r="L21" s="35">
        <f>MAX(0,1 - DVPD1 * (VPD_PnET_II^DVPD2))</f>
        <v>0.99005619684076951</v>
      </c>
      <c r="M21" s="8">
        <f t="shared" ref="M21:M32" si="18">(Amax*AMaxFrac) + BaseFolResp_pnet_ii</f>
        <v>187</v>
      </c>
      <c r="N21" s="44">
        <f>(GrossAmax_temp1_pnet_ii * DVPD_pnet_ii * Dtemp_pnet_ii * DayLength * MC) /Billion</f>
        <v>0</v>
      </c>
      <c r="O21" s="45">
        <f>GrossAmax_temp2_pnet_ii * fRad*dayspan</f>
        <v>0</v>
      </c>
      <c r="P21" s="35">
        <f xml:space="preserve"> Fol / SLWLayer</f>
        <v>0.875</v>
      </c>
      <c r="Q21" s="46" t="e">
        <f>CanopyGrossPsnActMo * WoodMRespA</f>
        <v>#NAME?</v>
      </c>
      <c r="R21" s="45">
        <f>LayerGrossPsnRate_pnet_ii*(Fol)</f>
        <v>0</v>
      </c>
      <c r="S21" s="35">
        <f>(BaseFolResp_pnet_ii*(RespQ10^((Tday-PsnTOpt)/10))*DayLength*MC)/Billion</f>
        <v>1.6697133696678547E-3</v>
      </c>
      <c r="T21" s="35">
        <f>(BaseFolResp_pnet_ii*(RespQ10^((Tnight-PsnTOpt)/10))*NightLength*MC)/Billion</f>
        <v>8.3485668483392755E-4</v>
      </c>
      <c r="U21" s="35">
        <f>BaseFolRespFrac * Amax</f>
        <v>17</v>
      </c>
      <c r="V21" s="45">
        <f>(DayResp_pnet_ii + NightResp)* dayspan * Fol</f>
        <v>1.0519194228907485</v>
      </c>
      <c r="W21" s="45">
        <f>GrossAmax_pnet_ii * fRad*fWater</f>
        <v>0</v>
      </c>
      <c r="X21" s="8">
        <f>(WUEconst/VPD_PnET_Succession) * (1 + 1 - Delgs)</f>
        <v>26.905528105428488</v>
      </c>
      <c r="Y21" s="35">
        <f>LayerGrossPsn_pnet_ii - LayerResp_pnet_ii</f>
        <v>-1.0519194228907485</v>
      </c>
      <c r="Z21" s="34">
        <f>(LayerGrossPsn_pnet_ii/ DelAmax /X21)*MCO2_MC</f>
        <v>0</v>
      </c>
      <c r="AA21" s="8"/>
      <c r="AB21" s="31" t="s">
        <v>31</v>
      </c>
      <c r="AC21" s="31"/>
      <c r="AD21" s="10">
        <v>2</v>
      </c>
      <c r="AQ21" s="8"/>
      <c r="AR21" s="8"/>
      <c r="AS21" s="8"/>
      <c r="AT21" s="8"/>
      <c r="AU21" s="8"/>
      <c r="AV21" s="8"/>
      <c r="AW21" s="8"/>
    </row>
    <row r="22" spans="1:49" ht="15" thickBot="1">
      <c r="G22" s="11">
        <f>IF(E3 &lt;0,0.61078 * EXP(21.87456 * E3 / (E3 + 265.5)),0.61078 * EXP(17.26939 * E3 / (E3 + 237.3)))</f>
        <v>0.87227141748882542</v>
      </c>
      <c r="H22" s="8">
        <f>IF(B3 &lt; 0,0.61078 * EXP(21.87456 * B3 / (B3 + 265.5)), 0.61078 * EXP(17.26939 * B3 / (B3 + 237.3)))</f>
        <v>0.25945665773474508</v>
      </c>
      <c r="I22" s="8">
        <f t="shared" ref="I22:I32" si="19">G22 - H22</f>
        <v>0.61281475975408028</v>
      </c>
      <c r="J22" s="27">
        <f t="shared" ref="J22:J32" si="20">MAX(0,(PsnTMax - E3) * (E3 - PsnTMin) / (((PsnTMax - PsnTMin) / 2)*(PsnTMax - PsnTMin) / 2))</f>
        <v>0.25413223140495866</v>
      </c>
      <c r="K22" s="8"/>
      <c r="L22" s="8">
        <f t="shared" ref="L22:L32" si="21">MAX(0,1 - DVPD1 * (I22^DVPD2))</f>
        <v>0.98122290351137742</v>
      </c>
      <c r="M22" s="8">
        <f t="shared" si="18"/>
        <v>187</v>
      </c>
      <c r="N22" s="7">
        <f t="shared" ref="N22:N32" si="22">(M22 * L22 * J22 * DayLength * MC) /Billion</f>
        <v>2.4173193365909163E-2</v>
      </c>
      <c r="O22" s="24">
        <f t="shared" ref="O22:O32" si="23">N22 * fRad * dayspan</f>
        <v>0.72519580097727487</v>
      </c>
      <c r="P22" s="8"/>
      <c r="Q22" s="15"/>
      <c r="R22" s="45">
        <f t="shared" ref="R22:R32" si="24">W22*(Fol)</f>
        <v>10.152741213681848</v>
      </c>
      <c r="S22" s="35">
        <f t="shared" ref="S22:S32" si="25">(BaseFolResp_pnet_ii*(RespQ10^((E3-PsnTOpt)/10))*DayLength*MC)/Billion</f>
        <v>2.3613312926599609E-3</v>
      </c>
      <c r="T22" s="35">
        <f t="shared" ref="T22:T32" si="26">(BaseFolResp_pnet_ii*(RespQ10^((F3-PsnTOpt)/10))*NightLength*MC)/Billion</f>
        <v>1.1806656463299809E-3</v>
      </c>
      <c r="U22" s="8"/>
      <c r="V22" s="24">
        <f t="shared" ref="V22:V32" si="27">(S22 + T22) * dayspan*Fol</f>
        <v>1.4876387143757757</v>
      </c>
      <c r="W22" s="45">
        <f t="shared" ref="W22:W32" si="28">O22 * fRad*fWater</f>
        <v>0.72519580097727487</v>
      </c>
      <c r="X22" s="8">
        <f t="shared" ref="X22:X32" si="29">(WUEconst/I22) * (1 + 1 - Delgs)</f>
        <v>18.453922352793494</v>
      </c>
      <c r="Y22" s="8">
        <f>R22 - V22</f>
        <v>8.665102499306073</v>
      </c>
      <c r="Z22" s="34">
        <f t="shared" ref="Z22:Z32" si="30">(R22/DelAmax/X22)*MCO2_MC</f>
        <v>1.8338720701161906</v>
      </c>
      <c r="AA22" s="8"/>
      <c r="AB22" s="31" t="s">
        <v>102</v>
      </c>
      <c r="AC22" s="31"/>
      <c r="AD22" s="31">
        <v>2</v>
      </c>
      <c r="AQ22" s="8"/>
      <c r="AR22" s="8"/>
      <c r="AS22" s="8"/>
      <c r="AT22" s="8"/>
      <c r="AU22" s="8"/>
      <c r="AV22" s="8"/>
      <c r="AW22" s="8"/>
    </row>
    <row r="23" spans="1:49" ht="15" thickBot="1">
      <c r="G23" s="11">
        <f t="shared" ref="G23:G32" si="31">IF(E4 &lt;0,0.61078 * EXP(21.87456 * E4 / (E4 + 265.5)),0.61078 * EXP(17.26939 * E4 / (E4 + 237.3)))</f>
        <v>1.2278921229539039</v>
      </c>
      <c r="H23" s="8">
        <f t="shared" ref="H23:H32" si="32">IF(B4 &lt; 0,0.61078 * EXP(21.87456 * B4 / (B4 + 265.5)), 0.61078 * EXP(17.26939 * B4 / (B4 + 237.3)))</f>
        <v>0.40136836884191091</v>
      </c>
      <c r="I23" s="8">
        <f t="shared" si="19"/>
        <v>0.82652375411199297</v>
      </c>
      <c r="J23" s="27">
        <f t="shared" si="20"/>
        <v>0.5950413223140496</v>
      </c>
      <c r="K23" s="8"/>
      <c r="L23" s="8">
        <f t="shared" si="21"/>
        <v>0.96584292419443085</v>
      </c>
      <c r="M23" s="8">
        <f t="shared" si="18"/>
        <v>187</v>
      </c>
      <c r="N23" s="7">
        <f t="shared" si="22"/>
        <v>5.5713472509866267E-2</v>
      </c>
      <c r="O23" s="24">
        <f t="shared" si="23"/>
        <v>1.6714041752959881</v>
      </c>
      <c r="P23" s="8"/>
      <c r="Q23" s="15"/>
      <c r="R23" s="45">
        <f t="shared" si="24"/>
        <v>23.399658454143832</v>
      </c>
      <c r="S23" s="35">
        <f t="shared" si="25"/>
        <v>3.3394267393357093E-3</v>
      </c>
      <c r="T23" s="35">
        <f t="shared" si="26"/>
        <v>1.6697133696678547E-3</v>
      </c>
      <c r="U23" s="8"/>
      <c r="V23" s="24">
        <f t="shared" si="27"/>
        <v>2.1038388457814965</v>
      </c>
      <c r="W23" s="45">
        <f t="shared" si="28"/>
        <v>1.6714041752959881</v>
      </c>
      <c r="X23" s="8">
        <f t="shared" si="29"/>
        <v>13.682408928824644</v>
      </c>
      <c r="Y23" s="8">
        <f t="shared" ref="Y23:Y32" si="33">R23 - V23</f>
        <v>21.295819608362336</v>
      </c>
      <c r="Z23" s="34">
        <f t="shared" si="30"/>
        <v>5.7006104028715621</v>
      </c>
      <c r="AA23" s="8"/>
      <c r="AB23" s="31" t="s">
        <v>103</v>
      </c>
      <c r="AC23" s="31"/>
      <c r="AD23" s="31">
        <v>0.1</v>
      </c>
      <c r="AE23" s="36"/>
      <c r="AQ23" s="8"/>
      <c r="AR23" s="8"/>
      <c r="AS23" s="8"/>
      <c r="AT23" s="8"/>
      <c r="AU23" s="8"/>
      <c r="AV23" s="8"/>
      <c r="AW23" s="8"/>
    </row>
    <row r="24" spans="1:49" ht="15" thickBot="1">
      <c r="G24" s="11">
        <f t="shared" si="31"/>
        <v>1.7052285488209411</v>
      </c>
      <c r="H24" s="8">
        <f t="shared" si="32"/>
        <v>0.61077999999999999</v>
      </c>
      <c r="I24" s="8">
        <f t="shared" si="19"/>
        <v>1.094448548820941</v>
      </c>
      <c r="J24" s="27">
        <f t="shared" si="20"/>
        <v>0.8326446280991735</v>
      </c>
      <c r="K24" s="8"/>
      <c r="L24" s="8">
        <f t="shared" si="21"/>
        <v>0.94010911869918679</v>
      </c>
      <c r="M24" s="8">
        <f t="shared" si="18"/>
        <v>187</v>
      </c>
      <c r="N24" s="7">
        <f t="shared" si="22"/>
        <v>7.5883009941652119E-2</v>
      </c>
      <c r="O24" s="24">
        <f t="shared" si="23"/>
        <v>2.2764902982495636</v>
      </c>
      <c r="P24" s="8"/>
      <c r="Q24" s="15"/>
      <c r="R24" s="45">
        <f t="shared" si="24"/>
        <v>31.870864175493892</v>
      </c>
      <c r="S24" s="35">
        <f t="shared" si="25"/>
        <v>4.7226625853199217E-3</v>
      </c>
      <c r="T24" s="35">
        <f t="shared" si="26"/>
        <v>2.3613312926599609E-3</v>
      </c>
      <c r="U24" s="8"/>
      <c r="V24" s="24">
        <f t="shared" si="27"/>
        <v>2.9752774287515509</v>
      </c>
      <c r="W24" s="45">
        <f t="shared" si="28"/>
        <v>2.2764902982495636</v>
      </c>
      <c r="X24" s="8">
        <f t="shared" si="29"/>
        <v>10.332907842338232</v>
      </c>
      <c r="Y24" s="8">
        <f t="shared" si="33"/>
        <v>28.895586746742342</v>
      </c>
      <c r="Z24" s="34">
        <f t="shared" si="30"/>
        <v>10.281244616186708</v>
      </c>
      <c r="AA24" s="8"/>
      <c r="AB24" s="24" t="s">
        <v>41</v>
      </c>
      <c r="AC24" s="31"/>
      <c r="AD24" s="29">
        <f xml:space="preserve"> DelAmax / ((AD26 - AD26*0.68) / (350 - 238))</f>
        <v>0.96249211072040386</v>
      </c>
      <c r="AE24" s="36"/>
      <c r="AF24" s="8"/>
      <c r="AG24" s="8"/>
      <c r="AQ24" s="8"/>
      <c r="AR24" s="8"/>
      <c r="AS24" s="8"/>
      <c r="AT24" s="8"/>
      <c r="AU24" s="8"/>
      <c r="AV24" s="8"/>
      <c r="AW24" s="8"/>
    </row>
    <row r="25" spans="1:49" ht="15" thickBot="1">
      <c r="G25" s="11">
        <f t="shared" si="31"/>
        <v>2.3380938419374377</v>
      </c>
      <c r="H25" s="8">
        <f t="shared" si="32"/>
        <v>0.87227141748882542</v>
      </c>
      <c r="I25" s="8">
        <f t="shared" si="19"/>
        <v>1.4658224244486124</v>
      </c>
      <c r="J25" s="27">
        <f t="shared" si="20"/>
        <v>0.96694214876033058</v>
      </c>
      <c r="K25" s="8"/>
      <c r="L25" s="8">
        <f t="shared" si="21"/>
        <v>0.89256823099917959</v>
      </c>
      <c r="M25" s="8">
        <f t="shared" si="18"/>
        <v>187</v>
      </c>
      <c r="N25" s="7">
        <f t="shared" si="22"/>
        <v>8.3665905529045431E-2</v>
      </c>
      <c r="O25" s="24">
        <f t="shared" si="23"/>
        <v>2.509977165871363</v>
      </c>
      <c r="P25" s="8"/>
      <c r="Q25" s="15"/>
      <c r="R25" s="45">
        <f t="shared" si="24"/>
        <v>35.139680322199084</v>
      </c>
      <c r="S25" s="35">
        <f t="shared" si="25"/>
        <v>6.6788534786714187E-3</v>
      </c>
      <c r="T25" s="35">
        <f t="shared" si="26"/>
        <v>3.3394267393357093E-3</v>
      </c>
      <c r="U25" s="8"/>
      <c r="V25" s="24">
        <f t="shared" si="27"/>
        <v>4.207677691562993</v>
      </c>
      <c r="W25" s="45">
        <f t="shared" si="28"/>
        <v>2.509977165871363</v>
      </c>
      <c r="X25" s="8">
        <f t="shared" si="29"/>
        <v>7.7150109075467039</v>
      </c>
      <c r="Y25" s="8">
        <f t="shared" si="33"/>
        <v>30.932002630636092</v>
      </c>
      <c r="Z25" s="34">
        <f t="shared" si="30"/>
        <v>15.182233641638975</v>
      </c>
      <c r="AA25" s="8"/>
      <c r="AB25" s="24" t="s">
        <v>116</v>
      </c>
      <c r="AC25" s="31"/>
      <c r="AD25" s="29">
        <f>AE25/IMAX</f>
        <v>16</v>
      </c>
      <c r="AE25" s="24">
        <v>80</v>
      </c>
      <c r="AF25" s="24" t="s">
        <v>144</v>
      </c>
      <c r="AG25" s="8"/>
      <c r="AQ25" s="8"/>
      <c r="AR25" s="8"/>
      <c r="AS25" s="8"/>
      <c r="AT25" s="8"/>
      <c r="AU25" s="8"/>
      <c r="AV25" s="8"/>
      <c r="AW25" s="8"/>
    </row>
    <row r="26" spans="1:49" ht="15" thickBot="1">
      <c r="G26" s="11">
        <f t="shared" si="31"/>
        <v>3.1674898302368564</v>
      </c>
      <c r="H26" s="8">
        <f t="shared" si="32"/>
        <v>1.2278921229539039</v>
      </c>
      <c r="I26" s="8">
        <f t="shared" si="19"/>
        <v>1.9395977072829524</v>
      </c>
      <c r="J26" s="27">
        <f t="shared" si="20"/>
        <v>0.99793388429752061</v>
      </c>
      <c r="K26" s="8"/>
      <c r="L26" s="8">
        <f t="shared" si="21"/>
        <v>0.81189803669513572</v>
      </c>
      <c r="M26" s="8">
        <f t="shared" si="18"/>
        <v>187</v>
      </c>
      <c r="N26" s="7">
        <f t="shared" si="22"/>
        <v>7.8543429399797027E-2</v>
      </c>
      <c r="O26" s="24">
        <f t="shared" si="23"/>
        <v>2.3563028819939107</v>
      </c>
      <c r="P26" s="8"/>
      <c r="Q26" s="15"/>
      <c r="R26" s="45">
        <f t="shared" si="24"/>
        <v>32.988240347914747</v>
      </c>
      <c r="S26" s="35">
        <f t="shared" si="25"/>
        <v>9.4453251706398435E-3</v>
      </c>
      <c r="T26" s="35">
        <f t="shared" si="26"/>
        <v>4.7226625853199217E-3</v>
      </c>
      <c r="U26" s="8"/>
      <c r="V26" s="24">
        <f t="shared" si="27"/>
        <v>5.9505548575031018</v>
      </c>
      <c r="W26" s="45">
        <f t="shared" si="28"/>
        <v>2.3563028819939107</v>
      </c>
      <c r="X26" s="8">
        <f t="shared" si="29"/>
        <v>5.8305059604289591</v>
      </c>
      <c r="Y26" s="8">
        <f t="shared" si="33"/>
        <v>27.037685490411647</v>
      </c>
      <c r="Z26" s="34">
        <f t="shared" si="30"/>
        <v>18.859375827820404</v>
      </c>
      <c r="AA26" s="8"/>
      <c r="AB26" s="24" t="s">
        <v>142</v>
      </c>
      <c r="AC26" s="31" t="s">
        <v>143</v>
      </c>
      <c r="AD26" s="31">
        <v>400</v>
      </c>
      <c r="AE26" s="50" t="s">
        <v>145</v>
      </c>
      <c r="AF26" s="50"/>
      <c r="AG26" s="8"/>
      <c r="AQ26" s="8"/>
      <c r="AR26" s="8"/>
      <c r="AS26" s="8"/>
      <c r="AT26" s="8"/>
      <c r="AU26" s="8"/>
      <c r="AV26" s="8"/>
      <c r="AW26" s="8"/>
    </row>
    <row r="27" spans="1:49" ht="15" thickBot="1">
      <c r="G27" s="11">
        <f t="shared" si="31"/>
        <v>4.2426356531114431</v>
      </c>
      <c r="H27" s="8">
        <f t="shared" si="32"/>
        <v>1.7052285488209411</v>
      </c>
      <c r="I27" s="8">
        <f t="shared" si="19"/>
        <v>2.537407104290502</v>
      </c>
      <c r="J27" s="27">
        <f t="shared" si="20"/>
        <v>0.92561983471074383</v>
      </c>
      <c r="K27" s="8"/>
      <c r="L27" s="8">
        <f t="shared" si="21"/>
        <v>0.67807825935480448</v>
      </c>
      <c r="M27" s="8">
        <f t="shared" si="18"/>
        <v>187</v>
      </c>
      <c r="N27" s="7">
        <f t="shared" si="22"/>
        <v>6.0844184128427847E-2</v>
      </c>
      <c r="O27" s="24">
        <f t="shared" si="23"/>
        <v>1.8253255238528354</v>
      </c>
      <c r="P27" s="8"/>
      <c r="Q27" s="15"/>
      <c r="R27" s="45">
        <f t="shared" si="24"/>
        <v>25.554557333939695</v>
      </c>
      <c r="S27" s="35">
        <f t="shared" si="25"/>
        <v>1.3357706957342836E-2</v>
      </c>
      <c r="T27" s="35">
        <f t="shared" si="26"/>
        <v>6.6788534786714187E-3</v>
      </c>
      <c r="U27" s="8"/>
      <c r="V27" s="24">
        <f t="shared" si="27"/>
        <v>8.415355383125986</v>
      </c>
      <c r="W27" s="45">
        <f t="shared" si="28"/>
        <v>1.8253255238528354</v>
      </c>
      <c r="X27" s="8">
        <f t="shared" si="29"/>
        <v>4.4568472966066368</v>
      </c>
      <c r="Y27" s="8">
        <f t="shared" si="33"/>
        <v>17.139201950813707</v>
      </c>
      <c r="Z27" s="34">
        <f t="shared" si="30"/>
        <v>19.112390788631682</v>
      </c>
      <c r="AA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" thickBot="1">
      <c r="G28" s="11">
        <f t="shared" si="31"/>
        <v>5.6220563085635584</v>
      </c>
      <c r="H28" s="8">
        <f t="shared" si="32"/>
        <v>2.3380938419374377</v>
      </c>
      <c r="I28" s="8">
        <f t="shared" si="19"/>
        <v>3.2839624666261207</v>
      </c>
      <c r="J28" s="27">
        <f t="shared" si="20"/>
        <v>0.75</v>
      </c>
      <c r="K28" s="8"/>
      <c r="L28" s="8">
        <f t="shared" si="21"/>
        <v>0.46077952588954418</v>
      </c>
      <c r="M28" s="8">
        <f t="shared" si="18"/>
        <v>187</v>
      </c>
      <c r="N28" s="7">
        <f t="shared" si="22"/>
        <v>3.3501251897514836E-2</v>
      </c>
      <c r="O28" s="24">
        <f t="shared" si="23"/>
        <v>1.0050375569254451</v>
      </c>
      <c r="P28" s="8"/>
      <c r="Q28" s="15"/>
      <c r="R28" s="45">
        <f t="shared" si="24"/>
        <v>14.070525796956231</v>
      </c>
      <c r="S28" s="35">
        <f t="shared" si="25"/>
        <v>1.8890650341279687E-2</v>
      </c>
      <c r="T28" s="35">
        <f t="shared" si="26"/>
        <v>9.4453251706398435E-3</v>
      </c>
      <c r="U28" s="8"/>
      <c r="V28" s="24">
        <f t="shared" si="27"/>
        <v>11.901109715006204</v>
      </c>
      <c r="W28" s="45">
        <f t="shared" si="28"/>
        <v>1.0050375569254451</v>
      </c>
      <c r="X28" s="8">
        <f t="shared" si="29"/>
        <v>3.4436556775772398</v>
      </c>
      <c r="Y28" s="8">
        <f t="shared" si="33"/>
        <v>2.1694160819500272</v>
      </c>
      <c r="Z28" s="34">
        <f t="shared" si="30"/>
        <v>13.619620752555713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" thickBot="1">
      <c r="G29" s="11">
        <f t="shared" si="31"/>
        <v>7.3747231460360023</v>
      </c>
      <c r="H29" s="8">
        <f t="shared" si="32"/>
        <v>3.1674898302368564</v>
      </c>
      <c r="I29" s="8">
        <f t="shared" si="19"/>
        <v>4.2072333157991455</v>
      </c>
      <c r="J29" s="27">
        <f t="shared" si="20"/>
        <v>0.47107438016528924</v>
      </c>
      <c r="K29" s="8"/>
      <c r="L29" s="8">
        <f t="shared" si="21"/>
        <v>0.11495939132148625</v>
      </c>
      <c r="M29" s="8">
        <f t="shared" si="18"/>
        <v>187</v>
      </c>
      <c r="N29" s="7">
        <f t="shared" si="22"/>
        <v>5.2497731871605146E-3</v>
      </c>
      <c r="O29" s="24">
        <f t="shared" si="23"/>
        <v>0.15749319561481545</v>
      </c>
      <c r="P29" s="8"/>
      <c r="Q29" s="15"/>
      <c r="R29" s="45">
        <f t="shared" si="24"/>
        <v>2.2049047386074161</v>
      </c>
      <c r="S29" s="35">
        <f t="shared" si="25"/>
        <v>2.6715413914685671E-2</v>
      </c>
      <c r="T29" s="35">
        <f t="shared" si="26"/>
        <v>1.3357706957342836E-2</v>
      </c>
      <c r="U29" s="8"/>
      <c r="V29" s="24">
        <f t="shared" si="27"/>
        <v>16.830710766251972</v>
      </c>
      <c r="W29" s="45">
        <f t="shared" si="28"/>
        <v>0.15749319561481545</v>
      </c>
      <c r="X29" s="8">
        <f t="shared" si="29"/>
        <v>2.6879507610572184</v>
      </c>
      <c r="Y29" s="8">
        <f t="shared" si="33"/>
        <v>-14.625806027644556</v>
      </c>
      <c r="Z29" s="34">
        <f t="shared" si="30"/>
        <v>2.7342796527817743</v>
      </c>
      <c r="AA29" s="8"/>
      <c r="AF29" s="8"/>
      <c r="AG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" thickBot="1">
      <c r="G30" s="11">
        <f t="shared" si="31"/>
        <v>9.5812372781996284</v>
      </c>
      <c r="H30" s="8">
        <f t="shared" si="32"/>
        <v>4.2426356531114431</v>
      </c>
      <c r="I30" s="8">
        <f t="shared" si="19"/>
        <v>5.3386016250881854</v>
      </c>
      <c r="J30" s="27">
        <f t="shared" si="20"/>
        <v>8.8842975206611566E-2</v>
      </c>
      <c r="K30" s="8"/>
      <c r="L30" s="8">
        <f t="shared" si="21"/>
        <v>0</v>
      </c>
      <c r="M30" s="8">
        <f t="shared" si="18"/>
        <v>187</v>
      </c>
      <c r="N30" s="7">
        <f t="shared" si="22"/>
        <v>0</v>
      </c>
      <c r="O30" s="24">
        <f t="shared" si="23"/>
        <v>0</v>
      </c>
      <c r="P30" s="8"/>
      <c r="Q30" s="15"/>
      <c r="R30" s="45">
        <f t="shared" si="24"/>
        <v>0</v>
      </c>
      <c r="S30" s="35">
        <f t="shared" si="25"/>
        <v>3.7781300682559374E-2</v>
      </c>
      <c r="T30" s="35">
        <f t="shared" si="26"/>
        <v>1.8890650341279687E-2</v>
      </c>
      <c r="U30" s="8"/>
      <c r="V30" s="24">
        <f t="shared" si="27"/>
        <v>23.802219430012407</v>
      </c>
      <c r="W30" s="45">
        <f t="shared" si="28"/>
        <v>0</v>
      </c>
      <c r="X30" s="8">
        <f t="shared" si="29"/>
        <v>2.1183142679167029</v>
      </c>
      <c r="Y30" s="8">
        <f t="shared" si="33"/>
        <v>-23.802219430012407</v>
      </c>
      <c r="Z30" s="34">
        <f t="shared" si="30"/>
        <v>0</v>
      </c>
      <c r="AA30" s="8"/>
      <c r="AB30" s="30" t="s">
        <v>114</v>
      </c>
      <c r="AC30" s="30"/>
      <c r="AD30" s="30">
        <v>1</v>
      </c>
      <c r="AE30" s="27" t="s">
        <v>130</v>
      </c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" thickBot="1">
      <c r="G31" s="11">
        <f t="shared" si="31"/>
        <v>12.335046017492973</v>
      </c>
      <c r="H31" s="8">
        <f t="shared" si="32"/>
        <v>5.6220563085635584</v>
      </c>
      <c r="I31" s="8">
        <f t="shared" si="19"/>
        <v>6.7129897089294142</v>
      </c>
      <c r="J31" s="27">
        <f t="shared" si="20"/>
        <v>0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24">
        <f t="shared" si="23"/>
        <v>0</v>
      </c>
      <c r="P31" s="8"/>
      <c r="Q31" s="15"/>
      <c r="R31" s="45">
        <f t="shared" si="24"/>
        <v>0</v>
      </c>
      <c r="S31" s="35">
        <f t="shared" si="25"/>
        <v>5.3430827829371343E-2</v>
      </c>
      <c r="T31" s="35">
        <f t="shared" si="26"/>
        <v>2.6715413914685671E-2</v>
      </c>
      <c r="U31" s="8"/>
      <c r="V31" s="24">
        <f t="shared" si="27"/>
        <v>33.661421532503944</v>
      </c>
      <c r="W31" s="45">
        <f t="shared" si="28"/>
        <v>0</v>
      </c>
      <c r="X31" s="8">
        <f t="shared" si="29"/>
        <v>1.6846198912095649</v>
      </c>
      <c r="Y31" s="8">
        <f t="shared" si="33"/>
        <v>-33.661421532503944</v>
      </c>
      <c r="Z31" s="34">
        <f t="shared" si="30"/>
        <v>0</v>
      </c>
      <c r="AA31" s="8"/>
      <c r="AB31" s="7"/>
      <c r="AC31" s="3"/>
      <c r="AD31" s="3"/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" thickBot="1">
      <c r="G32" s="12">
        <f t="shared" si="31"/>
        <v>15.743681776119971</v>
      </c>
      <c r="H32" s="13">
        <f t="shared" si="32"/>
        <v>7.3747231460360023</v>
      </c>
      <c r="I32" s="13">
        <f t="shared" si="19"/>
        <v>8.3689586300839682</v>
      </c>
      <c r="J32" s="27">
        <f t="shared" si="20"/>
        <v>0</v>
      </c>
      <c r="K32" s="13"/>
      <c r="L32" s="13">
        <f t="shared" si="21"/>
        <v>0</v>
      </c>
      <c r="M32" s="13">
        <f t="shared" si="18"/>
        <v>187</v>
      </c>
      <c r="N32" s="17">
        <f t="shared" si="22"/>
        <v>0</v>
      </c>
      <c r="O32" s="25">
        <f t="shared" si="23"/>
        <v>0</v>
      </c>
      <c r="P32" s="13"/>
      <c r="Q32" s="16"/>
      <c r="R32" s="45">
        <f t="shared" si="24"/>
        <v>0</v>
      </c>
      <c r="S32" s="35">
        <f t="shared" si="25"/>
        <v>7.5562601365118748E-2</v>
      </c>
      <c r="T32" s="35">
        <f t="shared" si="26"/>
        <v>3.7781300682559374E-2</v>
      </c>
      <c r="U32" s="13"/>
      <c r="V32" s="24">
        <f t="shared" si="27"/>
        <v>47.604438860024814</v>
      </c>
      <c r="W32" s="45">
        <f t="shared" si="28"/>
        <v>0</v>
      </c>
      <c r="X32" s="8">
        <f t="shared" si="29"/>
        <v>1.3512835339507625</v>
      </c>
      <c r="Y32" s="13">
        <f t="shared" si="33"/>
        <v>-47.604438860024814</v>
      </c>
      <c r="Z32" s="34">
        <f t="shared" si="30"/>
        <v>0</v>
      </c>
      <c r="AA32" s="8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>
      <c r="A33" s="56" t="s">
        <v>184</v>
      </c>
      <c r="D33" s="49"/>
      <c r="E33" s="49"/>
      <c r="G33" s="49" t="s">
        <v>124</v>
      </c>
      <c r="H33" s="49" t="s">
        <v>124</v>
      </c>
      <c r="I33" s="49" t="s">
        <v>185</v>
      </c>
      <c r="J33" s="27" t="s">
        <v>76</v>
      </c>
      <c r="L33" s="27" t="s">
        <v>76</v>
      </c>
      <c r="M33" s="27" t="s">
        <v>115</v>
      </c>
      <c r="N33" s="27" t="s">
        <v>78</v>
      </c>
      <c r="O33" s="31" t="s">
        <v>84</v>
      </c>
      <c r="P33" s="28" t="s">
        <v>122</v>
      </c>
      <c r="Q33" s="15"/>
      <c r="R33" s="31" t="s">
        <v>82</v>
      </c>
      <c r="S33" s="27" t="s">
        <v>78</v>
      </c>
      <c r="T33" s="27" t="s">
        <v>78</v>
      </c>
      <c r="U33" s="27" t="s">
        <v>77</v>
      </c>
      <c r="V33" s="31" t="s">
        <v>82</v>
      </c>
      <c r="W33" s="31" t="s">
        <v>84</v>
      </c>
      <c r="X33" s="27" t="s">
        <v>121</v>
      </c>
      <c r="Y33" s="31" t="s">
        <v>82</v>
      </c>
      <c r="Z33" s="31" t="s">
        <v>126</v>
      </c>
      <c r="AA33" s="8"/>
      <c r="AF33" s="51" t="s">
        <v>128</v>
      </c>
      <c r="AG33" s="51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AA34" s="4"/>
      <c r="AB34" s="4"/>
      <c r="AC34" s="4"/>
      <c r="AD34" s="4"/>
      <c r="AF34" s="52" t="s">
        <v>129</v>
      </c>
      <c r="AG34" s="52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Y35" s="2" t="s">
        <v>141</v>
      </c>
      <c r="AB35" s="2" t="s">
        <v>186</v>
      </c>
      <c r="AC35" s="2"/>
      <c r="AF35" s="8"/>
      <c r="AG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51" spans="24:48">
      <c r="X51" s="2" t="s">
        <v>146</v>
      </c>
      <c r="Y51" s="2"/>
      <c r="Z51" s="2"/>
    </row>
    <row r="52" spans="24:48">
      <c r="X52" s="53" t="s">
        <v>136</v>
      </c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24:48">
      <c r="X53" s="54" t="s">
        <v>138</v>
      </c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24:48">
      <c r="X54" s="54" t="s">
        <v>139</v>
      </c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24:48">
      <c r="X55" s="54" t="s">
        <v>140</v>
      </c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24:48">
      <c r="X56" s="54" t="s">
        <v>135</v>
      </c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24:48">
      <c r="X57" s="54" t="s">
        <v>137</v>
      </c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24:48"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24:48"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5"/>
      <c r="AK59" s="55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24:48"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5"/>
      <c r="AK60" s="55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24:48"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24:48"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24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24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28" sqref="E28"/>
    </sheetView>
  </sheetViews>
  <sheetFormatPr defaultColWidth="9.109375" defaultRowHeight="14.4"/>
  <cols>
    <col min="1" max="1" width="9.109375" style="27"/>
    <col min="2" max="2" width="12.44140625" style="27" customWidth="1"/>
    <col min="3" max="3" width="11.5546875" style="27" customWidth="1"/>
    <col min="4" max="4" width="9.109375" style="27"/>
    <col min="5" max="5" width="12.33203125" style="27" customWidth="1"/>
    <col min="6" max="16384" width="9.109375" style="27"/>
  </cols>
  <sheetData>
    <row r="1" spans="1:6">
      <c r="A1" s="27" t="s">
        <v>189</v>
      </c>
      <c r="B1" s="27" t="s">
        <v>97</v>
      </c>
    </row>
    <row r="2" spans="1:6">
      <c r="A2" s="27">
        <v>0</v>
      </c>
      <c r="B2" s="27">
        <f>MAX(0,1-(A2/$F$2)^$F$3)</f>
        <v>1</v>
      </c>
      <c r="E2" s="31" t="s">
        <v>190</v>
      </c>
      <c r="F2" s="31">
        <v>300</v>
      </c>
    </row>
    <row r="3" spans="1:6">
      <c r="A3" s="27">
        <v>10</v>
      </c>
      <c r="B3" s="27">
        <f t="shared" ref="B3:B32" si="0">MAX(0,1-(A3/$F$2)^$F$3)</f>
        <v>0.99999995884773663</v>
      </c>
      <c r="E3" s="31" t="s">
        <v>0</v>
      </c>
      <c r="F3" s="31">
        <v>5</v>
      </c>
    </row>
    <row r="4" spans="1:6" ht="15.6">
      <c r="A4" s="27">
        <v>20</v>
      </c>
      <c r="B4" s="27">
        <f t="shared" si="0"/>
        <v>0.99999868312757201</v>
      </c>
      <c r="E4" s="1"/>
    </row>
    <row r="5" spans="1:6">
      <c r="A5" s="27">
        <v>30</v>
      </c>
      <c r="B5" s="27">
        <f t="shared" si="0"/>
        <v>0.99999000000000005</v>
      </c>
    </row>
    <row r="6" spans="1:6">
      <c r="A6" s="27">
        <v>40</v>
      </c>
      <c r="B6" s="27">
        <f t="shared" si="0"/>
        <v>0.99995786008230447</v>
      </c>
    </row>
    <row r="7" spans="1:6">
      <c r="A7" s="27">
        <v>50</v>
      </c>
      <c r="B7" s="27">
        <f t="shared" si="0"/>
        <v>0.99987139917695478</v>
      </c>
    </row>
    <row r="8" spans="1:6">
      <c r="A8" s="27">
        <v>60</v>
      </c>
      <c r="B8" s="27">
        <f t="shared" si="0"/>
        <v>0.99968000000000001</v>
      </c>
    </row>
    <row r="9" spans="1:6">
      <c r="A9" s="27">
        <v>70</v>
      </c>
      <c r="B9" s="27">
        <f t="shared" si="0"/>
        <v>0.99930835390946504</v>
      </c>
    </row>
    <row r="10" spans="1:6">
      <c r="A10" s="27">
        <v>80</v>
      </c>
      <c r="B10" s="27">
        <f t="shared" si="0"/>
        <v>0.9986515226337449</v>
      </c>
    </row>
    <row r="11" spans="1:6">
      <c r="A11" s="27">
        <v>90</v>
      </c>
      <c r="B11" s="27">
        <f t="shared" si="0"/>
        <v>0.99756999999999996</v>
      </c>
    </row>
    <row r="12" spans="1:6">
      <c r="A12" s="27">
        <v>100</v>
      </c>
      <c r="B12" s="27">
        <f t="shared" si="0"/>
        <v>0.99588477366255146</v>
      </c>
    </row>
    <row r="13" spans="1:6">
      <c r="A13" s="27">
        <f>A12+10</f>
        <v>110</v>
      </c>
      <c r="B13" s="27">
        <f t="shared" si="0"/>
        <v>0.99337238683127571</v>
      </c>
    </row>
    <row r="14" spans="1:6">
      <c r="A14" s="27">
        <f t="shared" ref="A14:A32" si="1">A13+10</f>
        <v>120</v>
      </c>
      <c r="B14" s="27">
        <f t="shared" si="0"/>
        <v>0.98975999999999997</v>
      </c>
    </row>
    <row r="15" spans="1:6">
      <c r="A15" s="27">
        <f t="shared" si="1"/>
        <v>130</v>
      </c>
      <c r="B15" s="27">
        <f t="shared" si="0"/>
        <v>0.98472045267489716</v>
      </c>
    </row>
    <row r="16" spans="1:6">
      <c r="A16" s="27">
        <f t="shared" si="1"/>
        <v>140</v>
      </c>
      <c r="B16" s="27">
        <f t="shared" si="0"/>
        <v>0.97786732510288066</v>
      </c>
    </row>
    <row r="17" spans="1:2">
      <c r="A17" s="27">
        <f t="shared" si="1"/>
        <v>150</v>
      </c>
      <c r="B17" s="27">
        <f t="shared" si="0"/>
        <v>0.96875</v>
      </c>
    </row>
    <row r="18" spans="1:2">
      <c r="A18" s="27">
        <f t="shared" si="1"/>
        <v>160</v>
      </c>
      <c r="B18" s="27">
        <f t="shared" si="0"/>
        <v>0.95684872427983536</v>
      </c>
    </row>
    <row r="19" spans="1:2">
      <c r="A19" s="27">
        <f t="shared" si="1"/>
        <v>170</v>
      </c>
      <c r="B19" s="27">
        <f t="shared" si="0"/>
        <v>0.94156967078189302</v>
      </c>
    </row>
    <row r="20" spans="1:2">
      <c r="A20" s="27">
        <f t="shared" si="1"/>
        <v>180</v>
      </c>
      <c r="B20" s="27">
        <f t="shared" si="0"/>
        <v>0.92223999999999995</v>
      </c>
    </row>
    <row r="21" spans="1:2">
      <c r="A21" s="27">
        <f t="shared" si="1"/>
        <v>190</v>
      </c>
      <c r="B21" s="27">
        <f t="shared" si="0"/>
        <v>0.89810292181069962</v>
      </c>
    </row>
    <row r="22" spans="1:2">
      <c r="A22" s="27">
        <f t="shared" si="1"/>
        <v>200</v>
      </c>
      <c r="B22" s="27">
        <f t="shared" si="0"/>
        <v>0.86831275720164613</v>
      </c>
    </row>
    <row r="23" spans="1:2">
      <c r="A23" s="27">
        <f t="shared" si="1"/>
        <v>210</v>
      </c>
      <c r="B23" s="27">
        <f t="shared" si="0"/>
        <v>0.83193000000000006</v>
      </c>
    </row>
    <row r="24" spans="1:2">
      <c r="A24" s="27">
        <f t="shared" si="1"/>
        <v>220</v>
      </c>
      <c r="B24" s="27">
        <f t="shared" si="0"/>
        <v>0.7879163786008232</v>
      </c>
    </row>
    <row r="25" spans="1:2">
      <c r="A25" s="27">
        <f t="shared" si="1"/>
        <v>230</v>
      </c>
      <c r="B25" s="27">
        <f t="shared" si="0"/>
        <v>0.73512991769547309</v>
      </c>
    </row>
    <row r="26" spans="1:2">
      <c r="A26" s="27">
        <f t="shared" si="1"/>
        <v>240</v>
      </c>
      <c r="B26" s="27">
        <f t="shared" si="0"/>
        <v>0.67231999999999981</v>
      </c>
    </row>
    <row r="27" spans="1:2">
      <c r="A27" s="27">
        <f t="shared" si="1"/>
        <v>250</v>
      </c>
      <c r="B27" s="27">
        <f t="shared" si="0"/>
        <v>0.59812242798353898</v>
      </c>
    </row>
    <row r="28" spans="1:2">
      <c r="A28" s="27">
        <f t="shared" si="1"/>
        <v>260</v>
      </c>
      <c r="B28" s="27">
        <f t="shared" si="0"/>
        <v>0.51105448559670774</v>
      </c>
    </row>
    <row r="29" spans="1:2">
      <c r="A29" s="27">
        <f t="shared" si="1"/>
        <v>270</v>
      </c>
      <c r="B29" s="27">
        <f t="shared" si="0"/>
        <v>0.40950999999999982</v>
      </c>
    </row>
    <row r="30" spans="1:2">
      <c r="A30" s="27">
        <f t="shared" si="1"/>
        <v>280</v>
      </c>
      <c r="B30" s="27">
        <f t="shared" si="0"/>
        <v>0.29175440329218094</v>
      </c>
    </row>
    <row r="31" spans="1:2">
      <c r="A31" s="27">
        <f t="shared" si="1"/>
        <v>290</v>
      </c>
      <c r="B31" s="27">
        <f t="shared" si="0"/>
        <v>0.15591979423868318</v>
      </c>
    </row>
    <row r="32" spans="1:2">
      <c r="A32" s="27">
        <f t="shared" si="1"/>
        <v>300</v>
      </c>
      <c r="B32" s="27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"/>
    </sheetView>
  </sheetViews>
  <sheetFormatPr defaultRowHeight="14.4"/>
  <sheetData>
    <row r="1" spans="1:5">
      <c r="A1" t="s">
        <v>8</v>
      </c>
      <c r="B1" t="s">
        <v>5</v>
      </c>
      <c r="D1" t="s">
        <v>187</v>
      </c>
      <c r="E1">
        <v>-86</v>
      </c>
    </row>
    <row r="2" spans="1:5">
      <c r="A2">
        <v>1</v>
      </c>
      <c r="B2">
        <f>A2*$E$2+$E$1</f>
        <v>14</v>
      </c>
      <c r="D2" t="s">
        <v>188</v>
      </c>
      <c r="E2">
        <v>100</v>
      </c>
    </row>
    <row r="3" spans="1:5">
      <c r="A3">
        <v>1.5</v>
      </c>
      <c r="B3" s="27">
        <f t="shared" ref="B3:B7" si="0">A3*$E$2+$E$1</f>
        <v>64</v>
      </c>
    </row>
    <row r="4" spans="1:5">
      <c r="A4">
        <v>2</v>
      </c>
      <c r="B4" s="27">
        <f t="shared" si="0"/>
        <v>114</v>
      </c>
    </row>
    <row r="5" spans="1:5">
      <c r="A5">
        <v>2.5</v>
      </c>
      <c r="B5" s="27">
        <f t="shared" si="0"/>
        <v>164</v>
      </c>
    </row>
    <row r="6" spans="1:5">
      <c r="A6">
        <v>3</v>
      </c>
      <c r="B6" s="27">
        <f t="shared" si="0"/>
        <v>214</v>
      </c>
    </row>
    <row r="7" spans="1:5">
      <c r="A7">
        <v>3.5</v>
      </c>
      <c r="B7" s="27">
        <f t="shared" si="0"/>
        <v>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8"/>
  <sheetViews>
    <sheetView topLeftCell="E1" workbookViewId="0">
      <selection activeCell="P2" sqref="P2:P13"/>
    </sheetView>
  </sheetViews>
  <sheetFormatPr defaultRowHeight="14.4"/>
  <cols>
    <col min="6" max="7" width="0" hidden="1" customWidth="1"/>
    <col min="11" max="11" width="9.109375" style="27"/>
    <col min="14" max="14" width="9.109375" style="27"/>
    <col min="18" max="18" width="12.6640625" bestFit="1" customWidth="1"/>
    <col min="26" max="26" width="11.6640625" customWidth="1"/>
  </cols>
  <sheetData>
    <row r="1" spans="1:29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27</v>
      </c>
      <c r="G1" t="s">
        <v>28</v>
      </c>
      <c r="H1" t="s">
        <v>29</v>
      </c>
      <c r="I1" t="s">
        <v>9</v>
      </c>
      <c r="J1" t="s">
        <v>4</v>
      </c>
      <c r="K1" s="27" t="s">
        <v>35</v>
      </c>
      <c r="L1" s="4" t="s">
        <v>32</v>
      </c>
      <c r="M1" t="s">
        <v>61</v>
      </c>
      <c r="N1" s="27" t="s">
        <v>150</v>
      </c>
      <c r="O1" t="s">
        <v>148</v>
      </c>
      <c r="P1" s="27" t="s">
        <v>149</v>
      </c>
      <c r="Q1" t="s">
        <v>15</v>
      </c>
      <c r="R1" t="s">
        <v>12</v>
      </c>
      <c r="S1" t="s">
        <v>151</v>
      </c>
      <c r="T1" s="27" t="s">
        <v>152</v>
      </c>
      <c r="U1" t="s">
        <v>23</v>
      </c>
      <c r="V1" t="s">
        <v>22</v>
      </c>
      <c r="W1" t="s">
        <v>34</v>
      </c>
      <c r="X1" t="s">
        <v>26</v>
      </c>
      <c r="Z1" s="31" t="s">
        <v>1</v>
      </c>
      <c r="AA1" s="31">
        <v>0</v>
      </c>
    </row>
    <row r="2" spans="1:29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AA$2)/2</f>
        <v>8.5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AA$8 * H2^ AA$9)</f>
        <v>0.99116670419529562</v>
      </c>
      <c r="J2">
        <f t="shared" ref="J2:J13" si="2">MAX(0,(($AA$3-D2)*(D2-$AA$1))/((($AA$3-$AA$1)/2)^2))</f>
        <v>0</v>
      </c>
      <c r="K2" s="27">
        <f t="shared" ref="K2:K13" si="3">IF(D2&gt;AA$2,1,MAX(0,((AA$3-D2)*(D2-AA$1))/(((AA$3-AA$1)/2)^2)))</f>
        <v>0</v>
      </c>
      <c r="L2">
        <f t="shared" ref="L2:L13" si="4">AA$10*(AA$7*I2*AA$11*12)/1000000000</f>
        <v>2.1725371888189602</v>
      </c>
      <c r="M2">
        <f>K2*L2</f>
        <v>0</v>
      </c>
      <c r="N2" s="27">
        <f>J2*L2</f>
        <v>0</v>
      </c>
      <c r="O2" s="27">
        <f t="shared" ref="O2:O13" si="5" xml:space="preserve"> AA$12*AA$13* M2 * AA$14</f>
        <v>0</v>
      </c>
      <c r="P2" s="27">
        <f t="shared" ref="P2:P13" si="6" xml:space="preserve"> AA$12*AA$13* N2 * AA$14</f>
        <v>0</v>
      </c>
      <c r="Q2">
        <f t="shared" ref="Q2:Q13" si="7">AA$18^((D2-AA$2)/10)</f>
        <v>0.21763764082403106</v>
      </c>
      <c r="R2">
        <f t="shared" ref="R2:R13" si="8">AA$17*Q2</f>
        <v>2.1763764082403107E-2</v>
      </c>
      <c r="S2">
        <f>O2+V2</f>
        <v>0.95407940233607225</v>
      </c>
      <c r="T2" s="27">
        <f>P2+V2</f>
        <v>0.95407940233607225</v>
      </c>
      <c r="U2">
        <f>AA$17*Q2*AA$10*86400*12/1000000000*AA$7</f>
        <v>9.5407940233607227E-2</v>
      </c>
      <c r="V2">
        <f>AA$12*U2*AA$14</f>
        <v>0.95407940233607225</v>
      </c>
      <c r="W2">
        <f t="shared" ref="W2:W13" si="9">AA$16/H2</f>
        <v>25.932841941192954</v>
      </c>
      <c r="X2">
        <f t="shared" ref="X2:X13" si="10">T2*(44/12)/W2</f>
        <v>0.13489810140484756</v>
      </c>
      <c r="Z2" s="31" t="s">
        <v>2</v>
      </c>
      <c r="AA2" s="31">
        <v>22</v>
      </c>
    </row>
    <row r="3" spans="1:29">
      <c r="A3">
        <v>-10</v>
      </c>
      <c r="B3">
        <v>10</v>
      </c>
      <c r="C3">
        <f t="shared" ref="C3:C10" si="11">(A3+B3)/2</f>
        <v>0</v>
      </c>
      <c r="D3">
        <f t="shared" ref="D3:D13" si="12">(C3+B3)/2</f>
        <v>5</v>
      </c>
      <c r="E3">
        <f t="shared" si="0"/>
        <v>11</v>
      </c>
      <c r="F3">
        <f t="shared" ref="F3:F13" si="13">0.61078 * EXP(17.26939 * D3 / (D3 + 237.3))</f>
        <v>0.87227141748882542</v>
      </c>
      <c r="G3">
        <f t="shared" ref="G3:G13" si="14">0.61078 * EXP(17.26939 * A3 / (A3 + 237.3))</f>
        <v>0.28570929427727804</v>
      </c>
      <c r="H3">
        <f t="shared" ref="H3:H13" si="15">F3-G3</f>
        <v>0.58656212321154744</v>
      </c>
      <c r="I3">
        <f t="shared" si="1"/>
        <v>0.98279724378067812</v>
      </c>
      <c r="J3">
        <f t="shared" si="2"/>
        <v>0.40289256198347106</v>
      </c>
      <c r="K3" s="27">
        <f t="shared" si="3"/>
        <v>0.40289256198347106</v>
      </c>
      <c r="L3" s="27">
        <f t="shared" si="4"/>
        <v>2.1541921779099553</v>
      </c>
      <c r="M3" s="27">
        <f t="shared" ref="M3:M13" si="16">K3*L3</f>
        <v>0.86790800556289516</v>
      </c>
      <c r="N3" s="27">
        <f t="shared" ref="N3:N13" si="17">J3*L3</f>
        <v>0.86790800556289516</v>
      </c>
      <c r="O3" s="27">
        <f t="shared" si="5"/>
        <v>8.6790800556289511</v>
      </c>
      <c r="P3" s="27">
        <f t="shared" si="6"/>
        <v>8.6790800556289511</v>
      </c>
      <c r="Q3" s="27">
        <f t="shared" si="7"/>
        <v>0.30778610333622908</v>
      </c>
      <c r="R3" s="27">
        <f t="shared" si="8"/>
        <v>3.0778610333622908E-2</v>
      </c>
      <c r="S3" s="27">
        <f t="shared" ref="S3:S13" si="18">O3+V3</f>
        <v>10.028352085993442</v>
      </c>
      <c r="T3" s="27">
        <f t="shared" ref="T3:T13" si="19">P3+V3</f>
        <v>10.028352085993442</v>
      </c>
      <c r="U3" s="27">
        <f t="shared" ref="U3:U13" si="20">AA$17*Q3*AA$10*86400*12/1000000000*AA$7</f>
        <v>0.13492720303644898</v>
      </c>
      <c r="V3" s="27">
        <f t="shared" ref="V3:V13" si="21">AA$12*U3*AA$14</f>
        <v>1.3492720303644898</v>
      </c>
      <c r="W3">
        <f t="shared" si="9"/>
        <v>18.582856902386187</v>
      </c>
      <c r="X3">
        <f t="shared" si="10"/>
        <v>1.9787390339634829</v>
      </c>
      <c r="Z3" s="31" t="s">
        <v>3</v>
      </c>
      <c r="AA3" s="29">
        <f>AA2+(AA2-AA1)</f>
        <v>44</v>
      </c>
    </row>
    <row r="4" spans="1:29">
      <c r="A4">
        <v>-5</v>
      </c>
      <c r="B4">
        <v>15</v>
      </c>
      <c r="C4">
        <f t="shared" si="11"/>
        <v>5</v>
      </c>
      <c r="D4">
        <f t="shared" si="12"/>
        <v>10</v>
      </c>
      <c r="E4">
        <f t="shared" si="0"/>
        <v>13.5</v>
      </c>
      <c r="F4">
        <f t="shared" si="13"/>
        <v>1.2278921229539039</v>
      </c>
      <c r="G4">
        <f t="shared" si="14"/>
        <v>0.42116823077156701</v>
      </c>
      <c r="H4">
        <f t="shared" si="15"/>
        <v>0.80672389218233698</v>
      </c>
      <c r="I4">
        <f t="shared" si="1"/>
        <v>0.96745982808910902</v>
      </c>
      <c r="J4">
        <f t="shared" si="2"/>
        <v>0.7024793388429752</v>
      </c>
      <c r="K4" s="27">
        <f t="shared" si="3"/>
        <v>0.7024793388429752</v>
      </c>
      <c r="L4" s="27">
        <f t="shared" si="4"/>
        <v>2.1205741136335114</v>
      </c>
      <c r="M4" s="27">
        <f t="shared" si="16"/>
        <v>1.4896595013127973</v>
      </c>
      <c r="N4" s="27">
        <f t="shared" si="17"/>
        <v>1.4896595013127973</v>
      </c>
      <c r="O4" s="27">
        <f t="shared" si="5"/>
        <v>14.896595013127973</v>
      </c>
      <c r="P4" s="27">
        <f t="shared" si="6"/>
        <v>14.896595013127973</v>
      </c>
      <c r="Q4" s="27">
        <f t="shared" si="7"/>
        <v>0.43527528164806206</v>
      </c>
      <c r="R4" s="27">
        <f t="shared" si="8"/>
        <v>4.3527528164806206E-2</v>
      </c>
      <c r="S4" s="27">
        <f t="shared" si="18"/>
        <v>16.804753817800119</v>
      </c>
      <c r="T4" s="27">
        <f t="shared" si="19"/>
        <v>16.804753817800119</v>
      </c>
      <c r="U4" s="27">
        <f t="shared" si="20"/>
        <v>0.19081588046721443</v>
      </c>
      <c r="V4" s="27">
        <f t="shared" si="21"/>
        <v>1.9081588046721443</v>
      </c>
      <c r="W4">
        <f t="shared" si="9"/>
        <v>13.511438183036192</v>
      </c>
      <c r="X4">
        <f t="shared" si="10"/>
        <v>4.560390228675189</v>
      </c>
      <c r="Z4" s="31" t="s">
        <v>6</v>
      </c>
      <c r="AA4" s="31">
        <v>-46</v>
      </c>
    </row>
    <row r="5" spans="1:29">
      <c r="A5">
        <v>0</v>
      </c>
      <c r="B5">
        <v>20</v>
      </c>
      <c r="C5">
        <f t="shared" si="11"/>
        <v>10</v>
      </c>
      <c r="D5">
        <f t="shared" si="12"/>
        <v>15</v>
      </c>
      <c r="E5">
        <f t="shared" si="0"/>
        <v>16</v>
      </c>
      <c r="F5">
        <f t="shared" si="13"/>
        <v>1.7052285488209411</v>
      </c>
      <c r="G5">
        <f t="shared" si="14"/>
        <v>0.61077999999999999</v>
      </c>
      <c r="H5">
        <f t="shared" si="15"/>
        <v>1.094448548820941</v>
      </c>
      <c r="I5">
        <f t="shared" si="1"/>
        <v>0.94010911869918679</v>
      </c>
      <c r="J5">
        <f t="shared" si="2"/>
        <v>0.89876033057851235</v>
      </c>
      <c r="K5" s="27">
        <f t="shared" si="3"/>
        <v>0.89876033057851235</v>
      </c>
      <c r="L5" s="27">
        <f t="shared" si="4"/>
        <v>2.0606241243545345</v>
      </c>
      <c r="M5" s="27">
        <f t="shared" si="16"/>
        <v>1.8520072192029389</v>
      </c>
      <c r="N5" s="27">
        <f t="shared" si="17"/>
        <v>1.8520072192029389</v>
      </c>
      <c r="O5" s="27">
        <f t="shared" si="5"/>
        <v>18.520072192029389</v>
      </c>
      <c r="P5" s="27">
        <f t="shared" si="6"/>
        <v>18.520072192029389</v>
      </c>
      <c r="Q5" s="27">
        <f t="shared" si="7"/>
        <v>0.61557220667245816</v>
      </c>
      <c r="R5" s="27">
        <f t="shared" si="8"/>
        <v>6.1557220667245817E-2</v>
      </c>
      <c r="S5" s="27">
        <f t="shared" si="18"/>
        <v>21.21861625275837</v>
      </c>
      <c r="T5" s="27">
        <f t="shared" si="19"/>
        <v>21.21861625275837</v>
      </c>
      <c r="U5" s="27">
        <f t="shared" si="20"/>
        <v>0.26985440607289796</v>
      </c>
      <c r="V5" s="27">
        <f t="shared" si="21"/>
        <v>2.6985440607289797</v>
      </c>
      <c r="W5">
        <f t="shared" si="9"/>
        <v>9.9593535134590532</v>
      </c>
      <c r="X5">
        <f t="shared" si="10"/>
        <v>7.8119119701534592</v>
      </c>
      <c r="Z5" s="31" t="s">
        <v>7</v>
      </c>
      <c r="AA5" s="31">
        <v>71.900000000000006</v>
      </c>
    </row>
    <row r="6" spans="1:29">
      <c r="A6">
        <v>5</v>
      </c>
      <c r="B6">
        <v>25</v>
      </c>
      <c r="C6">
        <f t="shared" si="11"/>
        <v>15</v>
      </c>
      <c r="D6">
        <f t="shared" si="12"/>
        <v>20</v>
      </c>
      <c r="E6">
        <f t="shared" si="0"/>
        <v>18.5</v>
      </c>
      <c r="F6">
        <f t="shared" si="13"/>
        <v>2.3380938419374377</v>
      </c>
      <c r="G6">
        <f t="shared" si="14"/>
        <v>0.87227141748882542</v>
      </c>
      <c r="H6">
        <f t="shared" si="15"/>
        <v>1.4658224244486124</v>
      </c>
      <c r="I6">
        <f t="shared" si="1"/>
        <v>0.89256823099917959</v>
      </c>
      <c r="J6">
        <f t="shared" si="2"/>
        <v>0.99173553719008267</v>
      </c>
      <c r="K6" s="27">
        <f t="shared" si="3"/>
        <v>0.99173553719008267</v>
      </c>
      <c r="L6" s="27">
        <f t="shared" si="4"/>
        <v>1.9564193058506831</v>
      </c>
      <c r="M6" s="27">
        <f t="shared" si="16"/>
        <v>1.940250551256876</v>
      </c>
      <c r="N6" s="27">
        <f t="shared" si="17"/>
        <v>1.940250551256876</v>
      </c>
      <c r="O6" s="27">
        <f t="shared" si="5"/>
        <v>19.402505512568759</v>
      </c>
      <c r="P6" s="27">
        <f t="shared" si="6"/>
        <v>19.402505512568759</v>
      </c>
      <c r="Q6" s="27">
        <f t="shared" si="7"/>
        <v>0.87055056329612412</v>
      </c>
      <c r="R6" s="27">
        <f t="shared" si="8"/>
        <v>8.7055056329612412E-2</v>
      </c>
      <c r="S6" s="27">
        <f t="shared" si="18"/>
        <v>23.218823121913047</v>
      </c>
      <c r="T6" s="27">
        <f t="shared" si="19"/>
        <v>23.218823121913047</v>
      </c>
      <c r="U6" s="27">
        <f t="shared" si="20"/>
        <v>0.38163176093442885</v>
      </c>
      <c r="V6" s="27">
        <f t="shared" si="21"/>
        <v>3.8163176093442885</v>
      </c>
      <c r="W6">
        <f t="shared" si="9"/>
        <v>7.4360985465890748</v>
      </c>
      <c r="X6">
        <f t="shared" si="10"/>
        <v>11.44897209833232</v>
      </c>
      <c r="Z6" s="31" t="s">
        <v>8</v>
      </c>
      <c r="AA6" s="31">
        <v>2.6</v>
      </c>
    </row>
    <row r="7" spans="1:29">
      <c r="A7">
        <v>10</v>
      </c>
      <c r="B7">
        <v>30</v>
      </c>
      <c r="C7">
        <f t="shared" si="11"/>
        <v>20</v>
      </c>
      <c r="D7">
        <f t="shared" si="12"/>
        <v>25</v>
      </c>
      <c r="E7">
        <f t="shared" si="0"/>
        <v>21</v>
      </c>
      <c r="F7">
        <f t="shared" si="13"/>
        <v>3.1674898302368564</v>
      </c>
      <c r="G7">
        <f t="shared" si="14"/>
        <v>1.2278921229539039</v>
      </c>
      <c r="H7">
        <f t="shared" si="15"/>
        <v>1.9395977072829524</v>
      </c>
      <c r="I7">
        <f t="shared" si="1"/>
        <v>0.81189803669513572</v>
      </c>
      <c r="J7">
        <f t="shared" si="2"/>
        <v>0.98140495867768596</v>
      </c>
      <c r="K7" s="27">
        <f t="shared" si="3"/>
        <v>1</v>
      </c>
      <c r="L7" s="27">
        <f t="shared" si="4"/>
        <v>1.7795983973062672</v>
      </c>
      <c r="M7" s="27">
        <f t="shared" si="16"/>
        <v>1.7795983973062672</v>
      </c>
      <c r="N7" s="27">
        <f t="shared" si="17"/>
        <v>1.7465066915712333</v>
      </c>
      <c r="O7" s="27">
        <f t="shared" si="5"/>
        <v>17.795983973062672</v>
      </c>
      <c r="P7" s="27">
        <f t="shared" si="6"/>
        <v>17.465066915712335</v>
      </c>
      <c r="Q7" s="27">
        <f t="shared" si="7"/>
        <v>1.2311444133449163</v>
      </c>
      <c r="R7" s="27">
        <f t="shared" si="8"/>
        <v>0.12311444133449163</v>
      </c>
      <c r="S7" s="27">
        <f t="shared" si="18"/>
        <v>23.19307209452063</v>
      </c>
      <c r="T7" s="27">
        <f t="shared" si="19"/>
        <v>22.862155037170293</v>
      </c>
      <c r="U7" s="27">
        <f t="shared" si="20"/>
        <v>0.53970881214579591</v>
      </c>
      <c r="V7" s="27">
        <f t="shared" si="21"/>
        <v>5.3970881214579594</v>
      </c>
      <c r="W7">
        <f t="shared" si="9"/>
        <v>5.6197220480679224</v>
      </c>
      <c r="X7">
        <f t="shared" si="10"/>
        <v>14.91673450856489</v>
      </c>
      <c r="Z7" s="31" t="s">
        <v>5</v>
      </c>
      <c r="AA7" s="29">
        <f>AA4+AA5*AA6</f>
        <v>140.94000000000003</v>
      </c>
    </row>
    <row r="8" spans="1:29">
      <c r="A8">
        <v>15</v>
      </c>
      <c r="B8">
        <v>35</v>
      </c>
      <c r="C8">
        <f t="shared" si="11"/>
        <v>25</v>
      </c>
      <c r="D8">
        <f t="shared" si="12"/>
        <v>30</v>
      </c>
      <c r="E8">
        <f t="shared" si="0"/>
        <v>23.5</v>
      </c>
      <c r="F8">
        <f t="shared" si="13"/>
        <v>4.2426356531114431</v>
      </c>
      <c r="G8">
        <f t="shared" si="14"/>
        <v>1.7052285488209411</v>
      </c>
      <c r="H8">
        <f t="shared" si="15"/>
        <v>2.537407104290502</v>
      </c>
      <c r="I8">
        <f t="shared" si="1"/>
        <v>0.67807825935480448</v>
      </c>
      <c r="J8">
        <f t="shared" si="2"/>
        <v>0.86776859504132231</v>
      </c>
      <c r="K8" s="27">
        <f t="shared" si="3"/>
        <v>1</v>
      </c>
      <c r="L8" s="27">
        <f t="shared" si="4"/>
        <v>1.4862789772321459</v>
      </c>
      <c r="M8" s="27">
        <f t="shared" si="16"/>
        <v>1.4862789772321459</v>
      </c>
      <c r="N8" s="27">
        <f t="shared" si="17"/>
        <v>1.2897462199121927</v>
      </c>
      <c r="O8" s="27">
        <f t="shared" si="5"/>
        <v>14.862789772321459</v>
      </c>
      <c r="P8" s="27">
        <f t="shared" si="6"/>
        <v>12.897462199121927</v>
      </c>
      <c r="Q8" s="27">
        <f t="shared" si="7"/>
        <v>1.7411011265922482</v>
      </c>
      <c r="R8" s="27">
        <f t="shared" si="8"/>
        <v>0.17411011265922482</v>
      </c>
      <c r="S8" s="27">
        <f t="shared" si="18"/>
        <v>22.495424991010037</v>
      </c>
      <c r="T8" s="27">
        <f t="shared" si="19"/>
        <v>20.530097417810502</v>
      </c>
      <c r="U8" s="27">
        <f t="shared" si="20"/>
        <v>0.76326352186885771</v>
      </c>
      <c r="V8" s="27">
        <f t="shared" si="21"/>
        <v>7.6326352186885771</v>
      </c>
      <c r="W8">
        <f t="shared" si="9"/>
        <v>4.29572376524413</v>
      </c>
      <c r="X8">
        <f t="shared" si="10"/>
        <v>17.523711481254221</v>
      </c>
      <c r="Z8" s="31" t="s">
        <v>30</v>
      </c>
      <c r="AA8" s="31">
        <v>0.05</v>
      </c>
    </row>
    <row r="9" spans="1:29">
      <c r="A9">
        <v>20</v>
      </c>
      <c r="B9">
        <v>40</v>
      </c>
      <c r="C9">
        <f t="shared" si="11"/>
        <v>30</v>
      </c>
      <c r="D9">
        <f t="shared" si="12"/>
        <v>35</v>
      </c>
      <c r="E9">
        <f t="shared" si="0"/>
        <v>26</v>
      </c>
      <c r="F9">
        <f t="shared" si="13"/>
        <v>5.6220563085635584</v>
      </c>
      <c r="G9">
        <f t="shared" si="14"/>
        <v>2.3380938419374377</v>
      </c>
      <c r="H9">
        <f t="shared" si="15"/>
        <v>3.2839624666261207</v>
      </c>
      <c r="I9">
        <f t="shared" si="1"/>
        <v>0.46077952588954418</v>
      </c>
      <c r="J9">
        <f t="shared" si="2"/>
        <v>0.65082644628099173</v>
      </c>
      <c r="K9" s="27">
        <f t="shared" si="3"/>
        <v>1</v>
      </c>
      <c r="L9" s="27">
        <f t="shared" si="4"/>
        <v>1.0099821267242231</v>
      </c>
      <c r="M9" s="27">
        <f t="shared" si="16"/>
        <v>1.0099821267242231</v>
      </c>
      <c r="N9" s="27">
        <f t="shared" si="17"/>
        <v>0.65732307834324433</v>
      </c>
      <c r="O9" s="27">
        <f t="shared" si="5"/>
        <v>10.099821267242231</v>
      </c>
      <c r="P9" s="27">
        <f t="shared" si="6"/>
        <v>6.573230783432443</v>
      </c>
      <c r="Q9" s="27">
        <f t="shared" si="7"/>
        <v>2.4622888266898326</v>
      </c>
      <c r="R9" s="27">
        <f t="shared" si="8"/>
        <v>0.24622888266898327</v>
      </c>
      <c r="S9" s="27">
        <f t="shared" si="18"/>
        <v>20.893997510158151</v>
      </c>
      <c r="T9" s="27">
        <f t="shared" si="19"/>
        <v>17.36740702634836</v>
      </c>
      <c r="U9" s="27">
        <f t="shared" si="20"/>
        <v>1.0794176242915918</v>
      </c>
      <c r="V9" s="27">
        <f t="shared" si="21"/>
        <v>10.794176242915919</v>
      </c>
      <c r="W9">
        <f t="shared" si="9"/>
        <v>3.3191609559406592</v>
      </c>
      <c r="X9">
        <f t="shared" si="10"/>
        <v>19.185719907908702</v>
      </c>
      <c r="Z9" s="31" t="s">
        <v>31</v>
      </c>
      <c r="AA9" s="31">
        <v>2</v>
      </c>
    </row>
    <row r="10" spans="1:29">
      <c r="A10">
        <v>25</v>
      </c>
      <c r="B10">
        <v>45</v>
      </c>
      <c r="C10">
        <f t="shared" si="11"/>
        <v>35</v>
      </c>
      <c r="D10">
        <f t="shared" si="12"/>
        <v>40</v>
      </c>
      <c r="E10">
        <f t="shared" si="0"/>
        <v>28.5</v>
      </c>
      <c r="F10">
        <f t="shared" si="13"/>
        <v>7.3747231460360023</v>
      </c>
      <c r="G10">
        <f t="shared" si="14"/>
        <v>3.1674898302368564</v>
      </c>
      <c r="H10">
        <f t="shared" si="15"/>
        <v>4.2072333157991455</v>
      </c>
      <c r="I10">
        <f t="shared" si="1"/>
        <v>0.11495939132148625</v>
      </c>
      <c r="J10">
        <f t="shared" si="2"/>
        <v>0.33057851239669422</v>
      </c>
      <c r="K10" s="27">
        <f t="shared" si="3"/>
        <v>1</v>
      </c>
      <c r="L10" s="27">
        <f t="shared" si="4"/>
        <v>0.25197936108304753</v>
      </c>
      <c r="M10" s="27">
        <f t="shared" si="16"/>
        <v>0.25197936108304753</v>
      </c>
      <c r="N10" s="27">
        <f t="shared" si="17"/>
        <v>8.3298962341503316E-2</v>
      </c>
      <c r="O10" s="27">
        <f t="shared" si="5"/>
        <v>2.519793610830475</v>
      </c>
      <c r="P10" s="27">
        <f t="shared" si="6"/>
        <v>0.83298962341503313</v>
      </c>
      <c r="Q10" s="27">
        <f t="shared" si="7"/>
        <v>3.4822022531844965</v>
      </c>
      <c r="R10" s="27">
        <f t="shared" si="8"/>
        <v>0.34822022531844965</v>
      </c>
      <c r="S10" s="27">
        <f t="shared" si="18"/>
        <v>17.78506404820763</v>
      </c>
      <c r="T10" s="27">
        <f t="shared" si="19"/>
        <v>16.098260060792189</v>
      </c>
      <c r="U10" s="27">
        <f t="shared" si="20"/>
        <v>1.5265270437377154</v>
      </c>
      <c r="V10" s="27">
        <f t="shared" si="21"/>
        <v>15.265270437377154</v>
      </c>
      <c r="W10">
        <f t="shared" si="9"/>
        <v>2.5907762136860701</v>
      </c>
      <c r="X10">
        <f t="shared" si="10"/>
        <v>22.783501424948021</v>
      </c>
      <c r="Z10" s="31" t="s">
        <v>10</v>
      </c>
      <c r="AA10" s="31">
        <v>30</v>
      </c>
      <c r="AC10" t="s">
        <v>153</v>
      </c>
    </row>
    <row r="11" spans="1:29">
      <c r="A11">
        <v>30</v>
      </c>
      <c r="B11">
        <v>50</v>
      </c>
      <c r="C11">
        <f t="shared" ref="C11:C13" si="22">(A11+B11)/2</f>
        <v>40</v>
      </c>
      <c r="D11">
        <f t="shared" si="12"/>
        <v>45</v>
      </c>
      <c r="E11">
        <f t="shared" si="0"/>
        <v>31</v>
      </c>
      <c r="F11">
        <f t="shared" si="13"/>
        <v>9.5812372781996284</v>
      </c>
      <c r="G11">
        <f t="shared" si="14"/>
        <v>4.2426356531114431</v>
      </c>
      <c r="H11">
        <f t="shared" si="15"/>
        <v>5.3386016250881854</v>
      </c>
      <c r="I11">
        <f t="shared" si="1"/>
        <v>0</v>
      </c>
      <c r="J11">
        <f t="shared" si="2"/>
        <v>0</v>
      </c>
      <c r="K11" s="27">
        <f t="shared" si="3"/>
        <v>1</v>
      </c>
      <c r="L11" s="27">
        <f t="shared" si="4"/>
        <v>0</v>
      </c>
      <c r="M11" s="27">
        <f t="shared" si="16"/>
        <v>0</v>
      </c>
      <c r="N11" s="27">
        <f t="shared" si="17"/>
        <v>0</v>
      </c>
      <c r="O11" s="27">
        <f t="shared" si="5"/>
        <v>0</v>
      </c>
      <c r="P11" s="27">
        <f t="shared" si="6"/>
        <v>0</v>
      </c>
      <c r="Q11" s="27">
        <f t="shared" si="7"/>
        <v>4.9245776533796644</v>
      </c>
      <c r="R11" s="27">
        <f t="shared" si="8"/>
        <v>0.49245776533796648</v>
      </c>
      <c r="S11" s="27">
        <f t="shared" si="18"/>
        <v>21.588352485831837</v>
      </c>
      <c r="T11" s="27">
        <f t="shared" si="19"/>
        <v>21.588352485831837</v>
      </c>
      <c r="U11" s="27">
        <f t="shared" si="20"/>
        <v>2.1588352485831837</v>
      </c>
      <c r="V11" s="27">
        <f t="shared" si="21"/>
        <v>21.588352485831837</v>
      </c>
      <c r="W11">
        <f t="shared" si="9"/>
        <v>2.0417331663738723</v>
      </c>
      <c r="X11">
        <f t="shared" si="10"/>
        <v>38.769655972545031</v>
      </c>
      <c r="Z11" s="31" t="s">
        <v>11</v>
      </c>
      <c r="AA11" s="29">
        <f>AB11*60*60</f>
        <v>43200</v>
      </c>
      <c r="AB11">
        <v>12</v>
      </c>
      <c r="AC11" t="s">
        <v>118</v>
      </c>
    </row>
    <row r="12" spans="1:29">
      <c r="A12">
        <v>35</v>
      </c>
      <c r="B12">
        <v>55</v>
      </c>
      <c r="C12">
        <f t="shared" si="22"/>
        <v>45</v>
      </c>
      <c r="D12">
        <f t="shared" si="12"/>
        <v>50</v>
      </c>
      <c r="E12">
        <f t="shared" si="0"/>
        <v>33.5</v>
      </c>
      <c r="F12">
        <f t="shared" si="13"/>
        <v>12.335046017492973</v>
      </c>
      <c r="G12">
        <f t="shared" si="14"/>
        <v>5.6220563085635584</v>
      </c>
      <c r="H12">
        <f t="shared" si="15"/>
        <v>6.7129897089294142</v>
      </c>
      <c r="I12">
        <f t="shared" si="1"/>
        <v>0</v>
      </c>
      <c r="J12">
        <f t="shared" si="2"/>
        <v>0</v>
      </c>
      <c r="K12" s="27">
        <f t="shared" si="3"/>
        <v>1</v>
      </c>
      <c r="L12" s="27">
        <f t="shared" si="4"/>
        <v>0</v>
      </c>
      <c r="M12" s="27">
        <f t="shared" si="16"/>
        <v>0</v>
      </c>
      <c r="N12" s="27">
        <f t="shared" si="17"/>
        <v>0</v>
      </c>
      <c r="O12" s="27">
        <f t="shared" si="5"/>
        <v>0</v>
      </c>
      <c r="P12" s="27">
        <f t="shared" si="6"/>
        <v>0</v>
      </c>
      <c r="Q12" s="27">
        <f t="shared" si="7"/>
        <v>6.9644045063689921</v>
      </c>
      <c r="R12" s="27">
        <f t="shared" si="8"/>
        <v>0.6964404506368993</v>
      </c>
      <c r="S12" s="27">
        <f t="shared" si="18"/>
        <v>30.530540874754308</v>
      </c>
      <c r="T12" s="27">
        <f t="shared" si="19"/>
        <v>30.530540874754308</v>
      </c>
      <c r="U12" s="27">
        <f t="shared" si="20"/>
        <v>3.0530540874754308</v>
      </c>
      <c r="V12" s="27">
        <f t="shared" si="21"/>
        <v>30.530540874754308</v>
      </c>
      <c r="W12">
        <f t="shared" si="9"/>
        <v>1.6237176686717028</v>
      </c>
      <c r="X12">
        <f t="shared" si="10"/>
        <v>68.943831000092331</v>
      </c>
      <c r="Z12" s="31" t="s">
        <v>20</v>
      </c>
      <c r="AA12" s="31">
        <v>1</v>
      </c>
    </row>
    <row r="13" spans="1:29">
      <c r="A13">
        <v>40</v>
      </c>
      <c r="B13">
        <v>60</v>
      </c>
      <c r="C13">
        <f t="shared" si="22"/>
        <v>50</v>
      </c>
      <c r="D13">
        <f t="shared" si="12"/>
        <v>55</v>
      </c>
      <c r="E13">
        <f t="shared" si="0"/>
        <v>36</v>
      </c>
      <c r="F13">
        <f t="shared" si="13"/>
        <v>15.743681776119971</v>
      </c>
      <c r="G13">
        <f t="shared" si="14"/>
        <v>7.3747231460360023</v>
      </c>
      <c r="H13">
        <f t="shared" si="15"/>
        <v>8.3689586300839682</v>
      </c>
      <c r="I13">
        <f t="shared" si="1"/>
        <v>0</v>
      </c>
      <c r="J13">
        <f t="shared" si="2"/>
        <v>0</v>
      </c>
      <c r="K13" s="27">
        <f t="shared" si="3"/>
        <v>1</v>
      </c>
      <c r="L13" s="27">
        <f t="shared" si="4"/>
        <v>0</v>
      </c>
      <c r="M13" s="27">
        <f t="shared" si="16"/>
        <v>0</v>
      </c>
      <c r="N13" s="27">
        <f t="shared" si="17"/>
        <v>0</v>
      </c>
      <c r="O13" s="27">
        <f t="shared" si="5"/>
        <v>0</v>
      </c>
      <c r="P13" s="27">
        <f t="shared" si="6"/>
        <v>0</v>
      </c>
      <c r="Q13" s="27">
        <f t="shared" si="7"/>
        <v>9.8491553067593287</v>
      </c>
      <c r="R13" s="27">
        <f t="shared" si="8"/>
        <v>0.98491553067593296</v>
      </c>
      <c r="S13" s="27">
        <f t="shared" si="18"/>
        <v>43.176704971663675</v>
      </c>
      <c r="T13" s="27">
        <f t="shared" si="19"/>
        <v>43.176704971663675</v>
      </c>
      <c r="U13" s="27">
        <f t="shared" si="20"/>
        <v>4.3176704971663673</v>
      </c>
      <c r="V13" s="27">
        <f t="shared" si="21"/>
        <v>43.176704971663675</v>
      </c>
      <c r="W13">
        <f t="shared" si="9"/>
        <v>1.3024320565784224</v>
      </c>
      <c r="X13">
        <f t="shared" si="10"/>
        <v>121.55304692975949</v>
      </c>
      <c r="Z13" s="31" t="s">
        <v>21</v>
      </c>
      <c r="AA13" s="31">
        <v>1</v>
      </c>
    </row>
    <row r="14" spans="1:29">
      <c r="Z14" s="31" t="s">
        <v>24</v>
      </c>
      <c r="AA14" s="31">
        <v>10</v>
      </c>
    </row>
    <row r="15" spans="1:29">
      <c r="Z15" s="31" t="s">
        <v>25</v>
      </c>
      <c r="AA15" s="31">
        <v>5</v>
      </c>
    </row>
    <row r="16" spans="1:29">
      <c r="Z16" s="31" t="s">
        <v>33</v>
      </c>
      <c r="AA16" s="31">
        <v>10.9</v>
      </c>
    </row>
    <row r="17" spans="19:27">
      <c r="Z17" s="31" t="s">
        <v>13</v>
      </c>
      <c r="AA17" s="31">
        <v>0.1</v>
      </c>
    </row>
    <row r="18" spans="19:27">
      <c r="S18" s="2" t="s">
        <v>183</v>
      </c>
      <c r="T18" s="2"/>
      <c r="Z18" s="31" t="s">
        <v>147</v>
      </c>
      <c r="AA18" s="31">
        <v>2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32"/>
  <sheetViews>
    <sheetView workbookViewId="0">
      <selection activeCell="V4" sqref="V4"/>
    </sheetView>
  </sheetViews>
  <sheetFormatPr defaultRowHeight="14.4"/>
  <cols>
    <col min="8" max="8" width="9.109375" style="27"/>
    <col min="9" max="17" width="9.109375" style="4"/>
    <col min="18" max="18" width="12.5546875" customWidth="1"/>
    <col min="22" max="22" width="9.109375" style="4"/>
    <col min="25" max="25" width="10.44140625" style="4" customWidth="1"/>
    <col min="27" max="27" width="8.109375" customWidth="1"/>
  </cols>
  <sheetData>
    <row r="1" spans="1:25">
      <c r="A1" t="s">
        <v>180</v>
      </c>
      <c r="B1" s="4" t="s">
        <v>37</v>
      </c>
      <c r="C1" s="4" t="s">
        <v>51</v>
      </c>
      <c r="D1" s="4" t="s">
        <v>38</v>
      </c>
      <c r="E1" s="4" t="s">
        <v>42</v>
      </c>
      <c r="F1" s="4" t="s">
        <v>39</v>
      </c>
      <c r="G1" s="4" t="s">
        <v>40</v>
      </c>
      <c r="H1" s="57" t="s">
        <v>191</v>
      </c>
      <c r="I1" s="4" t="s">
        <v>41</v>
      </c>
      <c r="J1" s="4" t="s">
        <v>43</v>
      </c>
      <c r="K1" s="4" t="s">
        <v>5</v>
      </c>
      <c r="L1" s="57" t="s">
        <v>192</v>
      </c>
      <c r="M1" s="4" t="s">
        <v>9</v>
      </c>
      <c r="N1" s="4" t="s">
        <v>45</v>
      </c>
      <c r="O1" s="4" t="s">
        <v>181</v>
      </c>
      <c r="R1" s="32" t="s">
        <v>154</v>
      </c>
      <c r="S1" s="31"/>
      <c r="T1" s="31"/>
      <c r="U1" s="31"/>
      <c r="V1" s="2" t="s">
        <v>206</v>
      </c>
      <c r="W1" s="2"/>
      <c r="X1" s="2"/>
      <c r="Y1" s="2"/>
    </row>
    <row r="2" spans="1:25">
      <c r="A2">
        <v>300</v>
      </c>
      <c r="B2" s="5">
        <f t="shared" ref="B2:B16" si="0" xml:space="preserve"> (-0.075 * $S$3)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58">
        <f>(A2-40)/(A2+2*40)*(350+2*40)/(350-40)</f>
        <v>0.9490662139219016</v>
      </c>
      <c r="I2" s="5">
        <f xml:space="preserve"> G2 / ((A2 - A2*B2) / (350 - C2))</f>
        <v>1.0218486580010462</v>
      </c>
      <c r="J2" s="5">
        <f t="shared" ref="J2:J16" si="1">($S$7/$S$6)*(1+1-I2)</f>
        <v>5.6114998040992621</v>
      </c>
      <c r="K2" s="5">
        <f t="shared" ref="K2:K16" si="2" xml:space="preserve"> G2*($S$4 +$S$5 * $S$3)</f>
        <v>142.33767892435716</v>
      </c>
      <c r="L2" s="58">
        <f>H2*($S$4 +$S$5*$S$3)</f>
        <v>154.23275042444826</v>
      </c>
      <c r="M2" s="4">
        <f t="shared" ref="M2:M16" si="3">MAX(0,1-$S$8*($S$6^$S$9))</f>
        <v>0.81950000000000001</v>
      </c>
      <c r="N2" s="4">
        <f t="shared" ref="N2:N16" si="4">$S$10*(K2*M2*$S$11*$S$15/1000000000)</f>
        <v>1.9652472232971483</v>
      </c>
      <c r="O2" s="4">
        <f t="shared" ref="O2:O16" si="5">N2/J2/G2*$S$16</f>
        <v>17.593454673155264</v>
      </c>
      <c r="R2" s="31"/>
      <c r="S2" s="31"/>
      <c r="T2" s="31"/>
      <c r="U2" s="31"/>
      <c r="V2" s="2" t="s">
        <v>207</v>
      </c>
      <c r="W2" s="2"/>
      <c r="X2" s="2"/>
      <c r="Y2" s="2"/>
    </row>
    <row r="3" spans="1:25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58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5">
        <f t="shared" si="1"/>
        <v>5.7368421052631584</v>
      </c>
      <c r="K3" s="5">
        <f t="shared" si="2"/>
        <v>162.51000000000002</v>
      </c>
      <c r="L3" s="58">
        <f t="shared" ref="L3:L16" si="13">H3*($S$4 +$S$5*$S$3)</f>
        <v>162.51000000000002</v>
      </c>
      <c r="M3" s="4">
        <f t="shared" si="3"/>
        <v>0.81950000000000001</v>
      </c>
      <c r="N3" s="4">
        <f t="shared" si="4"/>
        <v>2.2437651693600005</v>
      </c>
      <c r="O3" s="4">
        <f t="shared" si="5"/>
        <v>17.20906129894459</v>
      </c>
      <c r="R3" s="31" t="s">
        <v>8</v>
      </c>
      <c r="S3" s="31">
        <v>2.9</v>
      </c>
      <c r="T3" s="31" t="s">
        <v>50</v>
      </c>
      <c r="U3" s="31"/>
      <c r="V3" s="2" t="s">
        <v>208</v>
      </c>
      <c r="W3" s="2"/>
      <c r="X3" s="2"/>
      <c r="Y3" s="2"/>
    </row>
    <row r="4" spans="1:25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58">
        <f t="shared" si="11"/>
        <v>1.0403225806451613</v>
      </c>
      <c r="I4" s="5">
        <f t="shared" si="12"/>
        <v>0.96571541614251499</v>
      </c>
      <c r="J4" s="5">
        <f t="shared" si="1"/>
        <v>5.9335273494982044</v>
      </c>
      <c r="K4" s="5">
        <f t="shared" si="2"/>
        <v>179.35818545979444</v>
      </c>
      <c r="L4" s="58">
        <f t="shared" si="13"/>
        <v>169.06282258064519</v>
      </c>
      <c r="M4" s="4">
        <f t="shared" si="3"/>
        <v>0.81950000000000001</v>
      </c>
      <c r="N4" s="4">
        <f t="shared" si="4"/>
        <v>2.4763869877195122</v>
      </c>
      <c r="O4" s="4">
        <f t="shared" si="5"/>
        <v>16.638613363801074</v>
      </c>
      <c r="R4" s="31" t="s">
        <v>6</v>
      </c>
      <c r="S4" s="31">
        <v>-46</v>
      </c>
      <c r="T4" s="31"/>
      <c r="U4" s="31"/>
    </row>
    <row r="5" spans="1:25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58">
        <f t="shared" si="11"/>
        <v>1.0730371272063299</v>
      </c>
      <c r="I5" s="5">
        <f t="shared" si="12"/>
        <v>0.92677336334557081</v>
      </c>
      <c r="J5" s="5">
        <f t="shared" si="1"/>
        <v>6.1569317576490947</v>
      </c>
      <c r="K5" s="5">
        <f t="shared" si="2"/>
        <v>193.64135049937124</v>
      </c>
      <c r="L5" s="58">
        <f t="shared" si="13"/>
        <v>174.37926354230069</v>
      </c>
      <c r="M5" s="4">
        <f t="shared" si="3"/>
        <v>0.81950000000000001</v>
      </c>
      <c r="N5" s="4">
        <f t="shared" si="4"/>
        <v>2.6735937332983868</v>
      </c>
      <c r="O5" s="4">
        <f t="shared" si="5"/>
        <v>16.034880901382039</v>
      </c>
      <c r="R5" s="31" t="s">
        <v>7</v>
      </c>
      <c r="S5" s="31">
        <v>71.900000000000006</v>
      </c>
      <c r="T5" s="31"/>
      <c r="U5" s="31"/>
    </row>
    <row r="6" spans="1:25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58">
        <f t="shared" si="11"/>
        <v>1.100111234705228</v>
      </c>
      <c r="I6" s="5">
        <f t="shared" si="12"/>
        <v>0.88691572350311454</v>
      </c>
      <c r="J6" s="5">
        <f t="shared" si="1"/>
        <v>6.3855887441137122</v>
      </c>
      <c r="K6" s="5">
        <f t="shared" si="2"/>
        <v>205.90382032355882</v>
      </c>
      <c r="L6" s="58">
        <f t="shared" si="13"/>
        <v>178.77907675194663</v>
      </c>
      <c r="M6" s="4">
        <f t="shared" si="3"/>
        <v>0.81950000000000001</v>
      </c>
      <c r="N6" s="4">
        <f t="shared" si="4"/>
        <v>2.8429008693628761</v>
      </c>
      <c r="O6" s="4">
        <f t="shared" si="5"/>
        <v>15.460699304014238</v>
      </c>
      <c r="R6" s="31" t="s">
        <v>29</v>
      </c>
      <c r="S6" s="31">
        <v>1.9</v>
      </c>
      <c r="T6" s="31"/>
      <c r="U6" s="31"/>
    </row>
    <row r="7" spans="1:25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58">
        <f t="shared" si="11"/>
        <v>1.1228878648233487</v>
      </c>
      <c r="I7" s="5">
        <f t="shared" si="12"/>
        <v>0.847960436310225</v>
      </c>
      <c r="J7" s="5">
        <f t="shared" si="1"/>
        <v>6.6090690759045003</v>
      </c>
      <c r="K7" s="5">
        <f t="shared" si="2"/>
        <v>216.54607936464592</v>
      </c>
      <c r="L7" s="58">
        <f t="shared" si="13"/>
        <v>182.48050691244242</v>
      </c>
      <c r="M7" s="4">
        <f t="shared" si="3"/>
        <v>0.81950000000000001</v>
      </c>
      <c r="N7" s="4">
        <f t="shared" si="4"/>
        <v>2.989837858838587</v>
      </c>
      <c r="O7" s="4">
        <f t="shared" si="5"/>
        <v>14.937908246681273</v>
      </c>
      <c r="R7" s="31" t="s">
        <v>44</v>
      </c>
      <c r="S7" s="31">
        <v>10.9</v>
      </c>
      <c r="T7" s="31"/>
      <c r="U7" s="31"/>
    </row>
    <row r="8" spans="1:25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58">
        <f t="shared" si="11"/>
        <v>1.142314990512334</v>
      </c>
      <c r="I8" s="5">
        <f t="shared" si="12"/>
        <v>0.81076312309684917</v>
      </c>
      <c r="J8" s="5">
        <f t="shared" si="1"/>
        <v>6.8224641885496551</v>
      </c>
      <c r="K8" s="5">
        <f t="shared" si="2"/>
        <v>225.86934023051822</v>
      </c>
      <c r="L8" s="58">
        <f t="shared" si="13"/>
        <v>185.63760910815941</v>
      </c>
      <c r="M8" s="4">
        <f t="shared" si="3"/>
        <v>0.81950000000000001</v>
      </c>
      <c r="N8" s="4">
        <f t="shared" si="4"/>
        <v>3.1185635249249901</v>
      </c>
      <c r="O8" s="4">
        <f t="shared" si="5"/>
        <v>14.470675803258041</v>
      </c>
      <c r="R8" s="31" t="s">
        <v>30</v>
      </c>
      <c r="S8" s="31">
        <v>0.05</v>
      </c>
      <c r="T8" s="31"/>
      <c r="U8" s="31"/>
    </row>
    <row r="9" spans="1:25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58">
        <f t="shared" si="11"/>
        <v>1.1590808661069378</v>
      </c>
      <c r="I9" s="5">
        <f t="shared" si="12"/>
        <v>0.77568318000531811</v>
      </c>
      <c r="J9" s="5">
        <f t="shared" si="1"/>
        <v>7.0237122831273862</v>
      </c>
      <c r="K9" s="5">
        <f t="shared" si="2"/>
        <v>234.10450808209077</v>
      </c>
      <c r="L9" s="58">
        <f t="shared" si="13"/>
        <v>188.36223155103849</v>
      </c>
      <c r="M9" s="4">
        <f t="shared" si="3"/>
        <v>0.81950000000000001</v>
      </c>
      <c r="N9" s="4">
        <f t="shared" si="4"/>
        <v>3.2322659604009103</v>
      </c>
      <c r="O9" s="4">
        <f t="shared" si="5"/>
        <v>14.056052337024449</v>
      </c>
      <c r="R9" s="31" t="s">
        <v>31</v>
      </c>
      <c r="S9" s="31">
        <v>2</v>
      </c>
      <c r="T9" s="31"/>
      <c r="U9" s="31"/>
    </row>
    <row r="10" spans="1:25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58">
        <f t="shared" si="11"/>
        <v>1.1736972704714641</v>
      </c>
      <c r="I10" s="5">
        <f t="shared" si="12"/>
        <v>0.74282063591354974</v>
      </c>
      <c r="J10" s="5">
        <f t="shared" si="1"/>
        <v>7.212239509759109</v>
      </c>
      <c r="K10" s="5">
        <f t="shared" si="2"/>
        <v>241.43156308462196</v>
      </c>
      <c r="L10" s="58">
        <f t="shared" si="13"/>
        <v>190.73754342431766</v>
      </c>
      <c r="M10" s="4">
        <f t="shared" si="3"/>
        <v>0.81950000000000001</v>
      </c>
      <c r="N10" s="4">
        <f t="shared" si="4"/>
        <v>3.3334301398893378</v>
      </c>
      <c r="O10" s="4">
        <f t="shared" si="5"/>
        <v>13.688628520759909</v>
      </c>
      <c r="R10" s="31" t="s">
        <v>46</v>
      </c>
      <c r="S10" s="31">
        <v>30</v>
      </c>
      <c r="T10" s="31" t="s">
        <v>48</v>
      </c>
      <c r="U10" s="31"/>
    </row>
    <row r="11" spans="1:25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58">
        <f t="shared" si="11"/>
        <v>1.1865526622619509</v>
      </c>
      <c r="I11" s="5">
        <f t="shared" si="12"/>
        <v>0.7121408163841596</v>
      </c>
      <c r="J11" s="5">
        <f t="shared" si="1"/>
        <v>7.3882447902171906</v>
      </c>
      <c r="K11" s="5">
        <f t="shared" si="2"/>
        <v>247.99286586554953</v>
      </c>
      <c r="L11" s="58">
        <f t="shared" si="13"/>
        <v>192.82667314418967</v>
      </c>
      <c r="M11" s="4">
        <f t="shared" si="3"/>
        <v>0.81950000000000001</v>
      </c>
      <c r="N11" s="4">
        <f t="shared" si="4"/>
        <v>3.4240216274622273</v>
      </c>
      <c r="O11" s="4">
        <f t="shared" si="5"/>
        <v>13.362533356036487</v>
      </c>
      <c r="R11" s="31" t="s">
        <v>182</v>
      </c>
      <c r="S11" s="29">
        <f>T11*60*60</f>
        <v>46800</v>
      </c>
      <c r="T11" s="31">
        <v>13</v>
      </c>
      <c r="U11" s="31" t="s">
        <v>118</v>
      </c>
    </row>
    <row r="12" spans="1:25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58">
        <f t="shared" si="11"/>
        <v>1.1979472140762464</v>
      </c>
      <c r="I12" s="5">
        <f t="shared" si="12"/>
        <v>0.68354158562520528</v>
      </c>
      <c r="J12" s="5">
        <f t="shared" si="1"/>
        <v>7.5523140614132975</v>
      </c>
      <c r="K12" s="5">
        <f t="shared" si="2"/>
        <v>253.902498468462</v>
      </c>
      <c r="L12" s="58">
        <f t="shared" si="13"/>
        <v>194.67840175953083</v>
      </c>
      <c r="M12" s="4">
        <f t="shared" si="3"/>
        <v>0.81950000000000001</v>
      </c>
      <c r="N12" s="4">
        <f t="shared" si="4"/>
        <v>3.5056155465941528</v>
      </c>
      <c r="O12" s="4">
        <f t="shared" si="5"/>
        <v>13.072240726356267</v>
      </c>
      <c r="R12" s="31"/>
      <c r="S12" s="31"/>
      <c r="T12" s="31"/>
      <c r="U12" s="31"/>
    </row>
    <row r="13" spans="1:25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58">
        <f t="shared" si="11"/>
        <v>1.2081165452653486</v>
      </c>
      <c r="I13" s="5">
        <f t="shared" si="12"/>
        <v>0.65689013752105918</v>
      </c>
      <c r="J13" s="5">
        <f t="shared" si="1"/>
        <v>7.7052092110633978</v>
      </c>
      <c r="K13" s="5">
        <f t="shared" si="2"/>
        <v>259.25295374647209</v>
      </c>
      <c r="L13" s="58">
        <f t="shared" si="13"/>
        <v>196.33101977107182</v>
      </c>
      <c r="M13" s="4">
        <f t="shared" si="3"/>
        <v>0.81950000000000001</v>
      </c>
      <c r="N13" s="4">
        <f t="shared" si="4"/>
        <v>3.5794889401884999</v>
      </c>
      <c r="O13" s="4">
        <f t="shared" si="5"/>
        <v>12.812847094415863</v>
      </c>
      <c r="R13" s="31"/>
      <c r="S13" s="31"/>
      <c r="T13" s="31"/>
      <c r="U13" s="31"/>
    </row>
    <row r="14" spans="1:25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58">
        <f t="shared" si="11"/>
        <v>1.21724818959842</v>
      </c>
      <c r="I14" s="5">
        <f t="shared" si="12"/>
        <v>0.63204318421283179</v>
      </c>
      <c r="J14" s="5">
        <f t="shared" si="1"/>
        <v>7.8477522589895443</v>
      </c>
      <c r="K14" s="5">
        <f t="shared" si="2"/>
        <v>264.12001165652737</v>
      </c>
      <c r="L14" s="58">
        <f t="shared" si="13"/>
        <v>197.81500329163924</v>
      </c>
      <c r="M14" s="4">
        <f t="shared" si="3"/>
        <v>0.81950000000000001</v>
      </c>
      <c r="N14" s="4">
        <f t="shared" si="4"/>
        <v>3.646688097260927</v>
      </c>
      <c r="O14" s="4">
        <f t="shared" si="5"/>
        <v>12.580120293521047</v>
      </c>
      <c r="R14" s="32" t="s">
        <v>36</v>
      </c>
      <c r="S14" s="31"/>
      <c r="T14" s="31"/>
      <c r="U14" s="31"/>
    </row>
    <row r="15" spans="1:25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58">
        <f t="shared" si="11"/>
        <v>1.2254932665205136</v>
      </c>
      <c r="I15" s="5">
        <f t="shared" si="12"/>
        <v>0.60885790251596417</v>
      </c>
      <c r="J15" s="5">
        <f t="shared" si="1"/>
        <v>7.9807625592505218</v>
      </c>
      <c r="K15" s="5">
        <f t="shared" si="2"/>
        <v>268.56635100278822</v>
      </c>
      <c r="L15" s="58">
        <f t="shared" si="13"/>
        <v>199.15491074224869</v>
      </c>
      <c r="M15" s="4">
        <f t="shared" si="3"/>
        <v>0.81950000000000001</v>
      </c>
      <c r="N15" s="4">
        <f t="shared" si="4"/>
        <v>3.7080784200490329</v>
      </c>
      <c r="O15" s="4">
        <f t="shared" si="5"/>
        <v>12.370455419376791</v>
      </c>
      <c r="R15" s="31" t="s">
        <v>47</v>
      </c>
      <c r="S15" s="31">
        <v>12</v>
      </c>
      <c r="T15" s="31" t="s">
        <v>49</v>
      </c>
      <c r="U15" s="31"/>
    </row>
    <row r="16" spans="1:25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58">
        <f t="shared" si="11"/>
        <v>1.2329749103942653</v>
      </c>
      <c r="I16" s="5">
        <f t="shared" si="12"/>
        <v>0.5871976627756651</v>
      </c>
      <c r="J16" s="5">
        <f t="shared" si="1"/>
        <v>8.1050239346027642</v>
      </c>
      <c r="K16" s="5">
        <f t="shared" si="2"/>
        <v>272.64426336478101</v>
      </c>
      <c r="L16" s="58">
        <f t="shared" si="13"/>
        <v>200.37075268817208</v>
      </c>
      <c r="M16" s="4">
        <f t="shared" si="3"/>
        <v>0.81950000000000001</v>
      </c>
      <c r="N16" s="4">
        <f t="shared" si="4"/>
        <v>3.7643818950446759</v>
      </c>
      <c r="O16" s="4">
        <f t="shared" si="5"/>
        <v>12.180799001758736</v>
      </c>
      <c r="R16" s="31" t="s">
        <v>52</v>
      </c>
      <c r="S16" s="31">
        <v>44</v>
      </c>
      <c r="T16" s="31" t="s">
        <v>53</v>
      </c>
      <c r="U16" s="31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B7" sqref="B7"/>
    </sheetView>
  </sheetViews>
  <sheetFormatPr defaultColWidth="9.109375" defaultRowHeight="14.4"/>
  <cols>
    <col min="1" max="1" width="13" style="27" customWidth="1"/>
    <col min="2" max="16384" width="9.109375" style="27"/>
  </cols>
  <sheetData>
    <row r="1" spans="1:11">
      <c r="B1" s="27" t="s">
        <v>193</v>
      </c>
      <c r="C1" s="27" t="s">
        <v>194</v>
      </c>
    </row>
    <row r="2" spans="1:11">
      <c r="A2" s="27" t="s">
        <v>195</v>
      </c>
      <c r="B2" s="27">
        <v>200</v>
      </c>
      <c r="C2" s="27">
        <v>300</v>
      </c>
      <c r="D2" s="2" t="s">
        <v>196</v>
      </c>
      <c r="E2" s="2"/>
      <c r="F2" s="2"/>
      <c r="G2" s="2"/>
      <c r="H2" s="2"/>
      <c r="I2" s="2"/>
      <c r="J2" s="2"/>
      <c r="K2" s="2"/>
    </row>
    <row r="3" spans="1:11">
      <c r="A3" s="27" t="s">
        <v>197</v>
      </c>
      <c r="B3" s="27">
        <v>-0.2</v>
      </c>
      <c r="C3" s="27">
        <v>0.05</v>
      </c>
    </row>
    <row r="6" spans="1:11">
      <c r="A6" s="27" t="s">
        <v>210</v>
      </c>
      <c r="B6" s="27" t="s">
        <v>198</v>
      </c>
      <c r="C6" s="27" t="s">
        <v>198</v>
      </c>
    </row>
    <row r="7" spans="1:11">
      <c r="A7" s="27">
        <v>300</v>
      </c>
      <c r="B7" s="27">
        <f t="shared" ref="B7:B17" si="0">B$3*A7 + (B$2 - (350*B$3))</f>
        <v>210</v>
      </c>
      <c r="C7" s="27">
        <f>C$3*A7 + (C$2 - (350*C$3))</f>
        <v>297.5</v>
      </c>
    </row>
    <row r="8" spans="1:11">
      <c r="A8" s="27">
        <v>350</v>
      </c>
      <c r="B8" s="27">
        <f t="shared" si="0"/>
        <v>200</v>
      </c>
      <c r="C8" s="27">
        <f t="shared" ref="C8:C17" si="1">C$3*A8 + (C$2 - (350*C$3))</f>
        <v>300</v>
      </c>
      <c r="D8" s="2" t="s">
        <v>199</v>
      </c>
      <c r="E8" s="2"/>
      <c r="F8" s="2"/>
      <c r="G8" s="2"/>
    </row>
    <row r="9" spans="1:11">
      <c r="A9" s="27">
        <v>400</v>
      </c>
      <c r="B9" s="27">
        <f t="shared" si="0"/>
        <v>190</v>
      </c>
      <c r="C9" s="27">
        <f t="shared" si="1"/>
        <v>302.5</v>
      </c>
    </row>
    <row r="10" spans="1:11">
      <c r="A10" s="27">
        <v>450</v>
      </c>
      <c r="B10" s="27">
        <f t="shared" si="0"/>
        <v>180</v>
      </c>
      <c r="C10" s="27">
        <f t="shared" si="1"/>
        <v>305</v>
      </c>
    </row>
    <row r="11" spans="1:11">
      <c r="A11" s="27">
        <v>500</v>
      </c>
      <c r="B11" s="27">
        <f t="shared" si="0"/>
        <v>170</v>
      </c>
      <c r="C11" s="27">
        <f t="shared" si="1"/>
        <v>307.5</v>
      </c>
    </row>
    <row r="12" spans="1:11">
      <c r="A12" s="27">
        <v>550</v>
      </c>
      <c r="B12" s="27">
        <f t="shared" si="0"/>
        <v>160</v>
      </c>
      <c r="C12" s="27">
        <f t="shared" si="1"/>
        <v>310</v>
      </c>
    </row>
    <row r="13" spans="1:11">
      <c r="A13" s="27">
        <v>600</v>
      </c>
      <c r="B13" s="27">
        <f t="shared" si="0"/>
        <v>150</v>
      </c>
      <c r="C13" s="27">
        <f t="shared" si="1"/>
        <v>312.5</v>
      </c>
    </row>
    <row r="14" spans="1:11">
      <c r="A14" s="27">
        <v>650</v>
      </c>
      <c r="B14" s="27">
        <f t="shared" si="0"/>
        <v>140</v>
      </c>
      <c r="C14" s="27">
        <f t="shared" si="1"/>
        <v>315</v>
      </c>
    </row>
    <row r="15" spans="1:11">
      <c r="A15" s="27">
        <v>700</v>
      </c>
      <c r="B15" s="27">
        <f t="shared" si="0"/>
        <v>130</v>
      </c>
      <c r="C15" s="27">
        <f t="shared" si="1"/>
        <v>317.5</v>
      </c>
    </row>
    <row r="16" spans="1:11">
      <c r="A16" s="27">
        <v>750</v>
      </c>
      <c r="B16" s="27">
        <f t="shared" si="0"/>
        <v>120</v>
      </c>
      <c r="C16" s="27">
        <f t="shared" si="1"/>
        <v>320</v>
      </c>
    </row>
    <row r="17" spans="1:3">
      <c r="A17" s="27">
        <v>800</v>
      </c>
      <c r="B17" s="27">
        <f t="shared" si="0"/>
        <v>110</v>
      </c>
      <c r="C17" s="27">
        <f t="shared" si="1"/>
        <v>322.5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K6" sqref="K6"/>
    </sheetView>
  </sheetViews>
  <sheetFormatPr defaultRowHeight="14.4"/>
  <cols>
    <col min="2" max="2" width="9.109375" style="27"/>
    <col min="10" max="10" width="12" customWidth="1"/>
  </cols>
  <sheetData>
    <row r="2" spans="1:11">
      <c r="A2" t="s">
        <v>160</v>
      </c>
      <c r="B2" s="27" t="s">
        <v>159</v>
      </c>
      <c r="G2" s="27"/>
    </row>
    <row r="3" spans="1:11">
      <c r="A3" t="s">
        <v>156</v>
      </c>
      <c r="B3" s="27" t="s">
        <v>156</v>
      </c>
      <c r="C3" t="s">
        <v>164</v>
      </c>
      <c r="D3" t="s">
        <v>163</v>
      </c>
      <c r="F3" t="s">
        <v>161</v>
      </c>
      <c r="G3" s="27" t="s">
        <v>162</v>
      </c>
    </row>
    <row r="4" spans="1:11">
      <c r="A4">
        <f>1 - (C4* C4)</f>
        <v>1</v>
      </c>
      <c r="B4" s="27">
        <f>1 - (D4* D4)</f>
        <v>1</v>
      </c>
      <c r="C4">
        <f t="shared" ref="C4:C14" si="0">D4^$K$4</f>
        <v>0</v>
      </c>
      <c r="D4">
        <v>0</v>
      </c>
      <c r="F4">
        <f>1-(A4^$K$5)</f>
        <v>0</v>
      </c>
      <c r="G4" s="27">
        <f>1-(B4^$K$5)</f>
        <v>0</v>
      </c>
      <c r="J4" s="31" t="s">
        <v>157</v>
      </c>
      <c r="K4" s="31">
        <v>2.6</v>
      </c>
    </row>
    <row r="5" spans="1:11">
      <c r="A5" s="27">
        <f t="shared" ref="A5:A14" si="1">1 - (C5* C5)</f>
        <v>0.99999369042655517</v>
      </c>
      <c r="B5" s="27">
        <f t="shared" ref="B5:B14" si="2">1 - (D5* D5)</f>
        <v>0.99</v>
      </c>
      <c r="C5">
        <f t="shared" si="0"/>
        <v>2.5118864315095799E-3</v>
      </c>
      <c r="D5">
        <v>0.1</v>
      </c>
      <c r="F5" s="27">
        <f t="shared" ref="F5:F14" si="3">1-(A5^$K$5)</f>
        <v>6.3095734448292973E-6</v>
      </c>
      <c r="G5" s="27">
        <f t="shared" ref="G5:G14" si="4">1-(B5^$K$5)</f>
        <v>1.0000000000000009E-2</v>
      </c>
      <c r="J5" s="31" t="s">
        <v>158</v>
      </c>
      <c r="K5" s="31">
        <v>1</v>
      </c>
    </row>
    <row r="6" spans="1:11">
      <c r="A6" s="27">
        <f t="shared" si="1"/>
        <v>0.99976807050762317</v>
      </c>
      <c r="B6" s="27">
        <f t="shared" si="2"/>
        <v>0.96</v>
      </c>
      <c r="C6">
        <f t="shared" si="0"/>
        <v>1.5229231509727031E-2</v>
      </c>
      <c r="D6">
        <v>0.2</v>
      </c>
      <c r="F6" s="27">
        <f t="shared" si="3"/>
        <v>2.3192949237682559E-4</v>
      </c>
      <c r="G6" s="27">
        <f t="shared" si="4"/>
        <v>4.0000000000000036E-2</v>
      </c>
    </row>
    <row r="7" spans="1:11">
      <c r="A7" s="27">
        <f t="shared" si="1"/>
        <v>0.99809001250200025</v>
      </c>
      <c r="B7" s="27">
        <f t="shared" si="2"/>
        <v>0.91</v>
      </c>
      <c r="C7">
        <f t="shared" si="0"/>
        <v>4.370340373471833E-2</v>
      </c>
      <c r="D7">
        <v>0.3</v>
      </c>
      <c r="F7" s="27">
        <f t="shared" si="3"/>
        <v>1.9099874979997544E-3</v>
      </c>
      <c r="G7" s="27">
        <f t="shared" si="4"/>
        <v>8.9999999999999969E-2</v>
      </c>
    </row>
    <row r="8" spans="1:11">
      <c r="A8" s="27">
        <f t="shared" si="1"/>
        <v>0.99147465515620481</v>
      </c>
      <c r="B8" s="27">
        <f t="shared" si="2"/>
        <v>0.84</v>
      </c>
      <c r="C8">
        <f t="shared" si="0"/>
        <v>9.233279397806167E-2</v>
      </c>
      <c r="D8">
        <v>0.4</v>
      </c>
      <c r="F8" s="27">
        <f t="shared" si="3"/>
        <v>8.5253448437951906E-3</v>
      </c>
      <c r="G8" s="27">
        <f t="shared" si="4"/>
        <v>0.16000000000000003</v>
      </c>
    </row>
    <row r="9" spans="1:11">
      <c r="A9" s="27">
        <f t="shared" si="1"/>
        <v>0.97279529489699612</v>
      </c>
      <c r="B9" s="27">
        <f t="shared" si="2"/>
        <v>0.75</v>
      </c>
      <c r="C9">
        <f t="shared" si="0"/>
        <v>0.16493848884661177</v>
      </c>
      <c r="D9">
        <v>0.5</v>
      </c>
      <c r="F9" s="27">
        <f t="shared" si="3"/>
        <v>2.7204705103003879E-2</v>
      </c>
      <c r="G9" s="27">
        <f t="shared" si="4"/>
        <v>0.25</v>
      </c>
    </row>
    <row r="10" spans="1:11">
      <c r="A10" s="27">
        <f t="shared" si="1"/>
        <v>0.92979201609544748</v>
      </c>
      <c r="B10" s="27">
        <f t="shared" si="2"/>
        <v>0.64</v>
      </c>
      <c r="C10">
        <f t="shared" si="0"/>
        <v>0.26496789221441996</v>
      </c>
      <c r="D10">
        <v>0.6</v>
      </c>
      <c r="F10" s="27">
        <f t="shared" si="3"/>
        <v>7.0207983904552518E-2</v>
      </c>
      <c r="G10" s="27">
        <f t="shared" si="4"/>
        <v>0.36</v>
      </c>
    </row>
    <row r="11" spans="1:11">
      <c r="A11" s="27">
        <f t="shared" si="1"/>
        <v>0.84350163377001075</v>
      </c>
      <c r="B11" s="27">
        <f t="shared" si="2"/>
        <v>0.51</v>
      </c>
      <c r="C11">
        <f t="shared" si="0"/>
        <v>0.39559874396917555</v>
      </c>
      <c r="D11">
        <v>0.7</v>
      </c>
      <c r="F11" s="27">
        <f t="shared" si="3"/>
        <v>0.15649836622998925</v>
      </c>
      <c r="G11" s="27">
        <f t="shared" si="4"/>
        <v>0.49</v>
      </c>
    </row>
    <row r="12" spans="1:11">
      <c r="A12" s="27">
        <f t="shared" si="1"/>
        <v>0.68662241286880055</v>
      </c>
      <c r="B12" s="27">
        <f t="shared" si="2"/>
        <v>0.35999999999999988</v>
      </c>
      <c r="C12">
        <f t="shared" si="0"/>
        <v>0.55980138185895845</v>
      </c>
      <c r="D12">
        <v>0.8</v>
      </c>
      <c r="F12" s="27">
        <f t="shared" si="3"/>
        <v>0.31337758713119945</v>
      </c>
      <c r="G12" s="27">
        <f t="shared" si="4"/>
        <v>0.64000000000000012</v>
      </c>
    </row>
    <row r="13" spans="1:11">
      <c r="A13" s="27">
        <f t="shared" si="1"/>
        <v>0.42182268350946683</v>
      </c>
      <c r="B13" s="27">
        <f t="shared" si="2"/>
        <v>0.18999999999999995</v>
      </c>
      <c r="C13">
        <f t="shared" si="0"/>
        <v>0.7603797186212512</v>
      </c>
      <c r="D13">
        <v>0.9</v>
      </c>
      <c r="F13" s="27">
        <f t="shared" si="3"/>
        <v>0.57817731649053317</v>
      </c>
      <c r="G13" s="27">
        <f t="shared" si="4"/>
        <v>0.81</v>
      </c>
    </row>
    <row r="14" spans="1:11">
      <c r="A14" s="27">
        <f t="shared" si="1"/>
        <v>0</v>
      </c>
      <c r="B14" s="27">
        <f t="shared" si="2"/>
        <v>0</v>
      </c>
      <c r="C14">
        <f t="shared" si="0"/>
        <v>1</v>
      </c>
      <c r="D14">
        <v>1</v>
      </c>
      <c r="F14" s="27">
        <f t="shared" si="3"/>
        <v>1</v>
      </c>
      <c r="G14" s="27">
        <f t="shared" si="4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E3" sqref="E3"/>
    </sheetView>
  </sheetViews>
  <sheetFormatPr defaultRowHeight="14.4"/>
  <sheetData>
    <row r="1" spans="1:16">
      <c r="A1" s="27" t="s">
        <v>200</v>
      </c>
      <c r="B1" s="27" t="s">
        <v>211</v>
      </c>
      <c r="C1" s="27" t="s">
        <v>212</v>
      </c>
      <c r="D1" s="27" t="s">
        <v>201</v>
      </c>
      <c r="E1" s="27" t="s">
        <v>202</v>
      </c>
      <c r="F1" s="59" t="s">
        <v>203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>
      <c r="A2" s="27">
        <v>0</v>
      </c>
      <c r="B2" s="27">
        <f t="shared" ref="B2:B12" si="0">A2*$E$2+$D$2</f>
        <v>0.8</v>
      </c>
      <c r="C2" s="27">
        <f t="shared" ref="C2:C12" si="1">$F$2*B2</f>
        <v>1.6</v>
      </c>
      <c r="D2" s="27">
        <v>0.8</v>
      </c>
      <c r="E2" s="27">
        <v>0.4</v>
      </c>
      <c r="F2" s="59">
        <v>2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>
      <c r="A3" s="27">
        <v>0.1</v>
      </c>
      <c r="B3" s="27">
        <f t="shared" si="0"/>
        <v>0.84000000000000008</v>
      </c>
      <c r="C3" s="27">
        <f t="shared" si="1"/>
        <v>1.6800000000000002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>
      <c r="A4" s="27">
        <v>0.2</v>
      </c>
      <c r="B4" s="27">
        <f t="shared" si="0"/>
        <v>0.88000000000000012</v>
      </c>
      <c r="C4" s="27">
        <f t="shared" si="1"/>
        <v>1.7600000000000002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>
      <c r="A5" s="27">
        <v>0.3</v>
      </c>
      <c r="B5" s="27">
        <f t="shared" si="0"/>
        <v>0.92</v>
      </c>
      <c r="C5" s="27">
        <f t="shared" si="1"/>
        <v>1.84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>
      <c r="A6" s="27">
        <v>0.4</v>
      </c>
      <c r="B6" s="27">
        <f t="shared" si="0"/>
        <v>0.96000000000000008</v>
      </c>
      <c r="C6" s="27">
        <f t="shared" si="1"/>
        <v>1.9200000000000002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>
      <c r="A7" s="27">
        <v>0.5</v>
      </c>
      <c r="B7" s="27">
        <f t="shared" si="0"/>
        <v>1</v>
      </c>
      <c r="C7" s="27">
        <f t="shared" si="1"/>
        <v>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>
      <c r="A8" s="27">
        <v>0.6</v>
      </c>
      <c r="B8" s="27">
        <f t="shared" si="0"/>
        <v>1.04</v>
      </c>
      <c r="C8" s="27">
        <f t="shared" si="1"/>
        <v>2.08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>
      <c r="A9" s="27">
        <v>0.7</v>
      </c>
      <c r="B9" s="27">
        <f t="shared" si="0"/>
        <v>1.08</v>
      </c>
      <c r="C9" s="27">
        <f t="shared" si="1"/>
        <v>2.16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>
      <c r="A10" s="27">
        <v>0.8</v>
      </c>
      <c r="B10" s="27">
        <f t="shared" si="0"/>
        <v>1.1200000000000001</v>
      </c>
      <c r="C10" s="27">
        <f t="shared" si="1"/>
        <v>2.2400000000000002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>
      <c r="A11" s="27">
        <v>0.9</v>
      </c>
      <c r="B11" s="27">
        <f t="shared" si="0"/>
        <v>1.1600000000000001</v>
      </c>
      <c r="C11" s="27">
        <f t="shared" si="1"/>
        <v>2.3200000000000003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6">
      <c r="A12" s="27">
        <v>1</v>
      </c>
      <c r="B12" s="27">
        <f t="shared" si="0"/>
        <v>1.2000000000000002</v>
      </c>
      <c r="C12" s="27">
        <f t="shared" si="1"/>
        <v>2.4000000000000004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6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6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6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6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6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6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6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1:16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3" sqref="E3"/>
    </sheetView>
  </sheetViews>
  <sheetFormatPr defaultRowHeight="14.4"/>
  <cols>
    <col min="1" max="1" width="12.88671875" customWidth="1"/>
  </cols>
  <sheetData>
    <row r="1" spans="1:9">
      <c r="A1" t="s">
        <v>205</v>
      </c>
      <c r="B1" t="s">
        <v>209</v>
      </c>
      <c r="E1" s="31" t="s">
        <v>204</v>
      </c>
    </row>
    <row r="2" spans="1:9">
      <c r="A2">
        <v>100</v>
      </c>
      <c r="B2">
        <f>EXP(-$E$2*A2)</f>
        <v>0.99401796405393528</v>
      </c>
      <c r="E2" s="31">
        <v>6.0000000000000002E-5</v>
      </c>
    </row>
    <row r="3" spans="1:9">
      <c r="A3">
        <f>A2+1400</f>
        <v>1500</v>
      </c>
      <c r="B3" s="27">
        <f t="shared" ref="B3:B29" si="0">EXP(-$E$2*A3)</f>
        <v>0.91393118527122819</v>
      </c>
    </row>
    <row r="4" spans="1:9">
      <c r="A4" s="27">
        <f t="shared" ref="A4:A29" si="1">A3+1400</f>
        <v>2900</v>
      </c>
      <c r="B4" s="27">
        <f t="shared" si="0"/>
        <v>0.84029689765843141</v>
      </c>
    </row>
    <row r="5" spans="1:9" ht="15.6">
      <c r="A5" s="27">
        <f t="shared" si="1"/>
        <v>4300</v>
      </c>
      <c r="B5" s="27">
        <f t="shared" si="0"/>
        <v>0.77259523210692804</v>
      </c>
      <c r="I5" s="60"/>
    </row>
    <row r="6" spans="1:9">
      <c r="A6" s="27">
        <f t="shared" si="1"/>
        <v>5700</v>
      </c>
      <c r="B6" s="27">
        <f t="shared" si="0"/>
        <v>0.71034820470917726</v>
      </c>
    </row>
    <row r="7" spans="1:9">
      <c r="A7" s="27">
        <f t="shared" si="1"/>
        <v>7100</v>
      </c>
      <c r="B7" s="27">
        <f t="shared" si="0"/>
        <v>0.6531163421206756</v>
      </c>
    </row>
    <row r="8" spans="1:9">
      <c r="A8" s="27">
        <f t="shared" si="1"/>
        <v>8500</v>
      </c>
      <c r="B8" s="27">
        <f t="shared" si="0"/>
        <v>0.6004955788122659</v>
      </c>
    </row>
    <row r="9" spans="1:9">
      <c r="A9" s="27">
        <f t="shared" si="1"/>
        <v>9900</v>
      </c>
      <c r="B9" s="27">
        <f t="shared" si="0"/>
        <v>0.5521144043069306</v>
      </c>
    </row>
    <row r="10" spans="1:9">
      <c r="A10" s="27">
        <f t="shared" si="1"/>
        <v>11300</v>
      </c>
      <c r="B10" s="27">
        <f t="shared" si="0"/>
        <v>0.50763124026013273</v>
      </c>
    </row>
    <row r="11" spans="1:9">
      <c r="A11" s="27">
        <f t="shared" si="1"/>
        <v>12700</v>
      </c>
      <c r="B11" s="27">
        <f t="shared" si="0"/>
        <v>0.46673202886549986</v>
      </c>
    </row>
    <row r="12" spans="1:9">
      <c r="A12" s="27">
        <f t="shared" si="1"/>
        <v>14100</v>
      </c>
      <c r="B12" s="27">
        <f t="shared" si="0"/>
        <v>0.42912801555963254</v>
      </c>
    </row>
    <row r="13" spans="1:9">
      <c r="A13" s="27">
        <f t="shared" si="1"/>
        <v>15500</v>
      </c>
      <c r="B13" s="27">
        <f t="shared" si="0"/>
        <v>0.39455371037160109</v>
      </c>
    </row>
    <row r="14" spans="1:9">
      <c r="A14" s="27">
        <f t="shared" si="1"/>
        <v>16900</v>
      </c>
      <c r="B14" s="27">
        <f t="shared" si="0"/>
        <v>0.36276501352395324</v>
      </c>
    </row>
    <row r="15" spans="1:9">
      <c r="A15" s="27">
        <f t="shared" si="1"/>
        <v>18300</v>
      </c>
      <c r="B15" s="27">
        <f t="shared" si="0"/>
        <v>0.3335374920516932</v>
      </c>
    </row>
    <row r="16" spans="1:9">
      <c r="A16" s="27">
        <f t="shared" si="1"/>
        <v>19700</v>
      </c>
      <c r="B16" s="27">
        <f t="shared" si="0"/>
        <v>0.30666479527190599</v>
      </c>
    </row>
    <row r="17" spans="1:2">
      <c r="A17" s="27">
        <f t="shared" si="1"/>
        <v>21100</v>
      </c>
      <c r="B17" s="27">
        <f t="shared" si="0"/>
        <v>0.28195719791700274</v>
      </c>
    </row>
    <row r="18" spans="1:2">
      <c r="A18" s="27">
        <f t="shared" si="1"/>
        <v>22500</v>
      </c>
      <c r="B18" s="27">
        <f t="shared" si="0"/>
        <v>0.25924026064589151</v>
      </c>
    </row>
    <row r="19" spans="1:2">
      <c r="A19" s="27">
        <f t="shared" si="1"/>
        <v>23900</v>
      </c>
      <c r="B19" s="27">
        <f t="shared" si="0"/>
        <v>0.23835359847607956</v>
      </c>
    </row>
    <row r="20" spans="1:2">
      <c r="A20" s="27">
        <f t="shared" si="1"/>
        <v>25300</v>
      </c>
      <c r="B20" s="27">
        <f t="shared" si="0"/>
        <v>0.2191497484416548</v>
      </c>
    </row>
    <row r="21" spans="1:2">
      <c r="A21" s="27">
        <f t="shared" si="1"/>
        <v>26700</v>
      </c>
      <c r="B21" s="27">
        <f t="shared" si="0"/>
        <v>0.20149312848264125</v>
      </c>
    </row>
    <row r="22" spans="1:2">
      <c r="A22" s="27">
        <f t="shared" si="1"/>
        <v>28100</v>
      </c>
      <c r="B22" s="27">
        <f t="shared" si="0"/>
        <v>0.18525908021533122</v>
      </c>
    </row>
    <row r="23" spans="1:2">
      <c r="A23" s="27">
        <f t="shared" si="1"/>
        <v>29500</v>
      </c>
      <c r="B23" s="27">
        <f t="shared" si="0"/>
        <v>0.17033298882540943</v>
      </c>
    </row>
    <row r="24" spans="1:2">
      <c r="A24" s="27">
        <f t="shared" si="1"/>
        <v>30900</v>
      </c>
      <c r="B24" s="27">
        <f t="shared" si="0"/>
        <v>0.15660947387018301</v>
      </c>
    </row>
    <row r="25" spans="1:2">
      <c r="A25" s="27">
        <f t="shared" si="1"/>
        <v>32300</v>
      </c>
      <c r="B25" s="27">
        <f t="shared" si="0"/>
        <v>0.14399164527685901</v>
      </c>
    </row>
    <row r="26" spans="1:2">
      <c r="A26" s="27">
        <f t="shared" si="1"/>
        <v>33700</v>
      </c>
      <c r="B26" s="27">
        <f t="shared" si="0"/>
        <v>0.13239041928410605</v>
      </c>
    </row>
    <row r="27" spans="1:2">
      <c r="A27" s="27">
        <f t="shared" si="1"/>
        <v>35100</v>
      </c>
      <c r="B27" s="27">
        <f t="shared" si="0"/>
        <v>0.12172388949734589</v>
      </c>
    </row>
    <row r="28" spans="1:2">
      <c r="A28" s="27">
        <f t="shared" si="1"/>
        <v>36500</v>
      </c>
      <c r="B28" s="27">
        <f t="shared" si="0"/>
        <v>0.11191674861732888</v>
      </c>
    </row>
    <row r="29" spans="1:2">
      <c r="A29" s="27">
        <f t="shared" si="1"/>
        <v>37900</v>
      </c>
      <c r="B29" s="27">
        <f t="shared" si="0"/>
        <v>0.102899756759313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R20" sqref="R20"/>
    </sheetView>
  </sheetViews>
  <sheetFormatPr defaultColWidth="9.109375" defaultRowHeight="14.4"/>
  <cols>
    <col min="1" max="1" width="12.44140625" style="27" customWidth="1"/>
    <col min="2" max="2" width="9.109375" style="27"/>
    <col min="3" max="3" width="10.33203125" style="27" customWidth="1"/>
    <col min="4" max="4" width="11" style="27" customWidth="1"/>
    <col min="5" max="5" width="11.5546875" style="27" customWidth="1"/>
    <col min="6" max="6" width="12.44140625" style="27" customWidth="1"/>
    <col min="7" max="7" width="13.33203125" style="27" customWidth="1"/>
    <col min="8" max="8" width="9.109375" style="27"/>
    <col min="9" max="9" width="10.109375" style="27" customWidth="1"/>
    <col min="10" max="16384" width="9.109375" style="27"/>
  </cols>
  <sheetData>
    <row r="1" spans="1:13">
      <c r="A1" s="32" t="s">
        <v>174</v>
      </c>
      <c r="B1" s="31"/>
    </row>
    <row r="2" spans="1:13">
      <c r="A2" s="31" t="s">
        <v>8</v>
      </c>
      <c r="B2" s="31">
        <v>2.5</v>
      </c>
    </row>
    <row r="3" spans="1:13">
      <c r="A3" s="31" t="s">
        <v>2</v>
      </c>
      <c r="B3" s="31">
        <v>25</v>
      </c>
    </row>
    <row r="4" spans="1:13">
      <c r="A4" s="31" t="s">
        <v>165</v>
      </c>
      <c r="B4" s="31">
        <v>0.1</v>
      </c>
    </row>
    <row r="5" spans="1:13">
      <c r="A5" s="31" t="s">
        <v>6</v>
      </c>
      <c r="B5" s="31">
        <v>-46</v>
      </c>
    </row>
    <row r="6" spans="1:13">
      <c r="A6" s="31" t="s">
        <v>7</v>
      </c>
      <c r="B6" s="31">
        <v>72</v>
      </c>
    </row>
    <row r="7" spans="1:13">
      <c r="A7" s="32" t="s">
        <v>175</v>
      </c>
      <c r="B7" s="31"/>
    </row>
    <row r="8" spans="1:13">
      <c r="A8" s="31" t="s">
        <v>5</v>
      </c>
      <c r="B8" s="29">
        <f>B5+B6*B2</f>
        <v>134</v>
      </c>
    </row>
    <row r="10" spans="1:13">
      <c r="A10" s="27" t="s">
        <v>166</v>
      </c>
      <c r="B10" s="27" t="s">
        <v>19</v>
      </c>
      <c r="C10" s="27" t="s">
        <v>167</v>
      </c>
      <c r="D10" s="27" t="s">
        <v>176</v>
      </c>
      <c r="E10" s="27" t="s">
        <v>177</v>
      </c>
      <c r="F10" s="27" t="s">
        <v>168</v>
      </c>
      <c r="G10" s="27" t="s">
        <v>169</v>
      </c>
      <c r="H10" s="27" t="s">
        <v>170</v>
      </c>
      <c r="I10" s="27" t="s">
        <v>171</v>
      </c>
      <c r="J10" s="27" t="s">
        <v>172</v>
      </c>
      <c r="K10" s="27" t="s">
        <v>173</v>
      </c>
      <c r="L10" s="27" t="s">
        <v>178</v>
      </c>
      <c r="M10" s="27" t="s">
        <v>179</v>
      </c>
    </row>
    <row r="11" spans="1:13">
      <c r="A11" s="27">
        <f>$B$3</f>
        <v>25</v>
      </c>
      <c r="B11" s="27">
        <v>0</v>
      </c>
      <c r="C11" s="27">
        <f>(B11+A11)/2</f>
        <v>12.5</v>
      </c>
      <c r="D11" s="27">
        <f>$B$4</f>
        <v>0.1</v>
      </c>
      <c r="E11" s="27">
        <f>0.14-0.002*B11</f>
        <v>0.14000000000000001</v>
      </c>
      <c r="F11" s="27">
        <f>$B$8*D11</f>
        <v>13.4</v>
      </c>
      <c r="G11" s="27">
        <f t="shared" ref="G11:G20" si="0">$B$8*(0.14-0.002*B11)</f>
        <v>18.760000000000002</v>
      </c>
      <c r="H11" s="27">
        <f>2^((B11-A11)/10)</f>
        <v>0.17677669529663687</v>
      </c>
      <c r="I11" s="27">
        <f>(3.22-0.046*C11)^((B11-A11)/10)</f>
        <v>8.7889260244402412E-2</v>
      </c>
      <c r="J11" s="27">
        <f>F11*H11</f>
        <v>2.368807716974934</v>
      </c>
      <c r="K11" s="27">
        <f>G11*I11</f>
        <v>1.6488025221849893</v>
      </c>
      <c r="L11" s="27">
        <f>3.22-0.046*C11</f>
        <v>2.6450000000000005</v>
      </c>
      <c r="M11" s="27">
        <v>2</v>
      </c>
    </row>
    <row r="12" spans="1:13">
      <c r="A12" s="27">
        <f t="shared" ref="A12:A20" si="1">$B$3</f>
        <v>25</v>
      </c>
      <c r="B12" s="27">
        <v>5</v>
      </c>
      <c r="C12" s="27">
        <f t="shared" ref="C12:C20" si="2">(B12+A12)/2</f>
        <v>15</v>
      </c>
      <c r="D12" s="27">
        <f t="shared" ref="D12:D20" si="3">$B$4</f>
        <v>0.1</v>
      </c>
      <c r="E12" s="27">
        <f t="shared" ref="E12:E20" si="4">0.14-0.002*B12</f>
        <v>0.13</v>
      </c>
      <c r="F12" s="27">
        <f t="shared" ref="F12:F20" si="5">$B$8*D12</f>
        <v>13.4</v>
      </c>
      <c r="G12" s="27">
        <f t="shared" si="0"/>
        <v>17.420000000000002</v>
      </c>
      <c r="H12" s="27">
        <f t="shared" ref="H12:H20" si="6">2^((B12-A12)/10)</f>
        <v>0.25</v>
      </c>
      <c r="I12" s="27">
        <f t="shared" ref="I12:I20" si="7">(3.22-0.046*C12)^((B12-A12)/10)</f>
        <v>0.15622803043322031</v>
      </c>
      <c r="J12" s="27">
        <f t="shared" ref="J12:K20" si="8">F12*H12</f>
        <v>3.35</v>
      </c>
      <c r="K12" s="27">
        <f t="shared" si="8"/>
        <v>2.7214922901466982</v>
      </c>
      <c r="L12" s="27">
        <f t="shared" ref="L12:L20" si="9">3.22-0.046*C12</f>
        <v>2.5300000000000002</v>
      </c>
      <c r="M12" s="27">
        <v>2</v>
      </c>
    </row>
    <row r="13" spans="1:13">
      <c r="A13" s="27">
        <f t="shared" si="1"/>
        <v>25</v>
      </c>
      <c r="B13" s="27">
        <v>10</v>
      </c>
      <c r="C13" s="27">
        <f t="shared" si="2"/>
        <v>17.5</v>
      </c>
      <c r="D13" s="27">
        <f t="shared" si="3"/>
        <v>0.1</v>
      </c>
      <c r="E13" s="27">
        <f t="shared" si="4"/>
        <v>0.12000000000000001</v>
      </c>
      <c r="F13" s="27">
        <f t="shared" si="5"/>
        <v>13.4</v>
      </c>
      <c r="G13" s="27">
        <f t="shared" si="0"/>
        <v>16.080000000000002</v>
      </c>
      <c r="H13" s="27">
        <f t="shared" si="6"/>
        <v>0.35355339059327379</v>
      </c>
      <c r="I13" s="27">
        <f t="shared" si="7"/>
        <v>0.26645525966367983</v>
      </c>
      <c r="J13" s="27">
        <f t="shared" si="8"/>
        <v>4.7376154339498688</v>
      </c>
      <c r="K13" s="27">
        <f t="shared" si="8"/>
        <v>4.2846005753919725</v>
      </c>
      <c r="L13" s="27">
        <f t="shared" si="9"/>
        <v>2.415</v>
      </c>
      <c r="M13" s="27">
        <v>2</v>
      </c>
    </row>
    <row r="14" spans="1:13">
      <c r="A14" s="27">
        <f t="shared" si="1"/>
        <v>25</v>
      </c>
      <c r="B14" s="27">
        <v>15</v>
      </c>
      <c r="C14" s="27">
        <f t="shared" si="2"/>
        <v>20</v>
      </c>
      <c r="D14" s="27">
        <f t="shared" si="3"/>
        <v>0.1</v>
      </c>
      <c r="E14" s="27">
        <f t="shared" si="4"/>
        <v>0.11000000000000001</v>
      </c>
      <c r="F14" s="27">
        <f t="shared" si="5"/>
        <v>13.4</v>
      </c>
      <c r="G14" s="27">
        <f t="shared" si="0"/>
        <v>14.740000000000002</v>
      </c>
      <c r="H14" s="27">
        <f t="shared" si="6"/>
        <v>0.5</v>
      </c>
      <c r="I14" s="27">
        <f t="shared" si="7"/>
        <v>0.43478260869565211</v>
      </c>
      <c r="J14" s="27">
        <f t="shared" si="8"/>
        <v>6.7</v>
      </c>
      <c r="K14" s="27">
        <f t="shared" si="8"/>
        <v>6.4086956521739129</v>
      </c>
      <c r="L14" s="27">
        <f t="shared" si="9"/>
        <v>2.3000000000000003</v>
      </c>
      <c r="M14" s="27">
        <v>2</v>
      </c>
    </row>
    <row r="15" spans="1:13">
      <c r="A15" s="27">
        <f t="shared" si="1"/>
        <v>25</v>
      </c>
      <c r="B15" s="27">
        <v>20</v>
      </c>
      <c r="C15" s="27">
        <f t="shared" si="2"/>
        <v>22.5</v>
      </c>
      <c r="D15" s="27">
        <f t="shared" si="3"/>
        <v>0.1</v>
      </c>
      <c r="E15" s="27">
        <f t="shared" si="4"/>
        <v>0.1</v>
      </c>
      <c r="F15" s="27">
        <f t="shared" si="5"/>
        <v>13.4</v>
      </c>
      <c r="G15" s="27">
        <f t="shared" si="0"/>
        <v>13.4</v>
      </c>
      <c r="H15" s="27">
        <f t="shared" si="6"/>
        <v>0.70710678118654746</v>
      </c>
      <c r="I15" s="27">
        <f t="shared" si="7"/>
        <v>0.67651009149173824</v>
      </c>
      <c r="J15" s="27">
        <f t="shared" si="8"/>
        <v>9.4752308678997359</v>
      </c>
      <c r="K15" s="27">
        <f t="shared" si="8"/>
        <v>9.0652352259892925</v>
      </c>
      <c r="L15" s="27">
        <f t="shared" si="9"/>
        <v>2.1850000000000005</v>
      </c>
      <c r="M15" s="27">
        <v>2</v>
      </c>
    </row>
    <row r="16" spans="1:13">
      <c r="A16" s="27">
        <f t="shared" si="1"/>
        <v>25</v>
      </c>
      <c r="B16" s="27">
        <v>25</v>
      </c>
      <c r="C16" s="27">
        <f t="shared" si="2"/>
        <v>25</v>
      </c>
      <c r="D16" s="27">
        <f t="shared" si="3"/>
        <v>0.1</v>
      </c>
      <c r="E16" s="27">
        <f t="shared" si="4"/>
        <v>9.0000000000000011E-2</v>
      </c>
      <c r="F16" s="27">
        <f t="shared" si="5"/>
        <v>13.4</v>
      </c>
      <c r="G16" s="27">
        <f t="shared" si="0"/>
        <v>12.060000000000002</v>
      </c>
      <c r="H16" s="27">
        <f t="shared" si="6"/>
        <v>1</v>
      </c>
      <c r="I16" s="27">
        <f t="shared" si="7"/>
        <v>1</v>
      </c>
      <c r="J16" s="27">
        <f t="shared" si="8"/>
        <v>13.4</v>
      </c>
      <c r="K16" s="27">
        <f t="shared" si="8"/>
        <v>12.060000000000002</v>
      </c>
      <c r="L16" s="27">
        <f t="shared" si="9"/>
        <v>2.0700000000000003</v>
      </c>
      <c r="M16" s="27">
        <v>2</v>
      </c>
    </row>
    <row r="17" spans="1:13">
      <c r="A17" s="27">
        <f t="shared" si="1"/>
        <v>25</v>
      </c>
      <c r="B17" s="27">
        <v>30</v>
      </c>
      <c r="C17" s="27">
        <f t="shared" si="2"/>
        <v>27.5</v>
      </c>
      <c r="D17" s="27">
        <f t="shared" si="3"/>
        <v>0.1</v>
      </c>
      <c r="E17" s="27">
        <f t="shared" si="4"/>
        <v>8.0000000000000016E-2</v>
      </c>
      <c r="F17" s="27">
        <f t="shared" si="5"/>
        <v>13.4</v>
      </c>
      <c r="G17" s="27">
        <f t="shared" si="0"/>
        <v>10.720000000000002</v>
      </c>
      <c r="H17" s="27">
        <f t="shared" si="6"/>
        <v>1.4142135623730951</v>
      </c>
      <c r="I17" s="27">
        <f t="shared" si="7"/>
        <v>1.3982131454109563</v>
      </c>
      <c r="J17" s="27">
        <f t="shared" si="8"/>
        <v>18.950461735799475</v>
      </c>
      <c r="K17" s="27">
        <f t="shared" si="8"/>
        <v>14.988844918805455</v>
      </c>
      <c r="L17" s="27">
        <f t="shared" si="9"/>
        <v>1.9550000000000003</v>
      </c>
      <c r="M17" s="27">
        <v>2</v>
      </c>
    </row>
    <row r="18" spans="1:13">
      <c r="A18" s="27">
        <f t="shared" si="1"/>
        <v>25</v>
      </c>
      <c r="B18" s="27">
        <v>35</v>
      </c>
      <c r="C18" s="27">
        <f t="shared" si="2"/>
        <v>30</v>
      </c>
      <c r="D18" s="27">
        <f t="shared" si="3"/>
        <v>0.1</v>
      </c>
      <c r="E18" s="27">
        <f t="shared" si="4"/>
        <v>7.0000000000000007E-2</v>
      </c>
      <c r="F18" s="27">
        <f t="shared" si="5"/>
        <v>13.4</v>
      </c>
      <c r="G18" s="27">
        <f t="shared" si="0"/>
        <v>9.3800000000000008</v>
      </c>
      <c r="H18" s="27">
        <f t="shared" si="6"/>
        <v>2</v>
      </c>
      <c r="I18" s="27">
        <f t="shared" si="7"/>
        <v>1.8400000000000003</v>
      </c>
      <c r="J18" s="27">
        <f t="shared" si="8"/>
        <v>26.8</v>
      </c>
      <c r="K18" s="27">
        <f t="shared" si="8"/>
        <v>17.259200000000003</v>
      </c>
      <c r="L18" s="27">
        <f t="shared" si="9"/>
        <v>1.8400000000000003</v>
      </c>
      <c r="M18" s="27">
        <v>2</v>
      </c>
    </row>
    <row r="19" spans="1:13">
      <c r="A19" s="27">
        <f t="shared" si="1"/>
        <v>25</v>
      </c>
      <c r="B19" s="27">
        <v>40</v>
      </c>
      <c r="C19" s="27">
        <f t="shared" si="2"/>
        <v>32.5</v>
      </c>
      <c r="D19" s="27">
        <f t="shared" si="3"/>
        <v>0.1</v>
      </c>
      <c r="E19" s="27">
        <f t="shared" si="4"/>
        <v>6.0000000000000012E-2</v>
      </c>
      <c r="F19" s="27">
        <f t="shared" si="5"/>
        <v>13.4</v>
      </c>
      <c r="G19" s="27">
        <f t="shared" si="0"/>
        <v>8.0400000000000009</v>
      </c>
      <c r="H19" s="27">
        <f t="shared" si="6"/>
        <v>2.8284271247461898</v>
      </c>
      <c r="I19" s="27">
        <f t="shared" si="7"/>
        <v>2.2656021550572381</v>
      </c>
      <c r="J19" s="27">
        <f t="shared" si="8"/>
        <v>37.900923471598944</v>
      </c>
      <c r="K19" s="27">
        <f t="shared" si="8"/>
        <v>18.215441326660198</v>
      </c>
      <c r="L19" s="27">
        <f t="shared" si="9"/>
        <v>1.7250000000000003</v>
      </c>
      <c r="M19" s="27">
        <v>2</v>
      </c>
    </row>
    <row r="20" spans="1:13">
      <c r="A20" s="27">
        <f t="shared" si="1"/>
        <v>25</v>
      </c>
      <c r="B20" s="27">
        <v>45</v>
      </c>
      <c r="C20" s="27">
        <f t="shared" si="2"/>
        <v>35</v>
      </c>
      <c r="D20" s="27">
        <f t="shared" si="3"/>
        <v>0.1</v>
      </c>
      <c r="E20" s="27">
        <f t="shared" si="4"/>
        <v>5.0000000000000017E-2</v>
      </c>
      <c r="F20" s="27">
        <f t="shared" si="5"/>
        <v>13.4</v>
      </c>
      <c r="G20" s="27">
        <f t="shared" si="0"/>
        <v>6.700000000000002</v>
      </c>
      <c r="H20" s="27">
        <f t="shared" si="6"/>
        <v>4</v>
      </c>
      <c r="I20" s="27">
        <f t="shared" si="7"/>
        <v>2.5921000000000012</v>
      </c>
      <c r="J20" s="27">
        <f t="shared" si="8"/>
        <v>53.6</v>
      </c>
      <c r="K20" s="27">
        <f t="shared" si="8"/>
        <v>17.367070000000012</v>
      </c>
      <c r="L20" s="27">
        <f t="shared" si="9"/>
        <v>1.6100000000000003</v>
      </c>
      <c r="M20" s="2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75</vt:i4>
      </vt:variant>
    </vt:vector>
  </HeadingPairs>
  <TitlesOfParts>
    <vt:vector size="85" baseType="lpstr">
      <vt:lpstr>PnET-Succ v. PnET-II</vt:lpstr>
      <vt:lpstr>Amax A&amp;B worksheet</vt:lpstr>
      <vt:lpstr>DTemp</vt:lpstr>
      <vt:lpstr>CO2 effects</vt:lpstr>
      <vt:lpstr>CO2HalfSatEff</vt:lpstr>
      <vt:lpstr>EstMod</vt:lpstr>
      <vt:lpstr>AdjFolN</vt:lpstr>
      <vt:lpstr>FrActWd</vt:lpstr>
      <vt:lpstr>Wythers</vt:lpstr>
      <vt:lpstr>fAge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Gustafson, Eric -FS</cp:lastModifiedBy>
  <cp:lastPrinted>2016-05-12T20:31:54Z</cp:lastPrinted>
  <dcterms:created xsi:type="dcterms:W3CDTF">2016-03-04T15:50:18Z</dcterms:created>
  <dcterms:modified xsi:type="dcterms:W3CDTF">2018-06-07T13:15:37Z</dcterms:modified>
</cp:coreProperties>
</file>