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undacionluker-my.sharepoint.com/personal/scardona_funluker_org_co/Documents/fomulIA/"/>
    </mc:Choice>
  </mc:AlternateContent>
  <xr:revisionPtr revIDLastSave="1231" documentId="8_{243C73BA-1439-40DE-9104-190A67347241}" xr6:coauthVersionLast="47" xr6:coauthVersionMax="47" xr10:uidLastSave="{652F4DD3-EEE1-4771-BFA3-CD2DC846092C}"/>
  <bookViews>
    <workbookView xWindow="-110" yWindow="-110" windowWidth="19420" windowHeight="10420" firstSheet="1" activeTab="2" xr2:uid="{B0C7D60E-8102-4CDA-A232-E4B71618C53F}"/>
  </bookViews>
  <sheets>
    <sheet name="Matrícula" sheetId="9" r:id="rId1"/>
    <sheet name="RESUMEN" sheetId="10" r:id="rId2"/>
    <sheet name=" FORMACIÓN" sheetId="1" r:id="rId3"/>
    <sheet name="MONITOREO" sheetId="6" r:id="rId4"/>
    <sheet name="OPERACIÓN" sheetId="8" r:id="rId5"/>
    <sheet name="BASE OPERACIÓN" sheetId="2" r:id="rId6"/>
    <sheet name="CONSULTORÍA" sheetId="5" r:id="rId7"/>
    <sheet name="COSTOS FIJOS" sheetId="3" state="hidden" r:id="rId8"/>
    <sheet name="GASTOS ADMINISTRATIVOS" sheetId="4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6" l="1"/>
  <c r="H19" i="6" s="1"/>
  <c r="H20" i="6" s="1"/>
  <c r="H21" i="6" s="1"/>
  <c r="H22" i="6" s="1"/>
  <c r="H23" i="6" s="1"/>
  <c r="H24" i="6" s="1"/>
  <c r="K18" i="6"/>
  <c r="K19" i="6" s="1"/>
  <c r="K20" i="6" s="1"/>
  <c r="K21" i="6" s="1"/>
  <c r="K22" i="6" s="1"/>
  <c r="K23" i="6" s="1"/>
  <c r="K24" i="6" s="1"/>
  <c r="K25" i="6" s="1"/>
  <c r="J4" i="1"/>
  <c r="J5" i="1" s="1"/>
  <c r="J6" i="1" s="1"/>
  <c r="J7" i="1" s="1"/>
  <c r="J8" i="1" s="1"/>
  <c r="J9" i="1" s="1"/>
  <c r="G56" i="2"/>
  <c r="H56" i="2" s="1"/>
  <c r="C20" i="10" s="1"/>
  <c r="G57" i="2"/>
  <c r="H57" i="2" s="1"/>
  <c r="C21" i="10" s="1"/>
  <c r="G58" i="2"/>
  <c r="H58" i="2" s="1"/>
  <c r="C22" i="10" s="1"/>
  <c r="G59" i="2"/>
  <c r="H59" i="2" s="1"/>
  <c r="C23" i="10" s="1"/>
  <c r="G60" i="2"/>
  <c r="H60" i="2" s="1"/>
  <c r="C24" i="10" s="1"/>
  <c r="G61" i="2"/>
  <c r="H61" i="2" s="1"/>
  <c r="C25" i="10" s="1"/>
  <c r="G62" i="2"/>
  <c r="H62" i="2" s="1"/>
  <c r="C26" i="10" s="1"/>
  <c r="G63" i="2"/>
  <c r="H63" i="2" s="1"/>
  <c r="C27" i="10" s="1"/>
  <c r="G64" i="2"/>
  <c r="H64" i="2" s="1"/>
  <c r="C28" i="10" s="1"/>
  <c r="G65" i="2"/>
  <c r="H65" i="2" s="1"/>
  <c r="C29" i="10" s="1"/>
  <c r="G66" i="2"/>
  <c r="H66" i="2" s="1"/>
  <c r="C30" i="10" s="1"/>
  <c r="G67" i="2"/>
  <c r="H67" i="2" s="1"/>
  <c r="C31" i="10" s="1"/>
  <c r="G68" i="2"/>
  <c r="H68" i="2" s="1"/>
  <c r="C32" i="10" s="1"/>
  <c r="G69" i="2"/>
  <c r="H69" i="2" s="1"/>
  <c r="C33" i="10" s="1"/>
  <c r="G70" i="2"/>
  <c r="H70" i="2" s="1"/>
  <c r="C34" i="10" s="1"/>
  <c r="G71" i="2"/>
  <c r="H71" i="2" s="1"/>
  <c r="C35" i="10" s="1"/>
  <c r="G72" i="2"/>
  <c r="H72" i="2" s="1"/>
  <c r="C36" i="10" s="1"/>
  <c r="G73" i="2"/>
  <c r="H73" i="2" s="1"/>
  <c r="C37" i="10" s="1"/>
  <c r="G74" i="2"/>
  <c r="H74" i="2" s="1"/>
  <c r="C38" i="10" s="1"/>
  <c r="G55" i="2"/>
  <c r="H55" i="2" s="1"/>
  <c r="C19" i="10" s="1"/>
  <c r="S13" i="9"/>
  <c r="Q13" i="9"/>
  <c r="O13" i="9"/>
  <c r="E61" i="2" s="1"/>
  <c r="D25" i="10" s="1"/>
  <c r="M13" i="9"/>
  <c r="K11" i="9"/>
  <c r="K8" i="9"/>
  <c r="K5" i="9"/>
  <c r="J3" i="8"/>
  <c r="B7" i="8" s="1"/>
  <c r="I3" i="8"/>
  <c r="G3" i="8"/>
  <c r="D3" i="8"/>
  <c r="B17" i="6"/>
  <c r="C61" i="10" s="1"/>
  <c r="H3" i="8" l="1"/>
  <c r="B16" i="8"/>
  <c r="B17" i="8" s="1"/>
  <c r="C43" i="10" s="1"/>
  <c r="C77" i="10" s="1"/>
  <c r="I17" i="6"/>
  <c r="B48" i="10"/>
  <c r="E55" i="2"/>
  <c r="D19" i="10" s="1"/>
  <c r="C70" i="10" s="1"/>
  <c r="T13" i="9"/>
  <c r="E60" i="2"/>
  <c r="D24" i="10" s="1"/>
  <c r="C71" i="10" s="1"/>
  <c r="E25" i="10"/>
  <c r="H25" i="6"/>
  <c r="E19" i="10" l="1"/>
  <c r="E24" i="10"/>
  <c r="C3" i="10"/>
  <c r="E33" i="1"/>
  <c r="C23" i="1" s="1"/>
  <c r="C26" i="1" s="1"/>
  <c r="C28" i="1" s="1"/>
  <c r="C29" i="1" s="1"/>
  <c r="E29" i="1" s="1"/>
  <c r="E1" i="6"/>
  <c r="C18" i="6"/>
  <c r="C19" i="6" s="1"/>
  <c r="C20" i="6" s="1"/>
  <c r="C21" i="6" s="1"/>
  <c r="C22" i="6" s="1"/>
  <c r="C23" i="6" s="1"/>
  <c r="B19" i="6"/>
  <c r="B18" i="6"/>
  <c r="C63" i="10" l="1"/>
  <c r="I19" i="6"/>
  <c r="C62" i="10"/>
  <c r="I18" i="6"/>
  <c r="C54" i="10"/>
  <c r="C55" i="10" s="1"/>
  <c r="N3" i="1"/>
  <c r="N4" i="1" s="1"/>
  <c r="N5" i="1" s="1"/>
  <c r="N6" i="1" s="1"/>
  <c r="N7" i="1" s="1"/>
  <c r="N8" i="1" s="1"/>
  <c r="N9" i="1" s="1"/>
  <c r="D19" i="6"/>
  <c r="D18" i="6"/>
  <c r="E2" i="6"/>
  <c r="E3" i="6" s="1"/>
  <c r="D17" i="6"/>
  <c r="C24" i="6"/>
  <c r="C25" i="6" s="1"/>
  <c r="B20" i="6"/>
  <c r="C56" i="10" l="1"/>
  <c r="C64" i="10"/>
  <c r="B21" i="6"/>
  <c r="I20" i="6"/>
  <c r="B38" i="6"/>
  <c r="E5" i="6"/>
  <c r="E25" i="6" s="1"/>
  <c r="D20" i="6"/>
  <c r="C57" i="10" l="1"/>
  <c r="E19" i="6"/>
  <c r="F19" i="6" s="1"/>
  <c r="I21" i="6"/>
  <c r="C65" i="10"/>
  <c r="B22" i="6"/>
  <c r="C66" i="10" s="1"/>
  <c r="E23" i="6"/>
  <c r="E18" i="6"/>
  <c r="F18" i="6" s="1"/>
  <c r="E20" i="6"/>
  <c r="F20" i="6" s="1"/>
  <c r="E24" i="6"/>
  <c r="E17" i="6"/>
  <c r="F17" i="6" s="1"/>
  <c r="E22" i="6"/>
  <c r="E21" i="6"/>
  <c r="F21" i="6" s="1"/>
  <c r="E43" i="6"/>
  <c r="F44" i="6"/>
  <c r="L43" i="6"/>
  <c r="G42" i="6"/>
  <c r="C45" i="6"/>
  <c r="E42" i="6"/>
  <c r="B43" i="6"/>
  <c r="J43" i="6"/>
  <c r="J45" i="6"/>
  <c r="F43" i="6"/>
  <c r="C43" i="6"/>
  <c r="K45" i="6"/>
  <c r="E45" i="6"/>
  <c r="L42" i="6"/>
  <c r="L45" i="6"/>
  <c r="E44" i="6"/>
  <c r="L44" i="6"/>
  <c r="D45" i="6"/>
  <c r="F45" i="6"/>
  <c r="D42" i="6"/>
  <c r="G43" i="6"/>
  <c r="G44" i="6"/>
  <c r="K43" i="6"/>
  <c r="G45" i="6"/>
  <c r="B42" i="6"/>
  <c r="J44" i="6"/>
  <c r="B45" i="6"/>
  <c r="F42" i="6"/>
  <c r="C44" i="6"/>
  <c r="K42" i="6"/>
  <c r="K44" i="6"/>
  <c r="D44" i="6"/>
  <c r="B44" i="6"/>
  <c r="D43" i="6"/>
  <c r="J42" i="6"/>
  <c r="C42" i="6"/>
  <c r="D21" i="6"/>
  <c r="C58" i="10" l="1"/>
  <c r="D22" i="6"/>
  <c r="I22" i="6"/>
  <c r="K46" i="6"/>
  <c r="G24" i="6" s="1"/>
  <c r="E46" i="6"/>
  <c r="G20" i="6" s="1"/>
  <c r="J20" i="6" s="1"/>
  <c r="F46" i="6"/>
  <c r="G21" i="6" s="1"/>
  <c r="J21" i="6" s="1"/>
  <c r="L46" i="6"/>
  <c r="G25" i="6" s="1"/>
  <c r="C46" i="6"/>
  <c r="G18" i="6" s="1"/>
  <c r="J18" i="6" s="1"/>
  <c r="D46" i="6"/>
  <c r="G19" i="6" s="1"/>
  <c r="J19" i="6" s="1"/>
  <c r="G46" i="6"/>
  <c r="G22" i="6" s="1"/>
  <c r="B46" i="6"/>
  <c r="G17" i="6" s="1"/>
  <c r="J17" i="6" s="1"/>
  <c r="J46" i="6"/>
  <c r="G23" i="6" s="1"/>
  <c r="F22" i="6"/>
  <c r="J22" i="6" l="1"/>
  <c r="L22" i="6" s="1"/>
  <c r="M22" i="6" s="1"/>
  <c r="B9" i="6" s="1"/>
  <c r="B12" i="10" s="1"/>
  <c r="E66" i="10" s="1"/>
  <c r="F66" i="10" s="1"/>
  <c r="C59" i="10"/>
  <c r="G26" i="6"/>
  <c r="L19" i="6"/>
  <c r="M19" i="6" s="1"/>
  <c r="B6" i="6" s="1"/>
  <c r="B9" i="10" s="1"/>
  <c r="E63" i="10" s="1"/>
  <c r="F63" i="10" s="1"/>
  <c r="L18" i="6"/>
  <c r="M18" i="6" s="1"/>
  <c r="B5" i="6" s="1"/>
  <c r="B8" i="10" s="1"/>
  <c r="E62" i="10" s="1"/>
  <c r="F62" i="10" s="1"/>
  <c r="L21" i="6"/>
  <c r="M21" i="6" s="1"/>
  <c r="B8" i="6" s="1"/>
  <c r="B11" i="10" s="1"/>
  <c r="E65" i="10" s="1"/>
  <c r="F65" i="10" s="1"/>
  <c r="L20" i="6"/>
  <c r="M20" i="6" s="1"/>
  <c r="B7" i="6" s="1"/>
  <c r="B10" i="10" s="1"/>
  <c r="E64" i="10" s="1"/>
  <c r="F64" i="10" s="1"/>
  <c r="M46" i="6"/>
  <c r="C60" i="10" l="1"/>
  <c r="L17" i="6"/>
  <c r="M17" i="6" s="1"/>
  <c r="B4" i="6" s="1"/>
  <c r="B7" i="10" s="1"/>
  <c r="E61" i="10" s="1"/>
  <c r="F61" i="10" s="1"/>
  <c r="B5" i="5" l="1"/>
  <c r="B6" i="5" s="1"/>
  <c r="B8" i="5" s="1"/>
  <c r="E8" i="4"/>
  <c r="E7" i="4"/>
  <c r="E6" i="4"/>
  <c r="E5" i="4"/>
  <c r="E4" i="4"/>
  <c r="E16" i="3"/>
  <c r="F16" i="3" s="1"/>
  <c r="E15" i="3"/>
  <c r="F15" i="3" s="1"/>
  <c r="E14" i="3"/>
  <c r="F14" i="3" s="1"/>
  <c r="F10" i="3"/>
  <c r="F9" i="3"/>
  <c r="E7" i="3"/>
  <c r="F7" i="3" s="1"/>
  <c r="F6" i="3"/>
  <c r="E5" i="3"/>
  <c r="F5" i="3" s="1"/>
  <c r="E4" i="3"/>
  <c r="F4" i="3" s="1"/>
  <c r="E3" i="3"/>
  <c r="F3" i="3" s="1"/>
  <c r="E2" i="3"/>
  <c r="E9" i="4" l="1"/>
  <c r="F2" i="3"/>
  <c r="E11" i="3"/>
  <c r="F11" i="3" s="1"/>
  <c r="F12" i="3" l="1"/>
  <c r="F17" i="3" s="1"/>
  <c r="E12" i="3"/>
  <c r="D105" i="2" l="1"/>
  <c r="F82" i="2"/>
  <c r="C81" i="2"/>
  <c r="F81" i="2" s="1"/>
  <c r="I25" i="2"/>
  <c r="I23" i="2"/>
  <c r="F25" i="2"/>
  <c r="B23" i="6" s="1"/>
  <c r="F23" i="2"/>
  <c r="F22" i="2"/>
  <c r="E19" i="2"/>
  <c r="E16" i="2"/>
  <c r="E15" i="2"/>
  <c r="C10" i="2"/>
  <c r="E16" i="1"/>
  <c r="E15" i="1"/>
  <c r="E14" i="1"/>
  <c r="F10" i="1"/>
  <c r="C10" i="1"/>
  <c r="H4" i="1"/>
  <c r="H5" i="1"/>
  <c r="H6" i="1"/>
  <c r="H7" i="1"/>
  <c r="H8" i="1"/>
  <c r="H9" i="1"/>
  <c r="E4" i="1"/>
  <c r="E5" i="1"/>
  <c r="E6" i="1"/>
  <c r="E7" i="1"/>
  <c r="E8" i="1"/>
  <c r="E9" i="1"/>
  <c r="H3" i="1"/>
  <c r="E3" i="1"/>
  <c r="B24" i="6" l="1"/>
  <c r="C68" i="10" s="1"/>
  <c r="C67" i="10"/>
  <c r="I23" i="6"/>
  <c r="G25" i="2"/>
  <c r="E72" i="2" s="1"/>
  <c r="D36" i="10" s="1"/>
  <c r="B6" i="8"/>
  <c r="B8" i="8" s="1"/>
  <c r="C42" i="10" s="1"/>
  <c r="C76" i="10" s="1"/>
  <c r="E56" i="2"/>
  <c r="G22" i="2"/>
  <c r="F61" i="2"/>
  <c r="G23" i="2"/>
  <c r="H23" i="2" s="1"/>
  <c r="J23" i="2" s="1"/>
  <c r="E17" i="1"/>
  <c r="E19" i="1" s="1"/>
  <c r="G99" i="2"/>
  <c r="D99" i="2"/>
  <c r="E99" i="2"/>
  <c r="F99" i="2"/>
  <c r="I8" i="1"/>
  <c r="I9" i="1"/>
  <c r="C113" i="2"/>
  <c r="D113" i="2" s="1"/>
  <c r="E113" i="2" s="1"/>
  <c r="F113" i="2" s="1"/>
  <c r="G113" i="2" s="1"/>
  <c r="E62" i="2"/>
  <c r="F83" i="2"/>
  <c r="E67" i="2"/>
  <c r="D31" i="10" s="1"/>
  <c r="E31" i="10" s="1"/>
  <c r="E71" i="2"/>
  <c r="F60" i="2"/>
  <c r="E59" i="2"/>
  <c r="E58" i="2"/>
  <c r="F55" i="2"/>
  <c r="E57" i="2"/>
  <c r="E10" i="1"/>
  <c r="I7" i="1"/>
  <c r="I6" i="1"/>
  <c r="I3" i="1"/>
  <c r="I4" i="1"/>
  <c r="H10" i="1"/>
  <c r="I5" i="1"/>
  <c r="E73" i="2" l="1"/>
  <c r="D37" i="10" s="1"/>
  <c r="E37" i="10" s="1"/>
  <c r="F62" i="2"/>
  <c r="D26" i="10"/>
  <c r="C72" i="10"/>
  <c r="E36" i="10"/>
  <c r="F59" i="2"/>
  <c r="D23" i="10"/>
  <c r="E23" i="10" s="1"/>
  <c r="F56" i="2"/>
  <c r="D20" i="10"/>
  <c r="E20" i="10" s="1"/>
  <c r="F19" i="10" s="1"/>
  <c r="G19" i="10" s="1"/>
  <c r="E70" i="10" s="1"/>
  <c r="F70" i="10" s="1"/>
  <c r="F57" i="2"/>
  <c r="D21" i="10"/>
  <c r="F71" i="2"/>
  <c r="D35" i="10"/>
  <c r="F58" i="2"/>
  <c r="D22" i="10"/>
  <c r="E22" i="10" s="1"/>
  <c r="C30" i="2"/>
  <c r="D44" i="2" s="1"/>
  <c r="E44" i="2" s="1"/>
  <c r="F72" i="2"/>
  <c r="K6" i="1"/>
  <c r="L6" i="1" s="1"/>
  <c r="K9" i="1"/>
  <c r="L9" i="1" s="1"/>
  <c r="K8" i="1"/>
  <c r="L8" i="1" s="1"/>
  <c r="K5" i="1"/>
  <c r="L5" i="1" s="1"/>
  <c r="K4" i="1"/>
  <c r="L4" i="1" s="1"/>
  <c r="K3" i="1"/>
  <c r="K7" i="1"/>
  <c r="L7" i="1" s="1"/>
  <c r="I24" i="6"/>
  <c r="D23" i="6"/>
  <c r="F23" i="6"/>
  <c r="E20" i="1"/>
  <c r="G20" i="1" s="1"/>
  <c r="F85" i="2"/>
  <c r="F86" i="2" s="1"/>
  <c r="C99" i="2" s="1"/>
  <c r="E63" i="2"/>
  <c r="F67" i="2"/>
  <c r="E68" i="2"/>
  <c r="D32" i="10" s="1"/>
  <c r="E32" i="10" s="1"/>
  <c r="H22" i="2"/>
  <c r="J22" i="2" s="1"/>
  <c r="H25" i="2"/>
  <c r="J25" i="2" s="1"/>
  <c r="I10" i="1"/>
  <c r="M7" i="1" l="1"/>
  <c r="O7" i="1" s="1"/>
  <c r="E58" i="10" s="1"/>
  <c r="F58" i="10" s="1"/>
  <c r="M4" i="1"/>
  <c r="O4" i="1" s="1"/>
  <c r="E55" i="10" s="1"/>
  <c r="F55" i="10" s="1"/>
  <c r="F73" i="2"/>
  <c r="E74" i="2"/>
  <c r="D38" i="10" s="1"/>
  <c r="E38" i="10" s="1"/>
  <c r="J23" i="6"/>
  <c r="C32" i="2"/>
  <c r="C34" i="2" s="1"/>
  <c r="C36" i="2" s="1"/>
  <c r="C37" i="2" s="1"/>
  <c r="C100" i="2" s="1"/>
  <c r="D100" i="2" s="1"/>
  <c r="E100" i="2" s="1"/>
  <c r="F100" i="2" s="1"/>
  <c r="G100" i="2" s="1"/>
  <c r="M9" i="1"/>
  <c r="O9" i="1" s="1"/>
  <c r="E60" i="10" s="1"/>
  <c r="F60" i="10" s="1"/>
  <c r="M5" i="1"/>
  <c r="O5" i="1" s="1"/>
  <c r="E56" i="10" s="1"/>
  <c r="F56" i="10" s="1"/>
  <c r="M8" i="1"/>
  <c r="O8" i="1" s="1"/>
  <c r="E59" i="10" s="1"/>
  <c r="F59" i="10" s="1"/>
  <c r="K10" i="1"/>
  <c r="M6" i="1"/>
  <c r="O6" i="1" s="1"/>
  <c r="E57" i="10" s="1"/>
  <c r="F57" i="10" s="1"/>
  <c r="F63" i="2"/>
  <c r="D27" i="10"/>
  <c r="E27" i="10" s="1"/>
  <c r="C74" i="10"/>
  <c r="E26" i="10"/>
  <c r="C73" i="10"/>
  <c r="E21" i="10"/>
  <c r="F21" i="10" s="1"/>
  <c r="G21" i="10" s="1"/>
  <c r="E73" i="10" s="1"/>
  <c r="C75" i="10"/>
  <c r="E35" i="10"/>
  <c r="F35" i="10" s="1"/>
  <c r="E75" i="10" s="1"/>
  <c r="D43" i="2"/>
  <c r="E43" i="2" s="1"/>
  <c r="D42" i="2"/>
  <c r="E42" i="2" s="1"/>
  <c r="D41" i="2"/>
  <c r="E41" i="2" s="1"/>
  <c r="D40" i="2"/>
  <c r="E40" i="2" s="1"/>
  <c r="L3" i="1"/>
  <c r="B25" i="6"/>
  <c r="D24" i="6"/>
  <c r="F24" i="6"/>
  <c r="E64" i="2"/>
  <c r="F68" i="2"/>
  <c r="E69" i="2"/>
  <c r="J26" i="2"/>
  <c r="J28" i="2" s="1"/>
  <c r="F74" i="2" l="1"/>
  <c r="F73" i="10"/>
  <c r="F75" i="10"/>
  <c r="E45" i="2"/>
  <c r="E47" i="2" s="1"/>
  <c r="E48" i="2" s="1"/>
  <c r="I25" i="6"/>
  <c r="C69" i="10"/>
  <c r="F69" i="2"/>
  <c r="D33" i="10"/>
  <c r="E33" i="10" s="1"/>
  <c r="F24" i="10" s="1"/>
  <c r="G24" i="10" s="1"/>
  <c r="E71" i="10" s="1"/>
  <c r="F71" i="10" s="1"/>
  <c r="L10" i="1"/>
  <c r="E32" i="1" s="1"/>
  <c r="C94" i="2" s="1"/>
  <c r="C103" i="2" s="1"/>
  <c r="D103" i="2" s="1"/>
  <c r="E103" i="2" s="1"/>
  <c r="F103" i="2" s="1"/>
  <c r="G103" i="2" s="1"/>
  <c r="M3" i="1"/>
  <c r="O3" i="1" s="1"/>
  <c r="E54" i="10" s="1"/>
  <c r="F64" i="2"/>
  <c r="D28" i="10"/>
  <c r="E28" i="10" s="1"/>
  <c r="F36" i="10"/>
  <c r="G36" i="10" s="1"/>
  <c r="E72" i="10" s="1"/>
  <c r="F72" i="10" s="1"/>
  <c r="J24" i="6"/>
  <c r="L24" i="6" s="1"/>
  <c r="M24" i="6" s="1"/>
  <c r="B11" i="6" s="1"/>
  <c r="B14" i="10" s="1"/>
  <c r="E68" i="10" s="1"/>
  <c r="F68" i="10" s="1"/>
  <c r="D25" i="6"/>
  <c r="D26" i="6" s="1"/>
  <c r="F25" i="6"/>
  <c r="F26" i="6" s="1"/>
  <c r="L23" i="6"/>
  <c r="M23" i="6" s="1"/>
  <c r="E65" i="2"/>
  <c r="E66" i="2" l="1"/>
  <c r="F66" i="2" s="1"/>
  <c r="D29" i="10"/>
  <c r="E29" i="10" s="1"/>
  <c r="E34" i="1"/>
  <c r="B3" i="10" s="1"/>
  <c r="D3" i="10" s="1"/>
  <c r="F54" i="10"/>
  <c r="J25" i="6"/>
  <c r="F65" i="2"/>
  <c r="B10" i="6"/>
  <c r="B13" i="10" s="1"/>
  <c r="E67" i="10" s="1"/>
  <c r="F67" i="10" s="1"/>
  <c r="J29" i="2"/>
  <c r="B5" i="8" s="1"/>
  <c r="E70" i="2" l="1"/>
  <c r="D30" i="10"/>
  <c r="E30" i="10" s="1"/>
  <c r="B12" i="8"/>
  <c r="B18" i="8" s="1"/>
  <c r="B43" i="10" s="1"/>
  <c r="B9" i="8"/>
  <c r="B42" i="10" s="1"/>
  <c r="C98" i="2"/>
  <c r="D98" i="2" s="1"/>
  <c r="E98" i="2" s="1"/>
  <c r="F98" i="2" s="1"/>
  <c r="L25" i="6"/>
  <c r="M25" i="6" s="1"/>
  <c r="J26" i="6"/>
  <c r="F70" i="2" l="1"/>
  <c r="F75" i="2" s="1"/>
  <c r="F77" i="2" s="1"/>
  <c r="F78" i="2" s="1"/>
  <c r="C101" i="2" s="1"/>
  <c r="D34" i="10"/>
  <c r="E34" i="10" s="1"/>
  <c r="E39" i="10" s="1"/>
  <c r="D42" i="10"/>
  <c r="E76" i="10"/>
  <c r="F76" i="10" s="1"/>
  <c r="D43" i="10"/>
  <c r="E77" i="10"/>
  <c r="F77" i="10" s="1"/>
  <c r="B12" i="6"/>
  <c r="M26" i="6"/>
  <c r="G98" i="2"/>
  <c r="C109" i="2" l="1"/>
  <c r="D109" i="2" s="1"/>
  <c r="D44" i="10"/>
  <c r="F26" i="10"/>
  <c r="G26" i="10" s="1"/>
  <c r="E74" i="10" s="1"/>
  <c r="F74" i="10" s="1"/>
  <c r="B13" i="6"/>
  <c r="C90" i="2" s="1"/>
  <c r="C102" i="2" s="1"/>
  <c r="D102" i="2" s="1"/>
  <c r="B15" i="10"/>
  <c r="D101" i="2"/>
  <c r="B16" i="10" l="1"/>
  <c r="B47" i="10" s="1"/>
  <c r="B49" i="10" s="1"/>
  <c r="E69" i="10"/>
  <c r="F69" i="10" s="1"/>
  <c r="F78" i="10" s="1"/>
  <c r="E102" i="2"/>
  <c r="F102" i="2"/>
  <c r="G102" i="2"/>
  <c r="C104" i="2"/>
  <c r="C106" i="2" s="1"/>
  <c r="C107" i="2" s="1"/>
  <c r="C114" i="2" s="1"/>
  <c r="D104" i="2"/>
  <c r="D106" i="2" s="1"/>
  <c r="D107" i="2" s="1"/>
  <c r="D114" i="2" s="1"/>
  <c r="E101" i="2"/>
  <c r="E109" i="2"/>
  <c r="C110" i="2" l="1"/>
  <c r="C111" i="2" s="1"/>
  <c r="D110" i="2"/>
  <c r="D111" i="2" s="1"/>
  <c r="G101" i="2"/>
  <c r="G104" i="2" s="1"/>
  <c r="G106" i="2" s="1"/>
  <c r="G107" i="2" s="1"/>
  <c r="G114" i="2" s="1"/>
  <c r="E104" i="2"/>
  <c r="E106" i="2" s="1"/>
  <c r="E107" i="2" s="1"/>
  <c r="E114" i="2" s="1"/>
  <c r="F101" i="2"/>
  <c r="F104" i="2" s="1"/>
  <c r="F106" i="2" s="1"/>
  <c r="F107" i="2" s="1"/>
  <c r="F114" i="2" s="1"/>
  <c r="F109" i="2"/>
  <c r="E110" i="2" l="1"/>
  <c r="E111" i="2" s="1"/>
  <c r="G109" i="2"/>
  <c r="G110" i="2" s="1"/>
  <c r="G111" i="2" s="1"/>
  <c r="F110" i="2"/>
  <c r="F111" i="2" s="1"/>
</calcChain>
</file>

<file path=xl/sharedStrings.xml><?xml version="1.0" encoding="utf-8"?>
<sst xmlns="http://schemas.openxmlformats.org/spreadsheetml/2006/main" count="476" uniqueCount="250">
  <si>
    <t>Introducción y ruta metodológica transición</t>
  </si>
  <si>
    <t>Introducción y marco conceptual 1°</t>
  </si>
  <si>
    <t>Ruta metodológica y uso de materiales 1°</t>
  </si>
  <si>
    <t>Ruta evaluativa y diferenciación en el aula 1°</t>
  </si>
  <si>
    <t>Introducción y ruta metodológica remediación</t>
  </si>
  <si>
    <t>Evaluaciones diagnósticas remediación</t>
  </si>
  <si>
    <t>Capacitación aplicadores pruebas EGRA</t>
  </si>
  <si>
    <t>N° Horas efectivas</t>
  </si>
  <si>
    <t>N° Horas de viaje</t>
  </si>
  <si>
    <t>Valor Hora Efectiva</t>
  </si>
  <si>
    <t>Valor hora de viaje</t>
  </si>
  <si>
    <t>Valor total horas efectivas</t>
  </si>
  <si>
    <t>Valor total horas de viaje</t>
  </si>
  <si>
    <t>Valor total formación</t>
  </si>
  <si>
    <t>Margen</t>
  </si>
  <si>
    <t>Valor total</t>
  </si>
  <si>
    <t>Valor  formación</t>
  </si>
  <si>
    <t>Valor margen</t>
  </si>
  <si>
    <t>TOTAL</t>
  </si>
  <si>
    <t>GASTOS DE VIAJE</t>
  </si>
  <si>
    <t>Valor noche de hotel</t>
  </si>
  <si>
    <t>Valor viáticos diarios</t>
  </si>
  <si>
    <t>Valor Tiketes/pasajes</t>
  </si>
  <si>
    <t>Días/noches</t>
  </si>
  <si>
    <t>SUBTOTAL</t>
  </si>
  <si>
    <t>VALOR MARGEN</t>
  </si>
  <si>
    <t>TOTAL VIAJES</t>
  </si>
  <si>
    <t xml:space="preserve">Grado </t>
  </si>
  <si>
    <t>ITEM</t>
  </si>
  <si>
    <t>Valor Unitario</t>
  </si>
  <si>
    <t>Cantidad</t>
  </si>
  <si>
    <t>Transición</t>
  </si>
  <si>
    <t>Guía docente tomo I</t>
  </si>
  <si>
    <t>Guía estudiante unidad I</t>
  </si>
  <si>
    <t>Guía estudiante unidad II</t>
  </si>
  <si>
    <t>Coordinador</t>
  </si>
  <si>
    <t>Libro de Cuentos</t>
  </si>
  <si>
    <t>Coordinador tutores</t>
  </si>
  <si>
    <t>Primero</t>
  </si>
  <si>
    <t>Guía docente tomo II</t>
  </si>
  <si>
    <t>1 Tutor</t>
  </si>
  <si>
    <t>1 asesor</t>
  </si>
  <si>
    <t>estudiantes</t>
  </si>
  <si>
    <t>Guía estudiante unidad III</t>
  </si>
  <si>
    <t>1 sede</t>
  </si>
  <si>
    <t>Guía estudiante unidad IV</t>
  </si>
  <si>
    <t>Big Book</t>
  </si>
  <si>
    <t>Fichas</t>
  </si>
  <si>
    <t>Componedores Aula</t>
  </si>
  <si>
    <t>Componedores</t>
  </si>
  <si>
    <t>Remediación</t>
  </si>
  <si>
    <t>Libro lectura estudiante</t>
  </si>
  <si>
    <t>Guía Tutor I</t>
  </si>
  <si>
    <t>MATERIALES</t>
  </si>
  <si>
    <t>Guía Tutor II</t>
  </si>
  <si>
    <t>Guía Tutor III</t>
  </si>
  <si>
    <t>Total</t>
  </si>
  <si>
    <t>FORMACIÓN</t>
  </si>
  <si>
    <t>SISTEMA MONITOREO</t>
  </si>
  <si>
    <t>ADMON</t>
  </si>
  <si>
    <t>1 grupo</t>
  </si>
  <si>
    <t>Grupos</t>
  </si>
  <si>
    <t>estudiantes 0°</t>
  </si>
  <si>
    <t>estudiantes 1°</t>
  </si>
  <si>
    <t>estudiantes 2°-5°</t>
  </si>
  <si>
    <t>% estudiantes que requieren remediación</t>
  </si>
  <si>
    <t>Total estudiantes en remediación</t>
  </si>
  <si>
    <t>Personal</t>
  </si>
  <si>
    <t>SUPUESTOS</t>
  </si>
  <si>
    <t>SEDES</t>
  </si>
  <si>
    <t>GRUPOS</t>
  </si>
  <si>
    <t>ESTUDIANTES REMEDIACIÓN</t>
  </si>
  <si>
    <t>REMEDIACIÓN</t>
  </si>
  <si>
    <t>Cantidad asesores</t>
  </si>
  <si>
    <t>Cantidad Tutores</t>
  </si>
  <si>
    <t>Valor mensual</t>
  </si>
  <si>
    <t>Meses</t>
  </si>
  <si>
    <t>TOTAL PERSONAL CAMPO</t>
  </si>
  <si>
    <t>GASTOS DE MOVILIDAD</t>
  </si>
  <si>
    <t>Cantidad de personal</t>
  </si>
  <si>
    <t>Valor mes persona</t>
  </si>
  <si>
    <t>Valor mes total</t>
  </si>
  <si>
    <t>Valor anual</t>
  </si>
  <si>
    <t>Cantidades</t>
  </si>
  <si>
    <t>COORDINACIÓN</t>
  </si>
  <si>
    <t>Coordinador General</t>
  </si>
  <si>
    <t>Coordinador de tutores</t>
  </si>
  <si>
    <t>MONITOREO Y EVALUACIÓN</t>
  </si>
  <si>
    <t>RESUMEN</t>
  </si>
  <si>
    <t>PERSONAL DE CAMPO</t>
  </si>
  <si>
    <t>VALOR ADMON</t>
  </si>
  <si>
    <t>VALOR TOTAL</t>
  </si>
  <si>
    <t>CANTIDAD DE ESTUDIANTES IMPACTADOS</t>
  </si>
  <si>
    <t>COSTO X ESTUDIANTE</t>
  </si>
  <si>
    <t>25  sedes</t>
  </si>
  <si>
    <t>50 sedes</t>
  </si>
  <si>
    <t>100 sedes</t>
  </si>
  <si>
    <t>200 sedes</t>
  </si>
  <si>
    <t>300 sedes</t>
  </si>
  <si>
    <t>Concepto</t>
  </si>
  <si>
    <t>Valor unitario</t>
  </si>
  <si>
    <t>Valor total inicial</t>
  </si>
  <si>
    <t>Valor proyectado</t>
  </si>
  <si>
    <t>Coordinador proyectos</t>
  </si>
  <si>
    <t>Coordinador de alianzas</t>
  </si>
  <si>
    <t xml:space="preserve">Asistente evaluación </t>
  </si>
  <si>
    <t>Apoyo análisis datos (Zarate)</t>
  </si>
  <si>
    <t>Materiales para portafolio</t>
  </si>
  <si>
    <t>Viáticos</t>
  </si>
  <si>
    <t>Papelería</t>
  </si>
  <si>
    <t>Arrendamiento equipo de cómputo</t>
  </si>
  <si>
    <t>Licencias software</t>
  </si>
  <si>
    <t>Imprevistos</t>
  </si>
  <si>
    <t>Líder educación</t>
  </si>
  <si>
    <t xml:space="preserve">Director Educación </t>
  </si>
  <si>
    <t>Coordinador Evaluaciones</t>
  </si>
  <si>
    <t>Rol</t>
  </si>
  <si>
    <t>Costo mensual</t>
  </si>
  <si>
    <t>Dedicación Mensual</t>
  </si>
  <si>
    <t>Líder contabilidad</t>
  </si>
  <si>
    <t>Analista contable</t>
  </si>
  <si>
    <t>Directora Jurídica y Administrativa</t>
  </si>
  <si>
    <t>Coordinadora Administrativa</t>
  </si>
  <si>
    <t>Asistente de proyectos</t>
  </si>
  <si>
    <t>VALOR HORA CONSULTORÍA</t>
  </si>
  <si>
    <t>Valor total hora consultoría</t>
  </si>
  <si>
    <t>N° horas</t>
  </si>
  <si>
    <t>Valor horas consultoría</t>
  </si>
  <si>
    <t>VALOR ANUAL ESCENARIO A</t>
  </si>
  <si>
    <t>TEMA</t>
  </si>
  <si>
    <t>costo unitario mes</t>
  </si>
  <si>
    <t>costo año</t>
  </si>
  <si>
    <t xml:space="preserve">Margen </t>
  </si>
  <si>
    <t xml:space="preserve">Total   </t>
  </si>
  <si>
    <t>MArgen</t>
  </si>
  <si>
    <t>Margen interno</t>
  </si>
  <si>
    <t>Total Margen esperado</t>
  </si>
  <si>
    <t xml:space="preserve">Total Margen % </t>
  </si>
  <si>
    <t>AIU</t>
  </si>
  <si>
    <t>costo Tutor</t>
  </si>
  <si>
    <t>costo Asesor</t>
  </si>
  <si>
    <t>Total formación</t>
  </si>
  <si>
    <t>Profesores</t>
  </si>
  <si>
    <t>Valor por docente</t>
  </si>
  <si>
    <t>REFRIGERIOS</t>
  </si>
  <si>
    <t>Cantidad docentes</t>
  </si>
  <si>
    <t>Costo unitario refrigerio</t>
  </si>
  <si>
    <t>Costo total refrigerios</t>
  </si>
  <si>
    <t>Cantidad de sesiones</t>
  </si>
  <si>
    <t>Total refrigerios</t>
  </si>
  <si>
    <t>Sistema monitoreo</t>
  </si>
  <si>
    <t>Costo por estudiante Almera</t>
  </si>
  <si>
    <t>Cantidad de estudiantes</t>
  </si>
  <si>
    <t>EGRA entrada</t>
  </si>
  <si>
    <t>EGRA Salida</t>
  </si>
  <si>
    <t>Semana 1</t>
  </si>
  <si>
    <t>Semana 7</t>
  </si>
  <si>
    <t>Semana 14</t>
  </si>
  <si>
    <t>Semana 10</t>
  </si>
  <si>
    <t>Semana 20</t>
  </si>
  <si>
    <t>Semana 30</t>
  </si>
  <si>
    <t>Semana 40</t>
  </si>
  <si>
    <t>Instrumentos</t>
  </si>
  <si>
    <t>Costo total Almera</t>
  </si>
  <si>
    <t>COSTO ALMERA</t>
  </si>
  <si>
    <t>Costo limpiza base</t>
  </si>
  <si>
    <t>costo persona mes</t>
  </si>
  <si>
    <t>Costo día laboral</t>
  </si>
  <si>
    <t>Costo hora</t>
  </si>
  <si>
    <t>Costo total limpieza</t>
  </si>
  <si>
    <t>Costo limpieza</t>
  </si>
  <si>
    <r>
      <t xml:space="preserve">1. </t>
    </r>
    <r>
      <rPr>
        <i/>
        <sz val="12"/>
        <color theme="1"/>
        <rFont val="Calibri"/>
        <family val="2"/>
      </rPr>
      <t xml:space="preserve">Bases de datos niño a niño: </t>
    </r>
    <r>
      <rPr>
        <sz val="12"/>
        <color theme="1"/>
        <rFont val="Calibri"/>
        <family val="2"/>
      </rPr>
      <t xml:space="preserve">corresponde a un archivo de Excel con los microdatos de la unidad mínima de análisis (estudiantes), donde se consolidan los resultados generales de cada evaluación. </t>
    </r>
  </si>
  <si>
    <r>
      <t xml:space="preserve">2. </t>
    </r>
    <r>
      <rPr>
        <i/>
        <sz val="12"/>
        <color theme="1"/>
        <rFont val="Calibri"/>
        <family val="2"/>
      </rPr>
      <t xml:space="preserve">Visualizador de datos: </t>
    </r>
    <r>
      <rPr>
        <sz val="12"/>
        <color theme="1"/>
        <rFont val="Calibri"/>
        <family val="2"/>
      </rPr>
      <t xml:space="preserve">dashboard en Power BI con acceso público y datos anonimizados que contiene los resultados generales de las evaluaciones con máximo 2 filtros de análisis según la viabilidad en desagregar los datos. </t>
    </r>
  </si>
  <si>
    <r>
      <t xml:space="preserve">3. </t>
    </r>
    <r>
      <rPr>
        <i/>
        <sz val="12"/>
        <color theme="1"/>
        <rFont val="Calibri"/>
        <family val="2"/>
      </rPr>
      <t xml:space="preserve">Análisis Ejecutivo: </t>
    </r>
    <r>
      <rPr>
        <sz val="12"/>
        <color theme="1"/>
        <rFont val="Calibri"/>
        <family val="2"/>
      </rPr>
      <t>archivo en pdf de máximo 3 páginas que resume y resalta los hallazgos más importantes de los resultados de la evaluación.</t>
    </r>
  </si>
  <si>
    <r>
      <t xml:space="preserve">4. </t>
    </r>
    <r>
      <rPr>
        <i/>
        <sz val="12"/>
        <color theme="1"/>
        <rFont val="Calibri"/>
        <family val="2"/>
      </rPr>
      <t xml:space="preserve">Horas de socialización: </t>
    </r>
    <r>
      <rPr>
        <sz val="12"/>
        <color theme="1"/>
        <rFont val="Calibri"/>
        <family val="2"/>
      </rPr>
      <t>entre 1 – 2 horas de socialización de resultados con analista, donde se resaltan las conclusiones más relevantes dentro del ejercicio. Este proceso deja como producto una presentación de tipo slides según sea necesario.</t>
    </r>
  </si>
  <si>
    <t>Capacidad x hora</t>
  </si>
  <si>
    <t>Costo por registro</t>
  </si>
  <si>
    <t>VALOR HORA ANALISTA</t>
  </si>
  <si>
    <t>Análisis</t>
  </si>
  <si>
    <t>Subtotal</t>
  </si>
  <si>
    <t>Prueba</t>
  </si>
  <si>
    <t>Dotación</t>
  </si>
  <si>
    <t>Exámenes médicos</t>
  </si>
  <si>
    <t>Proceso Selección</t>
  </si>
  <si>
    <t>Auxilio celular</t>
  </si>
  <si>
    <t>OTROS</t>
  </si>
  <si>
    <t>Valor Total</t>
  </si>
  <si>
    <t>Tablets</t>
  </si>
  <si>
    <t>Semanas de Tutoría</t>
  </si>
  <si>
    <t>Ciclo I</t>
  </si>
  <si>
    <t>Ciclo II</t>
  </si>
  <si>
    <t>Semanas</t>
  </si>
  <si>
    <t>Tutorías/semana</t>
  </si>
  <si>
    <t>TUTORÍAS MÁXIMAS</t>
  </si>
  <si>
    <t>TUTORÍAS MÍNIMO</t>
  </si>
  <si>
    <t>TUTORÍAS MEDIA</t>
  </si>
  <si>
    <t>ACOMPAÑAMIENTOS</t>
  </si>
  <si>
    <t xml:space="preserve">Semanas </t>
  </si>
  <si>
    <t>Semanas efectivas</t>
  </si>
  <si>
    <t>Docentes</t>
  </si>
  <si>
    <t>Total acompañamientos</t>
  </si>
  <si>
    <t>COSTO TUTORÍAS</t>
  </si>
  <si>
    <t>COSTO ACOMPAÑAMIENTOS</t>
  </si>
  <si>
    <t>Grupos remediación</t>
  </si>
  <si>
    <t>Tutorías por grupo</t>
  </si>
  <si>
    <t>Cantidad tutorías</t>
  </si>
  <si>
    <t>Valor x Tutoría</t>
  </si>
  <si>
    <t>Estudiantes</t>
  </si>
  <si>
    <t>Institución Educativa Luis Felipe Cabrera</t>
  </si>
  <si>
    <t xml:space="preserve">Transición </t>
  </si>
  <si>
    <t>Segundo</t>
  </si>
  <si>
    <t>Tercero</t>
  </si>
  <si>
    <t>Hombres</t>
  </si>
  <si>
    <t>Mujeres</t>
  </si>
  <si>
    <t>Institución Educativa de Santa Ana</t>
  </si>
  <si>
    <t>Institución Educativa De Ararca</t>
  </si>
  <si>
    <t>Valor x acompañamiento</t>
  </si>
  <si>
    <t xml:space="preserve">Valor aproximado </t>
  </si>
  <si>
    <t>VALOR UNITARIO</t>
  </si>
  <si>
    <t>DOCENTES</t>
  </si>
  <si>
    <t>SISTEMA DE MONITOREO Y EVALUACIÓN</t>
  </si>
  <si>
    <t>CANTIDAD</t>
  </si>
  <si>
    <t>TUTORÍAS</t>
  </si>
  <si>
    <t>Valor por estudiante</t>
  </si>
  <si>
    <t>Costo unitario aplicación</t>
  </si>
  <si>
    <t>Costo total aplicación</t>
  </si>
  <si>
    <t>FORMACIÓN DOCENTE</t>
  </si>
  <si>
    <t>UNIDAD MEDIDA</t>
  </si>
  <si>
    <t>Materiales Docente Transición</t>
  </si>
  <si>
    <t>Materiales Docente Primero</t>
  </si>
  <si>
    <t>Materiales Docente Remediación</t>
  </si>
  <si>
    <t>Materiales Estudiante Transición</t>
  </si>
  <si>
    <t>Materiales Estudiante Primero</t>
  </si>
  <si>
    <t>Materiales Estudiante Remediación</t>
  </si>
  <si>
    <t>Tutores</t>
  </si>
  <si>
    <t>COMPONENTE</t>
  </si>
  <si>
    <t>Sesiones de acompañamiento en aula</t>
  </si>
  <si>
    <t>Sesiones de Tutorías de remediación</t>
  </si>
  <si>
    <t>Sesiones</t>
  </si>
  <si>
    <t>Capacitación  pruebas EGRA</t>
  </si>
  <si>
    <t>EVALUACIONES FORMATIVAS GRADO 1°</t>
  </si>
  <si>
    <t>EVALUACIONES FORMATIVAS REMEDIACIÓN</t>
  </si>
  <si>
    <t>PRUEBAS ESTANDARIZADAS EGRA</t>
  </si>
  <si>
    <t>A</t>
  </si>
  <si>
    <t>B</t>
  </si>
  <si>
    <t>C</t>
  </si>
  <si>
    <t>E</t>
  </si>
  <si>
    <t>D</t>
  </si>
  <si>
    <t>F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</si>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</sst>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  <numFmt numFmtId="165" formatCode="0.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i/>
      <sz val="12"/>
      <color theme="1"/>
      <name val="Calibri"/>
      <family val="2"/>
    </font>
    <font>
      <i/>
      <sz val="12"/>
      <color theme="1"/>
      <name val="Calibri"/>
      <family val="2"/>
    </font>
    <font>
      <sz val="12"/>
      <color theme="1"/>
      <name val="Calibri"/>
      <family val="2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0" fillId="0" borderId="1" xfId="0" applyBorder="1"/>
    <xf numFmtId="0" fontId="5" fillId="0" borderId="1" xfId="0" applyFont="1" applyBorder="1"/>
    <xf numFmtId="9" fontId="0" fillId="0" borderId="0" xfId="0" applyNumberFormat="1"/>
    <xf numFmtId="44" fontId="0" fillId="0" borderId="0" xfId="1" applyFont="1"/>
    <xf numFmtId="164" fontId="0" fillId="0" borderId="0" xfId="1" applyNumberFormat="1" applyFont="1"/>
    <xf numFmtId="44" fontId="0" fillId="0" borderId="1" xfId="1" applyFont="1" applyBorder="1"/>
    <xf numFmtId="9" fontId="0" fillId="0" borderId="1" xfId="0" applyNumberFormat="1" applyBorder="1"/>
    <xf numFmtId="164" fontId="0" fillId="0" borderId="1" xfId="1" applyNumberFormat="1" applyFont="1" applyBorder="1"/>
    <xf numFmtId="44" fontId="0" fillId="0" borderId="1" xfId="0" applyNumberFormat="1" applyBorder="1"/>
    <xf numFmtId="0" fontId="5" fillId="0" borderId="0" xfId="0" applyFont="1"/>
    <xf numFmtId="164" fontId="0" fillId="0" borderId="0" xfId="0" applyNumberFormat="1"/>
    <xf numFmtId="164" fontId="0" fillId="0" borderId="1" xfId="0" applyNumberFormat="1" applyBorder="1"/>
    <xf numFmtId="0" fontId="4" fillId="2" borderId="1" xfId="0" applyFont="1" applyFill="1" applyBorder="1" applyAlignment="1">
      <alignment horizontal="center" vertical="center"/>
    </xf>
    <xf numFmtId="1" fontId="0" fillId="0" borderId="0" xfId="0" applyNumberFormat="1"/>
    <xf numFmtId="1" fontId="0" fillId="0" borderId="1" xfId="0" applyNumberFormat="1" applyBorder="1"/>
    <xf numFmtId="164" fontId="0" fillId="0" borderId="0" xfId="1" applyNumberFormat="1" applyFont="1" applyBorder="1"/>
    <xf numFmtId="0" fontId="0" fillId="0" borderId="3" xfId="0" applyBorder="1"/>
    <xf numFmtId="0" fontId="4" fillId="0" borderId="1" xfId="0" applyFont="1" applyBorder="1"/>
    <xf numFmtId="0" fontId="4" fillId="0" borderId="0" xfId="0" applyFont="1"/>
    <xf numFmtId="0" fontId="0" fillId="0" borderId="4" xfId="0" applyBorder="1"/>
    <xf numFmtId="164" fontId="4" fillId="0" borderId="1" xfId="1" applyNumberFormat="1" applyFont="1" applyBorder="1"/>
    <xf numFmtId="0" fontId="0" fillId="0" borderId="1" xfId="0" applyBorder="1" applyAlignment="1">
      <alignment horizontal="center" vertical="center"/>
    </xf>
    <xf numFmtId="0" fontId="0" fillId="0" borderId="1" xfId="1" applyNumberFormat="1" applyFont="1" applyBorder="1"/>
    <xf numFmtId="1" fontId="0" fillId="0" borderId="1" xfId="1" applyNumberFormat="1" applyFont="1" applyBorder="1"/>
    <xf numFmtId="44" fontId="0" fillId="0" borderId="0" xfId="1" applyFont="1" applyBorder="1"/>
    <xf numFmtId="0" fontId="0" fillId="0" borderId="1" xfId="0" applyBorder="1" applyAlignment="1">
      <alignment wrapText="1"/>
    </xf>
    <xf numFmtId="9" fontId="0" fillId="0" borderId="1" xfId="2" applyFont="1" applyBorder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0" borderId="1" xfId="0" applyFont="1" applyBorder="1"/>
    <xf numFmtId="9" fontId="0" fillId="0" borderId="0" xfId="2" applyFont="1"/>
    <xf numFmtId="9" fontId="3" fillId="0" borderId="1" xfId="0" applyNumberFormat="1" applyFont="1" applyBorder="1"/>
    <xf numFmtId="9" fontId="3" fillId="0" borderId="1" xfId="2" applyFont="1" applyBorder="1"/>
    <xf numFmtId="44" fontId="3" fillId="0" borderId="1" xfId="1" applyFont="1" applyBorder="1"/>
    <xf numFmtId="165" fontId="0" fillId="0" borderId="1" xfId="0" applyNumberFormat="1" applyBorder="1"/>
    <xf numFmtId="0" fontId="0" fillId="4" borderId="0" xfId="0" applyFill="1"/>
    <xf numFmtId="0" fontId="6" fillId="0" borderId="0" xfId="0" applyFont="1" applyAlignment="1">
      <alignment horizontal="justify" vertical="center"/>
    </xf>
    <xf numFmtId="0" fontId="0" fillId="4" borderId="1" xfId="0" applyFill="1" applyBorder="1"/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/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/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9" fillId="0" borderId="7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C3A4E-839F-495C-B0F6-79F4E7210B8D}">
  <dimension ref="B2:T13"/>
  <sheetViews>
    <sheetView topLeftCell="A2" workbookViewId="0">
      <selection activeCell="T14" sqref="T14"/>
    </sheetView>
  </sheetViews>
  <sheetFormatPr baseColWidth="10" defaultRowHeight="14.5" x14ac:dyDescent="0.35"/>
  <sheetData>
    <row r="2" spans="2:20" x14ac:dyDescent="0.35">
      <c r="C2" s="45" t="s">
        <v>207</v>
      </c>
      <c r="D2" s="45"/>
      <c r="E2" s="45"/>
      <c r="F2" s="45"/>
      <c r="G2" s="45"/>
      <c r="H2" s="45"/>
      <c r="I2" s="45"/>
      <c r="J2" s="45"/>
      <c r="K2" s="45"/>
      <c r="L2" s="45" t="s">
        <v>199</v>
      </c>
      <c r="M2" s="45"/>
      <c r="N2" s="45"/>
      <c r="O2" s="45"/>
      <c r="P2" s="45"/>
      <c r="Q2" s="45"/>
      <c r="R2" s="45"/>
      <c r="S2" s="45"/>
    </row>
    <row r="3" spans="2:20" ht="29" customHeight="1" x14ac:dyDescent="0.35">
      <c r="B3" s="46" t="s">
        <v>208</v>
      </c>
      <c r="C3" s="49" t="s">
        <v>209</v>
      </c>
      <c r="D3" s="50"/>
      <c r="E3" s="49" t="s">
        <v>38</v>
      </c>
      <c r="F3" s="50"/>
      <c r="G3" s="51" t="s">
        <v>210</v>
      </c>
      <c r="H3" s="52"/>
      <c r="I3" s="51" t="s">
        <v>211</v>
      </c>
      <c r="J3" s="52"/>
      <c r="K3" s="1"/>
      <c r="L3" s="49" t="s">
        <v>209</v>
      </c>
      <c r="M3" s="50"/>
      <c r="N3" s="49" t="s">
        <v>38</v>
      </c>
      <c r="O3" s="50"/>
      <c r="P3" s="51" t="s">
        <v>210</v>
      </c>
      <c r="Q3" s="52"/>
      <c r="R3" s="51" t="s">
        <v>211</v>
      </c>
      <c r="S3" s="52"/>
    </row>
    <row r="4" spans="2:20" x14ac:dyDescent="0.35">
      <c r="B4" s="47"/>
      <c r="C4" s="41" t="s">
        <v>212</v>
      </c>
      <c r="D4" s="41" t="s">
        <v>213</v>
      </c>
      <c r="E4" s="41" t="s">
        <v>212</v>
      </c>
      <c r="F4" s="41" t="s">
        <v>213</v>
      </c>
      <c r="G4" s="41" t="s">
        <v>212</v>
      </c>
      <c r="H4" s="41" t="s">
        <v>213</v>
      </c>
      <c r="I4" s="41" t="s">
        <v>212</v>
      </c>
      <c r="J4" s="41" t="s">
        <v>213</v>
      </c>
      <c r="K4" s="41" t="s">
        <v>18</v>
      </c>
      <c r="L4" s="1"/>
      <c r="M4" s="1"/>
      <c r="N4" s="1"/>
      <c r="O4" s="1"/>
      <c r="P4" s="1"/>
      <c r="Q4" s="1"/>
      <c r="R4" s="1"/>
      <c r="S4" s="1"/>
    </row>
    <row r="5" spans="2:20" x14ac:dyDescent="0.35">
      <c r="B5" s="48"/>
      <c r="C5" s="42">
        <v>44</v>
      </c>
      <c r="D5" s="42">
        <v>56</v>
      </c>
      <c r="E5" s="42">
        <v>62</v>
      </c>
      <c r="F5" s="42">
        <v>44</v>
      </c>
      <c r="G5" s="42">
        <v>57</v>
      </c>
      <c r="H5" s="42">
        <v>57</v>
      </c>
      <c r="I5" s="42">
        <v>41</v>
      </c>
      <c r="J5" s="42">
        <v>36</v>
      </c>
      <c r="K5" s="1">
        <f>SUM(C5:J5)</f>
        <v>397</v>
      </c>
      <c r="L5" s="1"/>
      <c r="M5" s="42">
        <v>4</v>
      </c>
      <c r="N5" s="1"/>
      <c r="O5" s="1">
        <v>4</v>
      </c>
      <c r="P5" s="1"/>
      <c r="Q5" s="1">
        <v>4</v>
      </c>
      <c r="R5" s="1"/>
      <c r="S5" s="1">
        <v>2</v>
      </c>
    </row>
    <row r="6" spans="2:20" ht="29" customHeight="1" x14ac:dyDescent="0.35">
      <c r="B6" s="46" t="s">
        <v>214</v>
      </c>
      <c r="C6" s="49" t="s">
        <v>209</v>
      </c>
      <c r="D6" s="50"/>
      <c r="E6" s="49" t="s">
        <v>38</v>
      </c>
      <c r="F6" s="50"/>
      <c r="G6" s="51" t="s">
        <v>210</v>
      </c>
      <c r="H6" s="52"/>
      <c r="I6" s="51" t="s">
        <v>211</v>
      </c>
      <c r="J6" s="52"/>
      <c r="K6" s="1"/>
      <c r="L6" s="1"/>
      <c r="M6" s="1"/>
      <c r="N6" s="1"/>
      <c r="O6" s="1"/>
      <c r="P6" s="1"/>
      <c r="Q6" s="1"/>
      <c r="R6" s="1"/>
      <c r="S6" s="1"/>
    </row>
    <row r="7" spans="2:20" x14ac:dyDescent="0.35">
      <c r="B7" s="47"/>
      <c r="C7" s="41" t="s">
        <v>212</v>
      </c>
      <c r="D7" s="41" t="s">
        <v>213</v>
      </c>
      <c r="E7" s="41" t="s">
        <v>212</v>
      </c>
      <c r="F7" s="41" t="s">
        <v>213</v>
      </c>
      <c r="G7" s="41" t="s">
        <v>212</v>
      </c>
      <c r="H7" s="41" t="s">
        <v>213</v>
      </c>
      <c r="I7" s="41" t="s">
        <v>212</v>
      </c>
      <c r="J7" s="41" t="s">
        <v>213</v>
      </c>
      <c r="K7" s="1"/>
      <c r="L7" s="1"/>
      <c r="M7" s="1"/>
      <c r="N7" s="1"/>
      <c r="O7" s="1"/>
      <c r="P7" s="1"/>
      <c r="Q7" s="1"/>
      <c r="R7" s="1"/>
      <c r="S7" s="1"/>
    </row>
    <row r="8" spans="2:20" x14ac:dyDescent="0.35">
      <c r="B8" s="48"/>
      <c r="C8" s="42">
        <v>62</v>
      </c>
      <c r="D8" s="42">
        <v>63</v>
      </c>
      <c r="E8" s="42">
        <v>75</v>
      </c>
      <c r="F8" s="42">
        <v>89</v>
      </c>
      <c r="G8" s="42">
        <v>65</v>
      </c>
      <c r="H8" s="42">
        <v>68</v>
      </c>
      <c r="I8" s="42">
        <v>63</v>
      </c>
      <c r="J8" s="42">
        <v>64</v>
      </c>
      <c r="K8" s="1">
        <f>SUM(C8:J8)</f>
        <v>549</v>
      </c>
      <c r="L8" s="1"/>
      <c r="M8" s="42">
        <v>5</v>
      </c>
      <c r="N8" s="1"/>
      <c r="O8" s="1">
        <v>5</v>
      </c>
      <c r="P8" s="1"/>
      <c r="Q8" s="1">
        <v>4</v>
      </c>
      <c r="R8" s="1"/>
      <c r="S8" s="1">
        <v>4</v>
      </c>
    </row>
    <row r="9" spans="2:20" ht="14.5" customHeight="1" x14ac:dyDescent="0.35">
      <c r="B9" s="46" t="s">
        <v>215</v>
      </c>
      <c r="C9" s="49" t="s">
        <v>209</v>
      </c>
      <c r="D9" s="50"/>
      <c r="E9" s="49" t="s">
        <v>38</v>
      </c>
      <c r="F9" s="50"/>
      <c r="G9" s="51" t="s">
        <v>210</v>
      </c>
      <c r="H9" s="52"/>
      <c r="I9" s="51" t="s">
        <v>211</v>
      </c>
      <c r="J9" s="52"/>
      <c r="K9" s="1"/>
      <c r="L9" s="1"/>
      <c r="M9" s="1"/>
      <c r="N9" s="1"/>
      <c r="O9" s="1"/>
      <c r="P9" s="1"/>
      <c r="Q9" s="1"/>
      <c r="R9" s="1"/>
      <c r="S9" s="1"/>
    </row>
    <row r="10" spans="2:20" x14ac:dyDescent="0.35">
      <c r="B10" s="47"/>
      <c r="C10" s="41" t="s">
        <v>212</v>
      </c>
      <c r="D10" s="41" t="s">
        <v>213</v>
      </c>
      <c r="E10" s="41" t="s">
        <v>212</v>
      </c>
      <c r="F10" s="41" t="s">
        <v>213</v>
      </c>
      <c r="G10" s="41" t="s">
        <v>212</v>
      </c>
      <c r="H10" s="41" t="s">
        <v>213</v>
      </c>
      <c r="I10" s="41" t="s">
        <v>212</v>
      </c>
      <c r="J10" s="41" t="s">
        <v>213</v>
      </c>
      <c r="K10" s="1"/>
      <c r="L10" s="1"/>
      <c r="M10" s="1"/>
      <c r="N10" s="1"/>
      <c r="O10" s="1"/>
      <c r="P10" s="1"/>
      <c r="Q10" s="1"/>
      <c r="R10" s="1"/>
      <c r="S10" s="1"/>
    </row>
    <row r="11" spans="2:20" x14ac:dyDescent="0.35">
      <c r="B11" s="48"/>
      <c r="C11" s="43">
        <v>24</v>
      </c>
      <c r="D11" s="43">
        <v>26</v>
      </c>
      <c r="E11" s="43">
        <v>6</v>
      </c>
      <c r="F11" s="43">
        <v>17</v>
      </c>
      <c r="G11" s="43">
        <v>17</v>
      </c>
      <c r="H11" s="43">
        <v>14</v>
      </c>
      <c r="I11" s="43">
        <v>18</v>
      </c>
      <c r="J11" s="43">
        <v>25</v>
      </c>
      <c r="K11" s="1">
        <f>SUM(C11:J11)</f>
        <v>147</v>
      </c>
      <c r="L11" s="1"/>
      <c r="M11" s="43">
        <v>2</v>
      </c>
      <c r="N11" s="1"/>
      <c r="O11" s="1">
        <v>1</v>
      </c>
      <c r="P11" s="1"/>
      <c r="Q11" s="1">
        <v>1</v>
      </c>
      <c r="R11" s="1"/>
      <c r="S11" s="1">
        <v>1</v>
      </c>
    </row>
    <row r="13" spans="2:20" x14ac:dyDescent="0.35">
      <c r="M13">
        <f>+M5+M8+M11</f>
        <v>11</v>
      </c>
      <c r="O13">
        <f t="shared" ref="O13:S13" si="0">+O5+O8+O11</f>
        <v>10</v>
      </c>
      <c r="Q13">
        <f t="shared" si="0"/>
        <v>9</v>
      </c>
      <c r="S13">
        <f t="shared" si="0"/>
        <v>7</v>
      </c>
      <c r="T13">
        <f>+SUM(M13:S13)</f>
        <v>37</v>
      </c>
    </row>
  </sheetData>
  <mergeCells count="21">
    <mergeCell ref="B9:B11"/>
    <mergeCell ref="C9:D9"/>
    <mergeCell ref="E9:F9"/>
    <mergeCell ref="G9:H9"/>
    <mergeCell ref="I9:J9"/>
    <mergeCell ref="B6:B8"/>
    <mergeCell ref="C6:D6"/>
    <mergeCell ref="E6:F6"/>
    <mergeCell ref="G6:H6"/>
    <mergeCell ref="I6:J6"/>
    <mergeCell ref="C2:K2"/>
    <mergeCell ref="L2:S2"/>
    <mergeCell ref="B3:B5"/>
    <mergeCell ref="C3:D3"/>
    <mergeCell ref="E3:F3"/>
    <mergeCell ref="G3:H3"/>
    <mergeCell ref="I3:J3"/>
    <mergeCell ref="L3:M3"/>
    <mergeCell ref="N3:O3"/>
    <mergeCell ref="P3:Q3"/>
    <mergeCell ref="R3:S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AB547-F340-471C-AD62-1B15945341BC}">
  <dimension ref="A2:G78"/>
  <sheetViews>
    <sheetView topLeftCell="A61" workbookViewId="0">
      <selection activeCell="D25" sqref="D25"/>
    </sheetView>
  </sheetViews>
  <sheetFormatPr baseColWidth="10" defaultRowHeight="14.5" x14ac:dyDescent="0.35"/>
  <cols>
    <col min="1" max="1" width="38.6328125" customWidth="1"/>
    <col min="2" max="2" width="39.1796875" customWidth="1"/>
    <col min="3" max="3" width="15.7265625" customWidth="1"/>
    <col min="4" max="4" width="16.1796875" bestFit="1" customWidth="1"/>
    <col min="5" max="5" width="15.08984375" bestFit="1" customWidth="1"/>
    <col min="6" max="6" width="14.26953125" customWidth="1"/>
  </cols>
  <sheetData>
    <row r="2" spans="1:4" x14ac:dyDescent="0.35">
      <c r="A2" s="1"/>
      <c r="B2" s="18" t="s">
        <v>218</v>
      </c>
      <c r="C2" s="18" t="s">
        <v>219</v>
      </c>
      <c r="D2" s="18" t="s">
        <v>91</v>
      </c>
    </row>
    <row r="3" spans="1:4" x14ac:dyDescent="0.35">
      <c r="A3" s="18" t="s">
        <v>226</v>
      </c>
      <c r="B3" s="8">
        <f>+' FORMACIÓN'!E34</f>
        <v>1544000</v>
      </c>
      <c r="C3" s="1">
        <f>+Matrícula!T13</f>
        <v>37</v>
      </c>
      <c r="D3" s="21">
        <f>+B3*C3</f>
        <v>57128000</v>
      </c>
    </row>
    <row r="5" spans="1:4" x14ac:dyDescent="0.35">
      <c r="A5" s="19" t="s">
        <v>220</v>
      </c>
    </row>
    <row r="6" spans="1:4" x14ac:dyDescent="0.35">
      <c r="A6" s="39" t="s">
        <v>180</v>
      </c>
      <c r="B6" s="39" t="s">
        <v>15</v>
      </c>
    </row>
    <row r="7" spans="1:4" x14ac:dyDescent="0.35">
      <c r="A7" s="1" t="s">
        <v>153</v>
      </c>
      <c r="B7" s="12">
        <f>+MONITOREO!B4</f>
        <v>29623000</v>
      </c>
    </row>
    <row r="8" spans="1:4" x14ac:dyDescent="0.35">
      <c r="A8" s="1" t="s">
        <v>154</v>
      </c>
      <c r="B8" s="12">
        <f>+MONITOREO!B5</f>
        <v>28481000</v>
      </c>
    </row>
    <row r="9" spans="1:4" x14ac:dyDescent="0.35">
      <c r="A9" s="1" t="s">
        <v>158</v>
      </c>
      <c r="B9" s="12">
        <f>+MONITOREO!B6</f>
        <v>12566000</v>
      </c>
    </row>
    <row r="10" spans="1:4" x14ac:dyDescent="0.35">
      <c r="A10" s="1" t="s">
        <v>159</v>
      </c>
      <c r="B10" s="12">
        <f>+MONITOREO!B7</f>
        <v>11424000</v>
      </c>
    </row>
    <row r="11" spans="1:4" x14ac:dyDescent="0.35">
      <c r="A11" s="1" t="s">
        <v>160</v>
      </c>
      <c r="B11" s="12">
        <f>+MONITOREO!B8</f>
        <v>11424000</v>
      </c>
    </row>
    <row r="12" spans="1:4" x14ac:dyDescent="0.35">
      <c r="A12" s="1" t="s">
        <v>161</v>
      </c>
      <c r="B12" s="12">
        <f>+MONITOREO!B9</f>
        <v>11424000</v>
      </c>
    </row>
    <row r="13" spans="1:4" x14ac:dyDescent="0.35">
      <c r="A13" s="1" t="s">
        <v>155</v>
      </c>
      <c r="B13" s="12">
        <f>+MONITOREO!B10</f>
        <v>6648000</v>
      </c>
    </row>
    <row r="14" spans="1:4" x14ac:dyDescent="0.35">
      <c r="A14" s="1" t="s">
        <v>156</v>
      </c>
      <c r="B14" s="12">
        <f>+MONITOREO!B11</f>
        <v>5506000</v>
      </c>
    </row>
    <row r="15" spans="1:4" x14ac:dyDescent="0.35">
      <c r="A15" s="1" t="s">
        <v>157</v>
      </c>
      <c r="B15" s="12">
        <f>+MONITOREO!B12</f>
        <v>5506000</v>
      </c>
    </row>
    <row r="16" spans="1:4" x14ac:dyDescent="0.35">
      <c r="A16" s="18" t="s">
        <v>18</v>
      </c>
      <c r="B16" s="40">
        <f>+SUM(B7:B15)</f>
        <v>122602000</v>
      </c>
    </row>
    <row r="18" spans="1:7" x14ac:dyDescent="0.35">
      <c r="A18" s="13" t="s">
        <v>27</v>
      </c>
      <c r="B18" s="13" t="s">
        <v>28</v>
      </c>
      <c r="C18" s="13" t="s">
        <v>218</v>
      </c>
      <c r="D18" s="13" t="s">
        <v>221</v>
      </c>
      <c r="E18" s="13" t="s">
        <v>91</v>
      </c>
    </row>
    <row r="19" spans="1:7" x14ac:dyDescent="0.35">
      <c r="A19" s="53" t="s">
        <v>31</v>
      </c>
      <c r="B19" s="1" t="s">
        <v>32</v>
      </c>
      <c r="C19" s="8">
        <f>+'BASE OPERACIÓN'!H55</f>
        <v>68000</v>
      </c>
      <c r="D19" s="1">
        <f>+'BASE OPERACIÓN'!E55</f>
        <v>11</v>
      </c>
      <c r="E19" s="8">
        <f>+C19*D19</f>
        <v>748000</v>
      </c>
      <c r="F19" s="11">
        <f>+E19+E20</f>
        <v>1518000</v>
      </c>
      <c r="G19">
        <f>+F19/D19</f>
        <v>138000</v>
      </c>
    </row>
    <row r="20" spans="1:7" x14ac:dyDescent="0.35">
      <c r="A20" s="53"/>
      <c r="B20" s="1" t="s">
        <v>39</v>
      </c>
      <c r="C20" s="8">
        <f>+'BASE OPERACIÓN'!H56</f>
        <v>70000</v>
      </c>
      <c r="D20" s="1">
        <f>+'BASE OPERACIÓN'!E56</f>
        <v>11</v>
      </c>
      <c r="E20" s="8">
        <f t="shared" ref="E20:E38" si="0">+C20*D20</f>
        <v>770000</v>
      </c>
    </row>
    <row r="21" spans="1:7" x14ac:dyDescent="0.35">
      <c r="A21" s="53"/>
      <c r="B21" s="1" t="s">
        <v>33</v>
      </c>
      <c r="C21" s="8">
        <f>+'BASE OPERACIÓN'!H57</f>
        <v>11680</v>
      </c>
      <c r="D21" s="1">
        <f>+'BASE OPERACIÓN'!E57</f>
        <v>275</v>
      </c>
      <c r="E21" s="8">
        <f t="shared" si="0"/>
        <v>3212000</v>
      </c>
      <c r="F21" s="11">
        <f>+E21+E22+E23</f>
        <v>8167500</v>
      </c>
      <c r="G21">
        <f>+F21/D21</f>
        <v>29700</v>
      </c>
    </row>
    <row r="22" spans="1:7" x14ac:dyDescent="0.35">
      <c r="A22" s="53"/>
      <c r="B22" s="1" t="s">
        <v>34</v>
      </c>
      <c r="C22" s="8">
        <f>+'BASE OPERACIÓN'!H58</f>
        <v>12280</v>
      </c>
      <c r="D22" s="1">
        <f>+'BASE OPERACIÓN'!E58</f>
        <v>275</v>
      </c>
      <c r="E22" s="8">
        <f t="shared" si="0"/>
        <v>3377000</v>
      </c>
    </row>
    <row r="23" spans="1:7" x14ac:dyDescent="0.35">
      <c r="A23" s="53"/>
      <c r="B23" s="1" t="s">
        <v>36</v>
      </c>
      <c r="C23" s="8">
        <f>+'BASE OPERACIÓN'!H59</f>
        <v>5740</v>
      </c>
      <c r="D23" s="1">
        <f>+'BASE OPERACIÓN'!E59</f>
        <v>275</v>
      </c>
      <c r="E23" s="8">
        <f t="shared" si="0"/>
        <v>1578500</v>
      </c>
    </row>
    <row r="24" spans="1:7" x14ac:dyDescent="0.35">
      <c r="A24" s="53" t="s">
        <v>38</v>
      </c>
      <c r="B24" s="1" t="s">
        <v>32</v>
      </c>
      <c r="C24" s="8">
        <f>+'BASE OPERACIÓN'!H60</f>
        <v>154000</v>
      </c>
      <c r="D24" s="1">
        <f>+'BASE OPERACIÓN'!E60</f>
        <v>10</v>
      </c>
      <c r="E24" s="8">
        <f t="shared" si="0"/>
        <v>1540000</v>
      </c>
      <c r="F24" s="11">
        <f>+E24+E25+E31+E32+E33</f>
        <v>15276000</v>
      </c>
      <c r="G24">
        <f>+F24/D24</f>
        <v>1527600</v>
      </c>
    </row>
    <row r="25" spans="1:7" x14ac:dyDescent="0.35">
      <c r="A25" s="53"/>
      <c r="B25" s="1" t="s">
        <v>39</v>
      </c>
      <c r="C25" s="8">
        <f>+'BASE OPERACIÓN'!H61</f>
        <v>160000</v>
      </c>
      <c r="D25" s="1">
        <f>+'BASE OPERACIÓN'!E61</f>
        <v>10</v>
      </c>
      <c r="E25" s="8">
        <f t="shared" si="0"/>
        <v>1600000</v>
      </c>
    </row>
    <row r="26" spans="1:7" x14ac:dyDescent="0.35">
      <c r="A26" s="53"/>
      <c r="B26" s="1" t="s">
        <v>33</v>
      </c>
      <c r="C26" s="8">
        <f>+'BASE OPERACIÓN'!H62</f>
        <v>10480</v>
      </c>
      <c r="D26" s="1">
        <f>+'BASE OPERACIÓN'!E62</f>
        <v>293</v>
      </c>
      <c r="E26" s="8">
        <f t="shared" si="0"/>
        <v>3070640</v>
      </c>
      <c r="F26" s="11">
        <f>+E26+E27+E28+E29+E30+E34</f>
        <v>22918460</v>
      </c>
      <c r="G26">
        <f>+F26/D26</f>
        <v>78220</v>
      </c>
    </row>
    <row r="27" spans="1:7" x14ac:dyDescent="0.35">
      <c r="A27" s="53"/>
      <c r="B27" s="1" t="s">
        <v>34</v>
      </c>
      <c r="C27" s="8">
        <f>+'BASE OPERACIÓN'!H63</f>
        <v>12760</v>
      </c>
      <c r="D27" s="1">
        <f>+'BASE OPERACIÓN'!E63</f>
        <v>293</v>
      </c>
      <c r="E27" s="8">
        <f t="shared" si="0"/>
        <v>3738680</v>
      </c>
    </row>
    <row r="28" spans="1:7" x14ac:dyDescent="0.35">
      <c r="A28" s="53"/>
      <c r="B28" s="1" t="s">
        <v>43</v>
      </c>
      <c r="C28" s="8">
        <f>+'BASE OPERACIÓN'!H64</f>
        <v>13420</v>
      </c>
      <c r="D28" s="1">
        <f>+'BASE OPERACIÓN'!E64</f>
        <v>293</v>
      </c>
      <c r="E28" s="8">
        <f t="shared" si="0"/>
        <v>3932060</v>
      </c>
    </row>
    <row r="29" spans="1:7" x14ac:dyDescent="0.35">
      <c r="A29" s="53"/>
      <c r="B29" s="1" t="s">
        <v>45</v>
      </c>
      <c r="C29" s="8">
        <f>+'BASE OPERACIÓN'!H65</f>
        <v>11339.999999999998</v>
      </c>
      <c r="D29" s="1">
        <f>+'BASE OPERACIÓN'!E65</f>
        <v>293</v>
      </c>
      <c r="E29" s="8">
        <f t="shared" si="0"/>
        <v>3322619.9999999995</v>
      </c>
    </row>
    <row r="30" spans="1:7" x14ac:dyDescent="0.35">
      <c r="A30" s="53"/>
      <c r="B30" s="1" t="s">
        <v>36</v>
      </c>
      <c r="C30" s="8">
        <f>+'BASE OPERACIÓN'!H66</f>
        <v>6640</v>
      </c>
      <c r="D30" s="1">
        <f>+'BASE OPERACIÓN'!E66</f>
        <v>293</v>
      </c>
      <c r="E30" s="8">
        <f t="shared" si="0"/>
        <v>1945520</v>
      </c>
    </row>
    <row r="31" spans="1:7" x14ac:dyDescent="0.35">
      <c r="A31" s="53"/>
      <c r="B31" s="1" t="s">
        <v>46</v>
      </c>
      <c r="C31" s="8">
        <f>+'BASE OPERACIÓN'!H67</f>
        <v>860000</v>
      </c>
      <c r="D31" s="1">
        <f>+'BASE OPERACIÓN'!E67</f>
        <v>10</v>
      </c>
      <c r="E31" s="8">
        <f t="shared" si="0"/>
        <v>8600000</v>
      </c>
    </row>
    <row r="32" spans="1:7" x14ac:dyDescent="0.35">
      <c r="A32" s="53"/>
      <c r="B32" s="1" t="s">
        <v>47</v>
      </c>
      <c r="C32" s="8">
        <f>+'BASE OPERACIÓN'!H68</f>
        <v>66000</v>
      </c>
      <c r="D32" s="1">
        <f>+'BASE OPERACIÓN'!E68</f>
        <v>10</v>
      </c>
      <c r="E32" s="8">
        <f t="shared" si="0"/>
        <v>660000</v>
      </c>
    </row>
    <row r="33" spans="1:7" x14ac:dyDescent="0.35">
      <c r="A33" s="53"/>
      <c r="B33" s="1" t="s">
        <v>48</v>
      </c>
      <c r="C33" s="8">
        <f>+'BASE OPERACIÓN'!H69</f>
        <v>287600</v>
      </c>
      <c r="D33" s="1">
        <f>+'BASE OPERACIÓN'!E69</f>
        <v>10</v>
      </c>
      <c r="E33" s="8">
        <f t="shared" si="0"/>
        <v>2876000</v>
      </c>
    </row>
    <row r="34" spans="1:7" x14ac:dyDescent="0.35">
      <c r="A34" s="53"/>
      <c r="B34" s="1" t="s">
        <v>49</v>
      </c>
      <c r="C34" s="8">
        <f>+'BASE OPERACIÓN'!H70</f>
        <v>23580</v>
      </c>
      <c r="D34" s="1">
        <f>+'BASE OPERACIÓN'!E70</f>
        <v>293</v>
      </c>
      <c r="E34" s="8">
        <f t="shared" si="0"/>
        <v>6908940</v>
      </c>
    </row>
    <row r="35" spans="1:7" x14ac:dyDescent="0.35">
      <c r="A35" s="53" t="s">
        <v>50</v>
      </c>
      <c r="B35" s="1" t="s">
        <v>51</v>
      </c>
      <c r="C35" s="8">
        <f>+'BASE OPERACIÓN'!H71</f>
        <v>26000</v>
      </c>
      <c r="D35" s="1">
        <f>+'BASE OPERACIÓN'!E71</f>
        <v>105</v>
      </c>
      <c r="E35" s="8">
        <f t="shared" si="0"/>
        <v>2730000</v>
      </c>
      <c r="F35">
        <f>+E35/D35</f>
        <v>26000</v>
      </c>
    </row>
    <row r="36" spans="1:7" x14ac:dyDescent="0.35">
      <c r="A36" s="53"/>
      <c r="B36" s="1" t="s">
        <v>52</v>
      </c>
      <c r="C36" s="8">
        <f>+'BASE OPERACIÓN'!H72</f>
        <v>280600</v>
      </c>
      <c r="D36" s="1">
        <f>+'BASE OPERACIÓN'!E72</f>
        <v>2</v>
      </c>
      <c r="E36" s="8">
        <f t="shared" si="0"/>
        <v>561200</v>
      </c>
      <c r="F36" s="11">
        <f>+E36+E37+E38</f>
        <v>1606400</v>
      </c>
      <c r="G36">
        <f>+F36/D36</f>
        <v>803200</v>
      </c>
    </row>
    <row r="37" spans="1:7" x14ac:dyDescent="0.35">
      <c r="A37" s="53"/>
      <c r="B37" s="1" t="s">
        <v>54</v>
      </c>
      <c r="C37" s="8">
        <f>+'BASE OPERACIÓN'!H73</f>
        <v>280600</v>
      </c>
      <c r="D37" s="1">
        <f>+'BASE OPERACIÓN'!E73</f>
        <v>2</v>
      </c>
      <c r="E37" s="8">
        <f t="shared" si="0"/>
        <v>561200</v>
      </c>
    </row>
    <row r="38" spans="1:7" x14ac:dyDescent="0.35">
      <c r="A38" s="53"/>
      <c r="B38" s="1" t="s">
        <v>55</v>
      </c>
      <c r="C38" s="8">
        <f>+'BASE OPERACIÓN'!H74</f>
        <v>242000</v>
      </c>
      <c r="D38" s="1">
        <f>+'BASE OPERACIÓN'!E74</f>
        <v>2</v>
      </c>
      <c r="E38" s="8">
        <f t="shared" si="0"/>
        <v>484000</v>
      </c>
    </row>
    <row r="39" spans="1:7" x14ac:dyDescent="0.35">
      <c r="D39" s="18" t="s">
        <v>18</v>
      </c>
      <c r="E39" s="40">
        <f>+SUM(E19:E38)</f>
        <v>52216360</v>
      </c>
    </row>
    <row r="41" spans="1:7" x14ac:dyDescent="0.35">
      <c r="B41" s="39" t="s">
        <v>100</v>
      </c>
      <c r="C41" s="39" t="s">
        <v>30</v>
      </c>
      <c r="D41" s="39" t="s">
        <v>15</v>
      </c>
    </row>
    <row r="42" spans="1:7" x14ac:dyDescent="0.35">
      <c r="A42" s="1" t="s">
        <v>222</v>
      </c>
      <c r="B42" s="8">
        <f>+OPERACIÓN!B9</f>
        <v>416000</v>
      </c>
      <c r="C42" s="1">
        <f>+OPERACIÓN!B8</f>
        <v>364</v>
      </c>
      <c r="D42" s="8">
        <f>+B42*C42</f>
        <v>151424000</v>
      </c>
    </row>
    <row r="43" spans="1:7" x14ac:dyDescent="0.35">
      <c r="A43" s="1" t="s">
        <v>196</v>
      </c>
      <c r="B43" s="8">
        <f>+OPERACIÓN!B18</f>
        <v>300400</v>
      </c>
      <c r="C43" s="1">
        <f>+OPERACIÓN!B17</f>
        <v>504</v>
      </c>
      <c r="D43" s="8">
        <f>+B43*C43</f>
        <v>151401600</v>
      </c>
    </row>
    <row r="44" spans="1:7" x14ac:dyDescent="0.35">
      <c r="C44" s="18" t="s">
        <v>18</v>
      </c>
      <c r="D44" s="40">
        <f>+D42+D43</f>
        <v>302825600</v>
      </c>
    </row>
    <row r="47" spans="1:7" x14ac:dyDescent="0.35">
      <c r="A47" s="18" t="s">
        <v>18</v>
      </c>
      <c r="B47" s="40">
        <f>+D44+E39+B16+D3</f>
        <v>534771960</v>
      </c>
    </row>
    <row r="48" spans="1:7" x14ac:dyDescent="0.35">
      <c r="A48" s="1" t="s">
        <v>207</v>
      </c>
      <c r="B48" s="1">
        <f>+Matrícula!K5+Matrícula!K8+Matrícula!K11</f>
        <v>1093</v>
      </c>
    </row>
    <row r="49" spans="1:6" x14ac:dyDescent="0.35">
      <c r="A49" s="1" t="s">
        <v>223</v>
      </c>
      <c r="B49" s="8">
        <f>+B47/B48</f>
        <v>489269.8627630375</v>
      </c>
      <c r="D49" s="5"/>
    </row>
    <row r="53" spans="1:6" x14ac:dyDescent="0.35">
      <c r="A53" s="18" t="s">
        <v>235</v>
      </c>
      <c r="B53" s="18" t="s">
        <v>28</v>
      </c>
      <c r="C53" s="18" t="s">
        <v>221</v>
      </c>
      <c r="D53" s="18" t="s">
        <v>227</v>
      </c>
      <c r="E53" s="18" t="s">
        <v>218</v>
      </c>
      <c r="F53" s="18" t="s">
        <v>91</v>
      </c>
    </row>
    <row r="54" spans="1:6" x14ac:dyDescent="0.35">
      <c r="A54" s="55" t="s">
        <v>57</v>
      </c>
      <c r="B54" s="2" t="s">
        <v>0</v>
      </c>
      <c r="C54" s="1">
        <f>+C3</f>
        <v>37</v>
      </c>
      <c r="D54" s="1" t="s">
        <v>199</v>
      </c>
      <c r="E54" s="12">
        <f>+' FORMACIÓN'!O3</f>
        <v>214529.85239085238</v>
      </c>
      <c r="F54" s="12">
        <f>+C54*E54</f>
        <v>7937604.538461538</v>
      </c>
    </row>
    <row r="55" spans="1:6" x14ac:dyDescent="0.35">
      <c r="A55" s="56"/>
      <c r="B55" s="2" t="s">
        <v>1</v>
      </c>
      <c r="C55" s="1">
        <f>+C54</f>
        <v>37</v>
      </c>
      <c r="D55" s="1" t="s">
        <v>199</v>
      </c>
      <c r="E55" s="12">
        <f>+' FORMACIÓN'!O4</f>
        <v>242804.28066528065</v>
      </c>
      <c r="F55" s="12">
        <f t="shared" ref="F55:F60" si="1">+C55*E55</f>
        <v>8983758.384615384</v>
      </c>
    </row>
    <row r="56" spans="1:6" x14ac:dyDescent="0.35">
      <c r="A56" s="56"/>
      <c r="B56" s="2" t="s">
        <v>2</v>
      </c>
      <c r="C56" s="1">
        <f t="shared" ref="C56:C60" si="2">+C55</f>
        <v>37</v>
      </c>
      <c r="D56" s="1" t="s">
        <v>199</v>
      </c>
      <c r="E56" s="12">
        <f>+' FORMACIÓN'!O5</f>
        <v>214529.85239085238</v>
      </c>
      <c r="F56" s="12">
        <f t="shared" si="1"/>
        <v>7937604.538461538</v>
      </c>
    </row>
    <row r="57" spans="1:6" x14ac:dyDescent="0.35">
      <c r="A57" s="56"/>
      <c r="B57" s="2" t="s">
        <v>3</v>
      </c>
      <c r="C57" s="1">
        <f t="shared" si="2"/>
        <v>37</v>
      </c>
      <c r="D57" s="1" t="s">
        <v>199</v>
      </c>
      <c r="E57" s="12">
        <f>+' FORMACIÓN'!O6</f>
        <v>214529.85239085238</v>
      </c>
      <c r="F57" s="12">
        <f t="shared" si="1"/>
        <v>7937604.538461538</v>
      </c>
    </row>
    <row r="58" spans="1:6" x14ac:dyDescent="0.35">
      <c r="A58" s="56"/>
      <c r="B58" s="2" t="s">
        <v>4</v>
      </c>
      <c r="C58" s="1">
        <f t="shared" si="2"/>
        <v>37</v>
      </c>
      <c r="D58" s="1" t="s">
        <v>199</v>
      </c>
      <c r="E58" s="12">
        <f>+' FORMACIÓN'!O7</f>
        <v>228667.06652806653</v>
      </c>
      <c r="F58" s="12">
        <f t="shared" si="1"/>
        <v>8460681.461538462</v>
      </c>
    </row>
    <row r="59" spans="1:6" x14ac:dyDescent="0.35">
      <c r="A59" s="56"/>
      <c r="B59" s="2" t="s">
        <v>5</v>
      </c>
      <c r="C59" s="1">
        <f t="shared" si="2"/>
        <v>37</v>
      </c>
      <c r="D59" s="1" t="s">
        <v>199</v>
      </c>
      <c r="E59" s="12">
        <f>+' FORMACIÓN'!O8</f>
        <v>214529.85239085238</v>
      </c>
      <c r="F59" s="12">
        <f t="shared" si="1"/>
        <v>7937604.538461538</v>
      </c>
    </row>
    <row r="60" spans="1:6" x14ac:dyDescent="0.35">
      <c r="A60" s="57"/>
      <c r="B60" s="2" t="s">
        <v>239</v>
      </c>
      <c r="C60" s="1">
        <f t="shared" si="2"/>
        <v>37</v>
      </c>
      <c r="D60" s="1" t="s">
        <v>199</v>
      </c>
      <c r="E60" s="12">
        <f>+' FORMACIÓN'!O9</f>
        <v>214529.85239085238</v>
      </c>
      <c r="F60" s="12">
        <f t="shared" si="1"/>
        <v>7937604.538461538</v>
      </c>
    </row>
    <row r="61" spans="1:6" x14ac:dyDescent="0.35">
      <c r="A61" s="55" t="s">
        <v>242</v>
      </c>
      <c r="B61" s="1" t="s">
        <v>153</v>
      </c>
      <c r="C61" s="1">
        <f>+MONITOREO!B17</f>
        <v>818</v>
      </c>
      <c r="D61" s="1" t="s">
        <v>207</v>
      </c>
      <c r="E61" s="8">
        <f t="shared" ref="E61:E69" si="3">+ROUND(((B7/C61)/1000),2)*1000</f>
        <v>36210</v>
      </c>
      <c r="F61" s="8">
        <f>+E61*C61</f>
        <v>29619780</v>
      </c>
    </row>
    <row r="62" spans="1:6" x14ac:dyDescent="0.35">
      <c r="A62" s="57"/>
      <c r="B62" s="1" t="s">
        <v>154</v>
      </c>
      <c r="C62" s="1">
        <f>+MONITOREO!B18</f>
        <v>818</v>
      </c>
      <c r="D62" s="1" t="s">
        <v>207</v>
      </c>
      <c r="E62" s="8">
        <f t="shared" si="3"/>
        <v>34820</v>
      </c>
      <c r="F62" s="8">
        <f t="shared" ref="F62:F77" si="4">+E62*C62</f>
        <v>28482760</v>
      </c>
    </row>
    <row r="63" spans="1:6" x14ac:dyDescent="0.35">
      <c r="A63" s="55" t="s">
        <v>240</v>
      </c>
      <c r="B63" s="1" t="s">
        <v>158</v>
      </c>
      <c r="C63" s="1">
        <f>+MONITOREO!B19</f>
        <v>293</v>
      </c>
      <c r="D63" s="1" t="s">
        <v>207</v>
      </c>
      <c r="E63" s="8">
        <f t="shared" si="3"/>
        <v>42890</v>
      </c>
      <c r="F63" s="8">
        <f t="shared" si="4"/>
        <v>12566770</v>
      </c>
    </row>
    <row r="64" spans="1:6" x14ac:dyDescent="0.35">
      <c r="A64" s="56"/>
      <c r="B64" s="1" t="s">
        <v>159</v>
      </c>
      <c r="C64" s="1">
        <f>+MONITOREO!B20</f>
        <v>293</v>
      </c>
      <c r="D64" s="1" t="s">
        <v>207</v>
      </c>
      <c r="E64" s="8">
        <f t="shared" si="3"/>
        <v>38990</v>
      </c>
      <c r="F64" s="8">
        <f t="shared" si="4"/>
        <v>11424070</v>
      </c>
    </row>
    <row r="65" spans="1:6" x14ac:dyDescent="0.35">
      <c r="A65" s="56"/>
      <c r="B65" s="1" t="s">
        <v>160</v>
      </c>
      <c r="C65" s="1">
        <f>+MONITOREO!B21</f>
        <v>293</v>
      </c>
      <c r="D65" s="1" t="s">
        <v>207</v>
      </c>
      <c r="E65" s="8">
        <f t="shared" si="3"/>
        <v>38990</v>
      </c>
      <c r="F65" s="8">
        <f t="shared" si="4"/>
        <v>11424070</v>
      </c>
    </row>
    <row r="66" spans="1:6" x14ac:dyDescent="0.35">
      <c r="A66" s="57"/>
      <c r="B66" s="1" t="s">
        <v>161</v>
      </c>
      <c r="C66" s="1">
        <f>+MONITOREO!B22</f>
        <v>293</v>
      </c>
      <c r="D66" s="1" t="s">
        <v>207</v>
      </c>
      <c r="E66" s="8">
        <f t="shared" si="3"/>
        <v>38990</v>
      </c>
      <c r="F66" s="8">
        <f t="shared" si="4"/>
        <v>11424070</v>
      </c>
    </row>
    <row r="67" spans="1:6" x14ac:dyDescent="0.35">
      <c r="A67" s="55" t="s">
        <v>241</v>
      </c>
      <c r="B67" s="1" t="s">
        <v>155</v>
      </c>
      <c r="C67" s="1">
        <f>+MONITOREO!B23</f>
        <v>105</v>
      </c>
      <c r="D67" s="1" t="s">
        <v>207</v>
      </c>
      <c r="E67" s="8">
        <f t="shared" si="3"/>
        <v>63310</v>
      </c>
      <c r="F67" s="8">
        <f t="shared" si="4"/>
        <v>6647550</v>
      </c>
    </row>
    <row r="68" spans="1:6" x14ac:dyDescent="0.35">
      <c r="A68" s="56"/>
      <c r="B68" s="1" t="s">
        <v>156</v>
      </c>
      <c r="C68" s="1">
        <f>+MONITOREO!B24</f>
        <v>105</v>
      </c>
      <c r="D68" s="1" t="s">
        <v>207</v>
      </c>
      <c r="E68" s="8">
        <f t="shared" si="3"/>
        <v>52440</v>
      </c>
      <c r="F68" s="8">
        <f t="shared" si="4"/>
        <v>5506200</v>
      </c>
    </row>
    <row r="69" spans="1:6" x14ac:dyDescent="0.35">
      <c r="A69" s="57"/>
      <c r="B69" s="1" t="s">
        <v>157</v>
      </c>
      <c r="C69" s="1">
        <f>+MONITOREO!B25</f>
        <v>105</v>
      </c>
      <c r="D69" s="1" t="s">
        <v>207</v>
      </c>
      <c r="E69" s="8">
        <f t="shared" si="3"/>
        <v>52440</v>
      </c>
      <c r="F69" s="8">
        <f t="shared" si="4"/>
        <v>5506200</v>
      </c>
    </row>
    <row r="70" spans="1:6" x14ac:dyDescent="0.35">
      <c r="A70" s="54" t="s">
        <v>53</v>
      </c>
      <c r="B70" s="1" t="s">
        <v>228</v>
      </c>
      <c r="C70" s="1">
        <f>+D19</f>
        <v>11</v>
      </c>
      <c r="D70" s="1" t="s">
        <v>199</v>
      </c>
      <c r="E70" s="8">
        <f>+G19</f>
        <v>138000</v>
      </c>
      <c r="F70" s="8">
        <f t="shared" si="4"/>
        <v>1518000</v>
      </c>
    </row>
    <row r="71" spans="1:6" x14ac:dyDescent="0.35">
      <c r="A71" s="54"/>
      <c r="B71" s="1" t="s">
        <v>229</v>
      </c>
      <c r="C71" s="1">
        <f>+D24</f>
        <v>10</v>
      </c>
      <c r="D71" s="1" t="s">
        <v>199</v>
      </c>
      <c r="E71" s="8">
        <f>+G24</f>
        <v>1527600</v>
      </c>
      <c r="F71" s="8">
        <f t="shared" si="4"/>
        <v>15276000</v>
      </c>
    </row>
    <row r="72" spans="1:6" x14ac:dyDescent="0.35">
      <c r="A72" s="54"/>
      <c r="B72" s="1" t="s">
        <v>230</v>
      </c>
      <c r="C72" s="1">
        <f>+D36</f>
        <v>2</v>
      </c>
      <c r="D72" s="1" t="s">
        <v>234</v>
      </c>
      <c r="E72" s="8">
        <f>+G36</f>
        <v>803200</v>
      </c>
      <c r="F72" s="8">
        <f t="shared" si="4"/>
        <v>1606400</v>
      </c>
    </row>
    <row r="73" spans="1:6" x14ac:dyDescent="0.35">
      <c r="A73" s="54"/>
      <c r="B73" s="1" t="s">
        <v>231</v>
      </c>
      <c r="C73" s="1">
        <f>+D21</f>
        <v>275</v>
      </c>
      <c r="D73" s="1" t="s">
        <v>207</v>
      </c>
      <c r="E73" s="8">
        <f>+G21</f>
        <v>29700</v>
      </c>
      <c r="F73" s="8">
        <f t="shared" si="4"/>
        <v>8167500</v>
      </c>
    </row>
    <row r="74" spans="1:6" x14ac:dyDescent="0.35">
      <c r="A74" s="54"/>
      <c r="B74" s="1" t="s">
        <v>232</v>
      </c>
      <c r="C74" s="1">
        <f>+D26</f>
        <v>293</v>
      </c>
      <c r="D74" s="1" t="s">
        <v>207</v>
      </c>
      <c r="E74" s="8">
        <f>+G26</f>
        <v>78220</v>
      </c>
      <c r="F74" s="8">
        <f t="shared" si="4"/>
        <v>22918460</v>
      </c>
    </row>
    <row r="75" spans="1:6" x14ac:dyDescent="0.35">
      <c r="A75" s="54"/>
      <c r="B75" s="1" t="s">
        <v>233</v>
      </c>
      <c r="C75" s="1">
        <f>+D35</f>
        <v>105</v>
      </c>
      <c r="D75" s="1" t="s">
        <v>207</v>
      </c>
      <c r="E75" s="8">
        <f>+F35</f>
        <v>26000</v>
      </c>
      <c r="F75" s="8">
        <f t="shared" si="4"/>
        <v>2730000</v>
      </c>
    </row>
    <row r="76" spans="1:6" x14ac:dyDescent="0.35">
      <c r="A76" s="1" t="s">
        <v>222</v>
      </c>
      <c r="B76" s="1" t="s">
        <v>237</v>
      </c>
      <c r="C76" s="1">
        <f>+C42</f>
        <v>364</v>
      </c>
      <c r="D76" s="1" t="s">
        <v>238</v>
      </c>
      <c r="E76" s="12">
        <f>+B42</f>
        <v>416000</v>
      </c>
      <c r="F76" s="8">
        <f t="shared" si="4"/>
        <v>151424000</v>
      </c>
    </row>
    <row r="77" spans="1:6" x14ac:dyDescent="0.35">
      <c r="A77" s="1" t="s">
        <v>196</v>
      </c>
      <c r="B77" s="1" t="s">
        <v>236</v>
      </c>
      <c r="C77" s="1">
        <f>+C43</f>
        <v>504</v>
      </c>
      <c r="D77" s="1" t="s">
        <v>238</v>
      </c>
      <c r="E77" s="12">
        <f>+B43</f>
        <v>300400</v>
      </c>
      <c r="F77" s="8">
        <f t="shared" si="4"/>
        <v>151401600</v>
      </c>
    </row>
    <row r="78" spans="1:6" x14ac:dyDescent="0.35">
      <c r="E78" s="18" t="s">
        <v>18</v>
      </c>
      <c r="F78" s="40">
        <f>+SUM(F54:F77)</f>
        <v>534775892.53846157</v>
      </c>
    </row>
  </sheetData>
  <mergeCells count="8">
    <mergeCell ref="A19:A23"/>
    <mergeCell ref="A24:A34"/>
    <mergeCell ref="A35:A38"/>
    <mergeCell ref="A70:A75"/>
    <mergeCell ref="A54:A60"/>
    <mergeCell ref="A63:A66"/>
    <mergeCell ref="A67:A69"/>
    <mergeCell ref="A61:A6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6FF7D-5FF9-4245-A67E-AA10505E47D6}">
  <dimension ref="A1:O35"/>
  <sheetViews>
    <sheetView tabSelected="1" topLeftCell="A16" workbookViewId="0">
      <selection activeCell="H24" sqref="H24"/>
    </sheetView>
  </sheetViews>
  <sheetFormatPr baseColWidth="10" defaultRowHeight="14.5" x14ac:dyDescent="0.35"/>
  <cols>
    <col min="2" max="2" width="40.7265625" customWidth="1"/>
    <col min="3" max="3" width="18.1796875" customWidth="1"/>
    <col min="4" max="4" width="18.08984375" customWidth="1"/>
    <col min="5" max="5" width="22.90625" customWidth="1"/>
    <col min="6" max="6" width="15.6328125" customWidth="1"/>
    <col min="7" max="7" width="16.36328125" customWidth="1"/>
    <col min="8" max="8" width="21.54296875" customWidth="1"/>
    <col min="9" max="9" width="18.1796875" customWidth="1"/>
    <col min="11" max="11" width="14.08984375" bestFit="1" customWidth="1"/>
    <col min="12" max="12" width="18.08984375" customWidth="1"/>
    <col min="13" max="13" width="12.54296875" bestFit="1" customWidth="1"/>
    <col min="14" max="14" width="14.08984375" bestFit="1" customWidth="1"/>
    <col min="15" max="15" width="12.54296875" bestFit="1" customWidth="1"/>
  </cols>
  <sheetData>
    <row r="1" spans="1:15" x14ac:dyDescent="0.35">
      <c r="O1" s="31"/>
    </row>
    <row r="2" spans="1:15" x14ac:dyDescent="0.35">
      <c r="A2" t="s">
        <v>57</v>
      </c>
      <c r="B2" s="1" t="s">
        <v>129</v>
      </c>
      <c r="C2" s="1" t="s">
        <v>7</v>
      </c>
      <c r="D2" s="1" t="s">
        <v>9</v>
      </c>
      <c r="E2" s="1" t="s">
        <v>11</v>
      </c>
      <c r="F2" s="1" t="s">
        <v>8</v>
      </c>
      <c r="G2" s="1" t="s">
        <v>10</v>
      </c>
      <c r="H2" s="1" t="s">
        <v>12</v>
      </c>
      <c r="I2" s="1" t="s">
        <v>16</v>
      </c>
      <c r="J2" s="1" t="s">
        <v>14</v>
      </c>
      <c r="K2" s="1" t="s">
        <v>17</v>
      </c>
      <c r="L2" s="1" t="s">
        <v>13</v>
      </c>
      <c r="N2" s="4"/>
    </row>
    <row r="3" spans="1:15" x14ac:dyDescent="0.35">
      <c r="A3" s="1" t="s">
        <v>243</v>
      </c>
      <c r="B3" s="2" t="s">
        <v>0</v>
      </c>
      <c r="C3" s="1">
        <v>4</v>
      </c>
      <c r="D3" s="6">
        <v>170000</v>
      </c>
      <c r="E3" s="6">
        <f>+C3*D3</f>
        <v>680000</v>
      </c>
      <c r="F3" s="30">
        <v>8</v>
      </c>
      <c r="G3" s="6">
        <v>170000</v>
      </c>
      <c r="H3" s="6">
        <f>+F3*G3</f>
        <v>1360000</v>
      </c>
      <c r="I3" s="6">
        <f>+H3+E3</f>
        <v>2040000</v>
      </c>
      <c r="J3" s="7">
        <v>0.35</v>
      </c>
      <c r="K3" s="8">
        <f>+I3*J3/(1-J3)</f>
        <v>1098461.5384615385</v>
      </c>
      <c r="L3" s="9">
        <f>+K3+I3</f>
        <v>3138461.5384615385</v>
      </c>
      <c r="M3" s="11">
        <f>+L3+$G$20+$E$29</f>
        <v>7937604.538461538</v>
      </c>
      <c r="N3">
        <f>+RESUMEN!C3</f>
        <v>37</v>
      </c>
      <c r="O3" s="5">
        <f>+M3/N3</f>
        <v>214529.85239085238</v>
      </c>
    </row>
    <row r="4" spans="1:15" x14ac:dyDescent="0.35">
      <c r="A4" s="1" t="s">
        <v>244</v>
      </c>
      <c r="B4" s="2" t="s">
        <v>1</v>
      </c>
      <c r="C4" s="1">
        <v>8</v>
      </c>
      <c r="D4" s="6">
        <v>170000</v>
      </c>
      <c r="E4" s="6">
        <f t="shared" ref="E4:E9" si="0">+C4*D4</f>
        <v>1360000</v>
      </c>
      <c r="F4" s="30">
        <v>8</v>
      </c>
      <c r="G4" s="6">
        <v>170000</v>
      </c>
      <c r="H4" s="6">
        <f t="shared" ref="H4:H9" si="1">+F4*G4</f>
        <v>1360000</v>
      </c>
      <c r="I4" s="6">
        <f t="shared" ref="I4:I9" si="2">+H4+E4</f>
        <v>2720000</v>
      </c>
      <c r="J4" s="7">
        <f>+J3</f>
        <v>0.35</v>
      </c>
      <c r="K4" s="8">
        <f t="shared" ref="K4:K9" si="3">+I4*J4/(1-J4)</f>
        <v>1464615.3846153843</v>
      </c>
      <c r="L4" s="9">
        <f t="shared" ref="L4:L9" si="4">+K4+I4</f>
        <v>4184615.384615384</v>
      </c>
      <c r="M4" s="11">
        <f t="shared" ref="M4:M9" si="5">+L4+$G$20+$E$29</f>
        <v>8983758.384615384</v>
      </c>
      <c r="N4">
        <f>+N3</f>
        <v>37</v>
      </c>
      <c r="O4" s="5">
        <f t="shared" ref="O4:O9" si="6">+M4/N4</f>
        <v>242804.28066528065</v>
      </c>
    </row>
    <row r="5" spans="1:15" x14ac:dyDescent="0.35">
      <c r="A5" s="1" t="s">
        <v>245</v>
      </c>
      <c r="B5" s="2" t="s">
        <v>2</v>
      </c>
      <c r="C5" s="1">
        <v>4</v>
      </c>
      <c r="D5" s="6">
        <v>170000</v>
      </c>
      <c r="E5" s="6">
        <f t="shared" si="0"/>
        <v>680000</v>
      </c>
      <c r="F5" s="30">
        <v>8</v>
      </c>
      <c r="G5" s="6">
        <v>170000</v>
      </c>
      <c r="H5" s="6">
        <f t="shared" si="1"/>
        <v>1360000</v>
      </c>
      <c r="I5" s="6">
        <f t="shared" si="2"/>
        <v>2040000</v>
      </c>
      <c r="J5" s="7">
        <f t="shared" ref="J5:J9" si="7">+J4</f>
        <v>0.35</v>
      </c>
      <c r="K5" s="8">
        <f t="shared" si="3"/>
        <v>1098461.5384615385</v>
      </c>
      <c r="L5" s="9">
        <f t="shared" si="4"/>
        <v>3138461.5384615385</v>
      </c>
      <c r="M5" s="11">
        <f t="shared" si="5"/>
        <v>7937604.538461538</v>
      </c>
      <c r="N5">
        <f t="shared" ref="N5:N9" si="8">+N4</f>
        <v>37</v>
      </c>
      <c r="O5" s="5">
        <f t="shared" si="6"/>
        <v>214529.85239085238</v>
      </c>
    </row>
    <row r="6" spans="1:15" x14ac:dyDescent="0.35">
      <c r="A6" s="1" t="s">
        <v>247</v>
      </c>
      <c r="B6" s="2" t="s">
        <v>3</v>
      </c>
      <c r="C6" s="1">
        <v>4</v>
      </c>
      <c r="D6" s="6">
        <v>170000</v>
      </c>
      <c r="E6" s="6">
        <f t="shared" si="0"/>
        <v>680000</v>
      </c>
      <c r="F6" s="30">
        <v>8</v>
      </c>
      <c r="G6" s="6">
        <v>170000</v>
      </c>
      <c r="H6" s="6">
        <f t="shared" si="1"/>
        <v>1360000</v>
      </c>
      <c r="I6" s="6">
        <f t="shared" si="2"/>
        <v>2040000</v>
      </c>
      <c r="J6" s="7">
        <f t="shared" si="7"/>
        <v>0.35</v>
      </c>
      <c r="K6" s="8">
        <f t="shared" si="3"/>
        <v>1098461.5384615385</v>
      </c>
      <c r="L6" s="9">
        <f t="shared" si="4"/>
        <v>3138461.5384615385</v>
      </c>
      <c r="M6" s="11">
        <f t="shared" si="5"/>
        <v>7937604.538461538</v>
      </c>
      <c r="N6">
        <f t="shared" si="8"/>
        <v>37</v>
      </c>
      <c r="O6" s="5">
        <f t="shared" si="6"/>
        <v>214529.85239085238</v>
      </c>
    </row>
    <row r="7" spans="1:15" x14ac:dyDescent="0.35">
      <c r="A7" s="1" t="s">
        <v>246</v>
      </c>
      <c r="B7" s="2" t="s">
        <v>4</v>
      </c>
      <c r="C7" s="1">
        <v>6</v>
      </c>
      <c r="D7" s="6">
        <v>170000</v>
      </c>
      <c r="E7" s="6">
        <f t="shared" si="0"/>
        <v>1020000</v>
      </c>
      <c r="F7" s="30">
        <v>8</v>
      </c>
      <c r="G7" s="6">
        <v>170000</v>
      </c>
      <c r="H7" s="6">
        <f t="shared" si="1"/>
        <v>1360000</v>
      </c>
      <c r="I7" s="6">
        <f t="shared" si="2"/>
        <v>2380000</v>
      </c>
      <c r="J7" s="7">
        <f t="shared" si="7"/>
        <v>0.35</v>
      </c>
      <c r="K7" s="8">
        <f t="shared" si="3"/>
        <v>1281538.4615384615</v>
      </c>
      <c r="L7" s="9">
        <f t="shared" si="4"/>
        <v>3661538.4615384615</v>
      </c>
      <c r="M7" s="11">
        <f t="shared" si="5"/>
        <v>8460681.461538462</v>
      </c>
      <c r="N7">
        <f t="shared" si="8"/>
        <v>37</v>
      </c>
      <c r="O7" s="5">
        <f t="shared" si="6"/>
        <v>228667.06652806653</v>
      </c>
    </row>
    <row r="8" spans="1:15" x14ac:dyDescent="0.35">
      <c r="A8" s="1" t="s">
        <v>248</v>
      </c>
      <c r="B8" s="2" t="s">
        <v>5</v>
      </c>
      <c r="C8" s="1">
        <v>4</v>
      </c>
      <c r="D8" s="6">
        <v>170000</v>
      </c>
      <c r="E8" s="6">
        <f t="shared" si="0"/>
        <v>680000</v>
      </c>
      <c r="F8" s="30">
        <v>8</v>
      </c>
      <c r="G8" s="6">
        <v>170000</v>
      </c>
      <c r="H8" s="6">
        <f t="shared" si="1"/>
        <v>1360000</v>
      </c>
      <c r="I8" s="6">
        <f t="shared" si="2"/>
        <v>2040000</v>
      </c>
      <c r="J8" s="7">
        <f t="shared" si="7"/>
        <v>0.35</v>
      </c>
      <c r="K8" s="8">
        <f t="shared" si="3"/>
        <v>1098461.5384615385</v>
      </c>
      <c r="L8" s="9">
        <f t="shared" si="4"/>
        <v>3138461.5384615385</v>
      </c>
      <c r="M8" s="11">
        <f t="shared" si="5"/>
        <v>7937604.538461538</v>
      </c>
      <c r="N8">
        <f t="shared" si="8"/>
        <v>37</v>
      </c>
      <c r="O8" s="5">
        <f t="shared" si="6"/>
        <v>214529.85239085238</v>
      </c>
    </row>
    <row r="9" spans="1:15" x14ac:dyDescent="0.35">
      <c r="A9" s="1" t="s">
        <v>249</v>
      </c>
      <c r="B9" s="2" t="s">
        <v>6</v>
      </c>
      <c r="C9" s="1">
        <v>4</v>
      </c>
      <c r="D9" s="6">
        <v>170000</v>
      </c>
      <c r="E9" s="6">
        <f t="shared" si="0"/>
        <v>680000</v>
      </c>
      <c r="F9" s="30">
        <v>8</v>
      </c>
      <c r="G9" s="6">
        <v>170000</v>
      </c>
      <c r="H9" s="6">
        <f t="shared" si="1"/>
        <v>1360000</v>
      </c>
      <c r="I9" s="6">
        <f t="shared" si="2"/>
        <v>2040000</v>
      </c>
      <c r="J9" s="7">
        <f t="shared" si="7"/>
        <v>0.35</v>
      </c>
      <c r="K9" s="8">
        <f t="shared" si="3"/>
        <v>1098461.5384615385</v>
      </c>
      <c r="L9" s="9">
        <f t="shared" si="4"/>
        <v>3138461.5384615385</v>
      </c>
      <c r="M9" s="11">
        <f t="shared" si="5"/>
        <v>7937604.538461538</v>
      </c>
      <c r="N9">
        <f t="shared" si="8"/>
        <v>37</v>
      </c>
      <c r="O9" s="5">
        <f t="shared" si="6"/>
        <v>214529.85239085238</v>
      </c>
    </row>
    <row r="10" spans="1:15" x14ac:dyDescent="0.35">
      <c r="B10" s="2" t="s">
        <v>18</v>
      </c>
      <c r="C10" s="1">
        <f>+SUM(C3:C9)</f>
        <v>34</v>
      </c>
      <c r="D10" s="1"/>
      <c r="E10" s="6">
        <f t="shared" ref="E10:L10" si="9">+SUM(E3:E9)</f>
        <v>5780000</v>
      </c>
      <c r="F10" s="1">
        <f t="shared" si="9"/>
        <v>56</v>
      </c>
      <c r="G10" s="1"/>
      <c r="H10" s="6">
        <f t="shared" si="9"/>
        <v>9520000</v>
      </c>
      <c r="I10" s="6">
        <f t="shared" si="9"/>
        <v>15300000</v>
      </c>
      <c r="J10" s="1"/>
      <c r="K10" s="8">
        <f t="shared" si="9"/>
        <v>8238461.538461538</v>
      </c>
      <c r="L10" s="8">
        <f t="shared" si="9"/>
        <v>23538461.53846154</v>
      </c>
    </row>
    <row r="12" spans="1:15" x14ac:dyDescent="0.35">
      <c r="B12" s="10"/>
    </row>
    <row r="13" spans="1:15" x14ac:dyDescent="0.35">
      <c r="B13" s="2" t="s">
        <v>19</v>
      </c>
      <c r="C13" s="1"/>
      <c r="D13" s="1" t="s">
        <v>23</v>
      </c>
      <c r="E13" s="1" t="s">
        <v>15</v>
      </c>
    </row>
    <row r="14" spans="1:15" x14ac:dyDescent="0.35">
      <c r="B14" s="2" t="s">
        <v>20</v>
      </c>
      <c r="C14" s="8">
        <v>500000</v>
      </c>
      <c r="D14" s="1">
        <v>12</v>
      </c>
      <c r="E14" s="8">
        <f>+C14*D14</f>
        <v>6000000</v>
      </c>
    </row>
    <row r="15" spans="1:15" x14ac:dyDescent="0.35">
      <c r="B15" s="2" t="s">
        <v>21</v>
      </c>
      <c r="C15" s="8">
        <v>200000</v>
      </c>
      <c r="D15" s="1">
        <v>12</v>
      </c>
      <c r="E15" s="8">
        <f>+C15*D15</f>
        <v>2400000</v>
      </c>
    </row>
    <row r="16" spans="1:15" x14ac:dyDescent="0.35">
      <c r="B16" s="2" t="s">
        <v>22</v>
      </c>
      <c r="C16" s="6">
        <v>2500000</v>
      </c>
      <c r="D16" s="1">
        <v>4</v>
      </c>
      <c r="E16" s="9">
        <f>+D16*C16</f>
        <v>10000000</v>
      </c>
    </row>
    <row r="17" spans="2:7" x14ac:dyDescent="0.35">
      <c r="B17" s="10"/>
      <c r="C17" s="5"/>
      <c r="D17" s="1" t="s">
        <v>24</v>
      </c>
      <c r="E17" s="9">
        <f>+SUM(E14:E16)</f>
        <v>18400000</v>
      </c>
    </row>
    <row r="18" spans="2:7" x14ac:dyDescent="0.35">
      <c r="D18" s="1" t="s">
        <v>138</v>
      </c>
      <c r="E18" s="7">
        <v>0.35</v>
      </c>
    </row>
    <row r="19" spans="2:7" x14ac:dyDescent="0.35">
      <c r="D19" s="1" t="s">
        <v>25</v>
      </c>
      <c r="E19" s="8">
        <f>+E17*E18/0.7</f>
        <v>9200000</v>
      </c>
    </row>
    <row r="20" spans="2:7" x14ac:dyDescent="0.35">
      <c r="D20" s="1" t="s">
        <v>26</v>
      </c>
      <c r="E20" s="12">
        <f>+E17+E19</f>
        <v>27600000</v>
      </c>
      <c r="F20">
        <v>7</v>
      </c>
      <c r="G20" s="14">
        <f>+ROUND((E20/F20),0)</f>
        <v>3942857</v>
      </c>
    </row>
    <row r="21" spans="2:7" x14ac:dyDescent="0.35">
      <c r="E21" s="11"/>
    </row>
    <row r="22" spans="2:7" x14ac:dyDescent="0.35">
      <c r="B22" t="s">
        <v>144</v>
      </c>
      <c r="E22" s="11"/>
    </row>
    <row r="23" spans="2:7" x14ac:dyDescent="0.35">
      <c r="B23" s="1" t="s">
        <v>145</v>
      </c>
      <c r="C23" s="1">
        <f>+E33</f>
        <v>37</v>
      </c>
      <c r="E23" s="11"/>
    </row>
    <row r="24" spans="2:7" x14ac:dyDescent="0.35">
      <c r="B24" s="1" t="s">
        <v>146</v>
      </c>
      <c r="C24" s="8">
        <v>15000</v>
      </c>
      <c r="E24" s="11"/>
    </row>
    <row r="25" spans="2:7" x14ac:dyDescent="0.35">
      <c r="B25" s="1" t="s">
        <v>148</v>
      </c>
      <c r="C25" s="1">
        <v>8</v>
      </c>
      <c r="E25" s="11"/>
    </row>
    <row r="26" spans="2:7" x14ac:dyDescent="0.35">
      <c r="B26" s="1" t="s">
        <v>147</v>
      </c>
      <c r="C26" s="12">
        <f>+C23*C24*C25</f>
        <v>4440000</v>
      </c>
      <c r="E26" s="11"/>
    </row>
    <row r="27" spans="2:7" x14ac:dyDescent="0.35">
      <c r="B27" s="1" t="s">
        <v>138</v>
      </c>
      <c r="C27" s="7">
        <v>0.35</v>
      </c>
      <c r="E27" s="11"/>
    </row>
    <row r="28" spans="2:7" x14ac:dyDescent="0.35">
      <c r="B28" s="1" t="s">
        <v>138</v>
      </c>
      <c r="C28" s="8">
        <f>+C26*C27</f>
        <v>1554000</v>
      </c>
      <c r="E28" s="11"/>
    </row>
    <row r="29" spans="2:7" x14ac:dyDescent="0.35">
      <c r="B29" s="1" t="s">
        <v>149</v>
      </c>
      <c r="C29" s="12">
        <f>+C28+C26</f>
        <v>5994000</v>
      </c>
      <c r="D29">
        <v>7</v>
      </c>
      <c r="E29" s="11">
        <f>+ROUND((C29/D29),0)</f>
        <v>856286</v>
      </c>
    </row>
    <row r="32" spans="2:7" x14ac:dyDescent="0.35">
      <c r="D32" s="1" t="s">
        <v>141</v>
      </c>
      <c r="E32" s="12">
        <f>+E20+L10+C29</f>
        <v>57132461.538461536</v>
      </c>
    </row>
    <row r="33" spans="4:5" x14ac:dyDescent="0.35">
      <c r="D33" s="1" t="s">
        <v>142</v>
      </c>
      <c r="E33" s="1">
        <f>+Matrícula!T13</f>
        <v>37</v>
      </c>
    </row>
    <row r="34" spans="4:5" x14ac:dyDescent="0.35">
      <c r="D34" s="1" t="s">
        <v>143</v>
      </c>
      <c r="E34" s="8">
        <f>+ROUND(((E32/E33)/1000000),3)*1000000</f>
        <v>1544000</v>
      </c>
    </row>
    <row r="35" spans="4:5" x14ac:dyDescent="0.35">
      <c r="E35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3B953-B6E1-4E5B-86DB-2F5BCE154A62}">
  <dimension ref="A1:O49"/>
  <sheetViews>
    <sheetView topLeftCell="A12" workbookViewId="0">
      <selection activeCell="B17" sqref="B17"/>
    </sheetView>
  </sheetViews>
  <sheetFormatPr baseColWidth="10" defaultRowHeight="14.5" x14ac:dyDescent="0.35"/>
  <cols>
    <col min="1" max="1" width="25.36328125" customWidth="1"/>
    <col min="2" max="2" width="20.54296875" customWidth="1"/>
    <col min="3" max="3" width="24.36328125" customWidth="1"/>
    <col min="4" max="4" width="20.90625" customWidth="1"/>
    <col min="5" max="5" width="20.81640625" customWidth="1"/>
    <col min="6" max="6" width="20.08984375" customWidth="1"/>
    <col min="7" max="7" width="12.90625" customWidth="1"/>
    <col min="8" max="8" width="20.81640625" customWidth="1"/>
    <col min="9" max="9" width="18.90625" customWidth="1"/>
    <col min="10" max="10" width="12.54296875" bestFit="1" customWidth="1"/>
    <col min="11" max="11" width="11.54296875" bestFit="1" customWidth="1"/>
    <col min="12" max="12" width="14.08984375" bestFit="1" customWidth="1"/>
    <col min="13" max="13" width="16.81640625" customWidth="1"/>
    <col min="14" max="14" width="11.54296875" bestFit="1" customWidth="1"/>
    <col min="15" max="15" width="15.08984375" bestFit="1" customWidth="1"/>
  </cols>
  <sheetData>
    <row r="1" spans="1:13" x14ac:dyDescent="0.35">
      <c r="D1" s="1" t="s">
        <v>166</v>
      </c>
      <c r="E1" s="8">
        <f>+'BASE OPERACIÓN'!C5</f>
        <v>9900000</v>
      </c>
    </row>
    <row r="2" spans="1:13" x14ac:dyDescent="0.35">
      <c r="A2" t="s">
        <v>150</v>
      </c>
      <c r="D2" s="1" t="s">
        <v>167</v>
      </c>
      <c r="E2" s="8">
        <f>+E1/20</f>
        <v>495000</v>
      </c>
    </row>
    <row r="3" spans="1:13" x14ac:dyDescent="0.35">
      <c r="A3" s="39" t="s">
        <v>180</v>
      </c>
      <c r="B3" s="39" t="s">
        <v>15</v>
      </c>
      <c r="D3" s="1" t="s">
        <v>168</v>
      </c>
      <c r="E3" s="8">
        <f>+E2/8</f>
        <v>61875</v>
      </c>
      <c r="F3" s="4"/>
    </row>
    <row r="4" spans="1:13" x14ac:dyDescent="0.35">
      <c r="A4" s="1" t="s">
        <v>153</v>
      </c>
      <c r="B4" s="12">
        <f>ROUND((+M17/1000000),3)*1000000</f>
        <v>29623000</v>
      </c>
      <c r="C4" s="4"/>
      <c r="D4" s="1" t="s">
        <v>175</v>
      </c>
      <c r="E4" s="1">
        <v>100</v>
      </c>
      <c r="F4" s="4"/>
      <c r="J4" s="5"/>
    </row>
    <row r="5" spans="1:13" x14ac:dyDescent="0.35">
      <c r="A5" s="1" t="s">
        <v>154</v>
      </c>
      <c r="B5" s="12">
        <f t="shared" ref="B5:B12" si="0">+ROUND((M18/1000000),3)*1000000</f>
        <v>28481000</v>
      </c>
      <c r="D5" s="1" t="s">
        <v>176</v>
      </c>
      <c r="E5" s="1">
        <f>+E3/E4</f>
        <v>618.75</v>
      </c>
      <c r="F5" s="4"/>
    </row>
    <row r="6" spans="1:13" x14ac:dyDescent="0.35">
      <c r="A6" s="38" t="s">
        <v>158</v>
      </c>
      <c r="B6" s="12">
        <f t="shared" si="0"/>
        <v>12566000</v>
      </c>
      <c r="F6" s="4"/>
    </row>
    <row r="7" spans="1:13" x14ac:dyDescent="0.35">
      <c r="A7" s="38" t="s">
        <v>159</v>
      </c>
      <c r="B7" s="12">
        <f t="shared" si="0"/>
        <v>11424000</v>
      </c>
      <c r="F7" s="4"/>
    </row>
    <row r="8" spans="1:13" x14ac:dyDescent="0.35">
      <c r="A8" s="1" t="s">
        <v>160</v>
      </c>
      <c r="B8" s="12">
        <f t="shared" si="0"/>
        <v>11424000</v>
      </c>
      <c r="F8" s="4"/>
    </row>
    <row r="9" spans="1:13" x14ac:dyDescent="0.35">
      <c r="A9" s="1" t="s">
        <v>161</v>
      </c>
      <c r="B9" s="12">
        <f t="shared" si="0"/>
        <v>11424000</v>
      </c>
      <c r="F9" s="4"/>
    </row>
    <row r="10" spans="1:13" x14ac:dyDescent="0.35">
      <c r="A10" s="1" t="s">
        <v>155</v>
      </c>
      <c r="B10" s="12">
        <f t="shared" si="0"/>
        <v>6648000</v>
      </c>
      <c r="F10" s="4"/>
    </row>
    <row r="11" spans="1:13" x14ac:dyDescent="0.35">
      <c r="A11" s="38" t="s">
        <v>156</v>
      </c>
      <c r="B11" s="12">
        <f t="shared" si="0"/>
        <v>5506000</v>
      </c>
      <c r="F11" s="4"/>
    </row>
    <row r="12" spans="1:13" x14ac:dyDescent="0.35">
      <c r="A12" s="38" t="s">
        <v>157</v>
      </c>
      <c r="B12" s="12">
        <f t="shared" si="0"/>
        <v>5506000</v>
      </c>
      <c r="F12" s="4"/>
    </row>
    <row r="13" spans="1:13" x14ac:dyDescent="0.35">
      <c r="A13" s="18" t="s">
        <v>18</v>
      </c>
      <c r="B13" s="40">
        <f>+SUM(B4:B12)</f>
        <v>122602000</v>
      </c>
      <c r="F13" s="4"/>
    </row>
    <row r="14" spans="1:13" x14ac:dyDescent="0.35">
      <c r="F14" s="4"/>
    </row>
    <row r="16" spans="1:13" x14ac:dyDescent="0.35">
      <c r="A16" s="1" t="s">
        <v>162</v>
      </c>
      <c r="B16" s="1" t="s">
        <v>152</v>
      </c>
      <c r="C16" s="1" t="s">
        <v>151</v>
      </c>
      <c r="D16" s="1" t="s">
        <v>163</v>
      </c>
      <c r="E16" s="1" t="s">
        <v>165</v>
      </c>
      <c r="F16" s="1" t="s">
        <v>169</v>
      </c>
      <c r="G16" s="1" t="s">
        <v>178</v>
      </c>
      <c r="H16" s="1" t="s">
        <v>224</v>
      </c>
      <c r="I16" s="1" t="s">
        <v>225</v>
      </c>
      <c r="J16" s="1" t="s">
        <v>179</v>
      </c>
      <c r="K16" s="1" t="s">
        <v>14</v>
      </c>
      <c r="L16" s="1" t="s">
        <v>17</v>
      </c>
      <c r="M16" s="1" t="s">
        <v>15</v>
      </c>
    </row>
    <row r="17" spans="1:15" x14ac:dyDescent="0.35">
      <c r="A17" s="1" t="s">
        <v>153</v>
      </c>
      <c r="B17" s="1">
        <f>+'BASE OPERACIÓN'!D23+'BASE OPERACIÓN'!D25</f>
        <v>818</v>
      </c>
      <c r="C17" s="8">
        <v>500</v>
      </c>
      <c r="D17" s="12">
        <f>+B17*C17</f>
        <v>409000</v>
      </c>
      <c r="E17" s="6">
        <f>+$E$5</f>
        <v>618.75</v>
      </c>
      <c r="F17" s="8">
        <f>+E17*B17</f>
        <v>506137.5</v>
      </c>
      <c r="G17" s="12">
        <f>+B46</f>
        <v>1980000</v>
      </c>
      <c r="H17" s="12">
        <v>20000</v>
      </c>
      <c r="I17" s="12">
        <f>+H17*B17</f>
        <v>16360000</v>
      </c>
      <c r="J17" s="12">
        <f>+G17+F17+D17+I17</f>
        <v>19255137.5</v>
      </c>
      <c r="K17" s="7">
        <v>0.35</v>
      </c>
      <c r="L17" s="8">
        <f>+J17*K17/(1-K17)</f>
        <v>10368150.961538462</v>
      </c>
      <c r="M17" s="12">
        <f>+J17+L17</f>
        <v>29623288.461538464</v>
      </c>
      <c r="O17" s="5"/>
    </row>
    <row r="18" spans="1:15" x14ac:dyDescent="0.35">
      <c r="A18" s="1" t="s">
        <v>154</v>
      </c>
      <c r="B18" s="1">
        <f>+B17</f>
        <v>818</v>
      </c>
      <c r="C18" s="12">
        <f>+C17</f>
        <v>500</v>
      </c>
      <c r="D18" s="12">
        <f t="shared" ref="D18:D25" si="1">+B18*C18</f>
        <v>409000</v>
      </c>
      <c r="E18" s="6">
        <f t="shared" ref="E18:E25" si="2">+$E$5</f>
        <v>618.75</v>
      </c>
      <c r="F18" s="8">
        <f t="shared" ref="F18:F25" si="3">+E18*B18</f>
        <v>506137.5</v>
      </c>
      <c r="G18" s="12">
        <f>+C46</f>
        <v>1237500</v>
      </c>
      <c r="H18" s="12">
        <f>+H17</f>
        <v>20000</v>
      </c>
      <c r="I18" s="12">
        <f t="shared" ref="I18:I25" si="4">+H18*B18</f>
        <v>16360000</v>
      </c>
      <c r="J18" s="12">
        <f t="shared" ref="J18:J25" si="5">+G18+F18+D18+I18</f>
        <v>18512637.5</v>
      </c>
      <c r="K18" s="7">
        <f>+K17</f>
        <v>0.35</v>
      </c>
      <c r="L18" s="8">
        <f t="shared" ref="L18:L25" si="6">+J18*K18/(1-K18)</f>
        <v>9968343.2692307681</v>
      </c>
      <c r="M18" s="12">
        <f t="shared" ref="M18:M25" si="7">+J18+L18</f>
        <v>28480980.769230768</v>
      </c>
      <c r="O18" s="5"/>
    </row>
    <row r="19" spans="1:15" x14ac:dyDescent="0.35">
      <c r="A19" s="38" t="s">
        <v>158</v>
      </c>
      <c r="B19" s="1">
        <f>+'BASE OPERACIÓN'!D23</f>
        <v>293</v>
      </c>
      <c r="C19" s="12">
        <f t="shared" ref="C19:C25" si="8">+C18</f>
        <v>500</v>
      </c>
      <c r="D19" s="12">
        <f t="shared" si="1"/>
        <v>146500</v>
      </c>
      <c r="E19" s="6">
        <f t="shared" si="2"/>
        <v>618.75</v>
      </c>
      <c r="F19" s="8">
        <f t="shared" si="3"/>
        <v>181293.75</v>
      </c>
      <c r="G19" s="12">
        <f>+D46</f>
        <v>1980000</v>
      </c>
      <c r="H19" s="12">
        <f t="shared" ref="H19:H25" si="9">+H18</f>
        <v>20000</v>
      </c>
      <c r="I19" s="12">
        <f t="shared" si="4"/>
        <v>5860000</v>
      </c>
      <c r="J19" s="12">
        <f t="shared" si="5"/>
        <v>8167793.75</v>
      </c>
      <c r="K19" s="7">
        <f t="shared" ref="K19:K25" si="10">+K18</f>
        <v>0.35</v>
      </c>
      <c r="L19" s="8">
        <f t="shared" si="6"/>
        <v>4398042.788461538</v>
      </c>
      <c r="M19" s="12">
        <f t="shared" si="7"/>
        <v>12565836.538461538</v>
      </c>
      <c r="O19" s="5"/>
    </row>
    <row r="20" spans="1:15" x14ac:dyDescent="0.35">
      <c r="A20" s="38" t="s">
        <v>159</v>
      </c>
      <c r="B20" s="1">
        <f>+B19</f>
        <v>293</v>
      </c>
      <c r="C20" s="12">
        <f t="shared" si="8"/>
        <v>500</v>
      </c>
      <c r="D20" s="12">
        <f t="shared" si="1"/>
        <v>146500</v>
      </c>
      <c r="E20" s="6">
        <f t="shared" si="2"/>
        <v>618.75</v>
      </c>
      <c r="F20" s="8">
        <f t="shared" si="3"/>
        <v>181293.75</v>
      </c>
      <c r="G20" s="12">
        <f>+E46</f>
        <v>1237500</v>
      </c>
      <c r="H20" s="12">
        <f t="shared" si="9"/>
        <v>20000</v>
      </c>
      <c r="I20" s="12">
        <f t="shared" si="4"/>
        <v>5860000</v>
      </c>
      <c r="J20" s="12">
        <f t="shared" si="5"/>
        <v>7425293.75</v>
      </c>
      <c r="K20" s="7">
        <f t="shared" si="10"/>
        <v>0.35</v>
      </c>
      <c r="L20" s="8">
        <f t="shared" si="6"/>
        <v>3998235.096153846</v>
      </c>
      <c r="M20" s="12">
        <f t="shared" si="7"/>
        <v>11423528.846153846</v>
      </c>
      <c r="O20" s="5"/>
    </row>
    <row r="21" spans="1:15" x14ac:dyDescent="0.35">
      <c r="A21" s="1" t="s">
        <v>160</v>
      </c>
      <c r="B21" s="1">
        <f t="shared" ref="B21:B22" si="11">+B20</f>
        <v>293</v>
      </c>
      <c r="C21" s="12">
        <f t="shared" si="8"/>
        <v>500</v>
      </c>
      <c r="D21" s="12">
        <f t="shared" si="1"/>
        <v>146500</v>
      </c>
      <c r="E21" s="6">
        <f t="shared" si="2"/>
        <v>618.75</v>
      </c>
      <c r="F21" s="8">
        <f t="shared" si="3"/>
        <v>181293.75</v>
      </c>
      <c r="G21" s="12">
        <f>+F46</f>
        <v>1237500</v>
      </c>
      <c r="H21" s="12">
        <f t="shared" si="9"/>
        <v>20000</v>
      </c>
      <c r="I21" s="12">
        <f t="shared" si="4"/>
        <v>5860000</v>
      </c>
      <c r="J21" s="12">
        <f t="shared" si="5"/>
        <v>7425293.75</v>
      </c>
      <c r="K21" s="7">
        <f t="shared" si="10"/>
        <v>0.35</v>
      </c>
      <c r="L21" s="8">
        <f t="shared" si="6"/>
        <v>3998235.096153846</v>
      </c>
      <c r="M21" s="12">
        <f t="shared" si="7"/>
        <v>11423528.846153846</v>
      </c>
      <c r="O21" s="5"/>
    </row>
    <row r="22" spans="1:15" x14ac:dyDescent="0.35">
      <c r="A22" s="1" t="s">
        <v>161</v>
      </c>
      <c r="B22" s="1">
        <f t="shared" si="11"/>
        <v>293</v>
      </c>
      <c r="C22" s="12">
        <f t="shared" si="8"/>
        <v>500</v>
      </c>
      <c r="D22" s="12">
        <f t="shared" si="1"/>
        <v>146500</v>
      </c>
      <c r="E22" s="6">
        <f t="shared" si="2"/>
        <v>618.75</v>
      </c>
      <c r="F22" s="8">
        <f t="shared" si="3"/>
        <v>181293.75</v>
      </c>
      <c r="G22" s="12">
        <f>+G46</f>
        <v>1237500</v>
      </c>
      <c r="H22" s="12">
        <f t="shared" si="9"/>
        <v>20000</v>
      </c>
      <c r="I22" s="12">
        <f t="shared" si="4"/>
        <v>5860000</v>
      </c>
      <c r="J22" s="12">
        <f t="shared" si="5"/>
        <v>7425293.75</v>
      </c>
      <c r="K22" s="7">
        <f t="shared" si="10"/>
        <v>0.35</v>
      </c>
      <c r="L22" s="8">
        <f t="shared" si="6"/>
        <v>3998235.096153846</v>
      </c>
      <c r="M22" s="12">
        <f t="shared" si="7"/>
        <v>11423528.846153846</v>
      </c>
      <c r="O22" s="5"/>
    </row>
    <row r="23" spans="1:15" x14ac:dyDescent="0.35">
      <c r="A23" s="1" t="s">
        <v>155</v>
      </c>
      <c r="B23" s="1">
        <f>+'BASE OPERACIÓN'!F25</f>
        <v>105</v>
      </c>
      <c r="C23" s="12">
        <f t="shared" si="8"/>
        <v>500</v>
      </c>
      <c r="D23" s="12">
        <f t="shared" si="1"/>
        <v>52500</v>
      </c>
      <c r="E23" s="6">
        <f t="shared" si="2"/>
        <v>618.75</v>
      </c>
      <c r="F23" s="8">
        <f t="shared" si="3"/>
        <v>64968.75</v>
      </c>
      <c r="G23" s="12">
        <f>+J46</f>
        <v>2103750</v>
      </c>
      <c r="H23" s="12">
        <f t="shared" si="9"/>
        <v>20000</v>
      </c>
      <c r="I23" s="12">
        <f t="shared" si="4"/>
        <v>2100000</v>
      </c>
      <c r="J23" s="12">
        <f t="shared" si="5"/>
        <v>4321218.75</v>
      </c>
      <c r="K23" s="7">
        <f t="shared" si="10"/>
        <v>0.35</v>
      </c>
      <c r="L23" s="8">
        <f t="shared" si="6"/>
        <v>2326810.096153846</v>
      </c>
      <c r="M23" s="12">
        <f t="shared" si="7"/>
        <v>6648028.846153846</v>
      </c>
      <c r="O23" s="5"/>
    </row>
    <row r="24" spans="1:15" x14ac:dyDescent="0.35">
      <c r="A24" s="38" t="s">
        <v>156</v>
      </c>
      <c r="B24" s="1">
        <f>+B23</f>
        <v>105</v>
      </c>
      <c r="C24" s="12">
        <f t="shared" si="8"/>
        <v>500</v>
      </c>
      <c r="D24" s="12">
        <f t="shared" si="1"/>
        <v>52500</v>
      </c>
      <c r="E24" s="6">
        <f t="shared" si="2"/>
        <v>618.75</v>
      </c>
      <c r="F24" s="8">
        <f t="shared" si="3"/>
        <v>64968.75</v>
      </c>
      <c r="G24" s="12">
        <f>+K46</f>
        <v>1361250</v>
      </c>
      <c r="H24" s="12">
        <f t="shared" si="9"/>
        <v>20000</v>
      </c>
      <c r="I24" s="12">
        <f t="shared" si="4"/>
        <v>2100000</v>
      </c>
      <c r="J24" s="12">
        <f t="shared" si="5"/>
        <v>3578718.75</v>
      </c>
      <c r="K24" s="7">
        <f t="shared" si="10"/>
        <v>0.35</v>
      </c>
      <c r="L24" s="8">
        <f t="shared" si="6"/>
        <v>1927002.4038461538</v>
      </c>
      <c r="M24" s="12">
        <f t="shared" si="7"/>
        <v>5505721.153846154</v>
      </c>
      <c r="O24" s="5"/>
    </row>
    <row r="25" spans="1:15" x14ac:dyDescent="0.35">
      <c r="A25" s="38" t="s">
        <v>157</v>
      </c>
      <c r="B25" s="1">
        <f>+B24</f>
        <v>105</v>
      </c>
      <c r="C25" s="12">
        <f t="shared" si="8"/>
        <v>500</v>
      </c>
      <c r="D25" s="12">
        <f t="shared" si="1"/>
        <v>52500</v>
      </c>
      <c r="E25" s="6">
        <f t="shared" si="2"/>
        <v>618.75</v>
      </c>
      <c r="F25" s="8">
        <f t="shared" si="3"/>
        <v>64968.75</v>
      </c>
      <c r="G25" s="12">
        <f>+L46</f>
        <v>1361250</v>
      </c>
      <c r="H25" s="12">
        <f t="shared" si="9"/>
        <v>20000</v>
      </c>
      <c r="I25" s="12">
        <f t="shared" si="4"/>
        <v>2100000</v>
      </c>
      <c r="J25" s="12">
        <f t="shared" si="5"/>
        <v>3578718.75</v>
      </c>
      <c r="K25" s="7">
        <f t="shared" si="10"/>
        <v>0.35</v>
      </c>
      <c r="L25" s="8">
        <f t="shared" si="6"/>
        <v>1927002.4038461538</v>
      </c>
      <c r="M25" s="12">
        <f t="shared" si="7"/>
        <v>5505721.153846154</v>
      </c>
      <c r="O25" s="5"/>
    </row>
    <row r="26" spans="1:15" x14ac:dyDescent="0.35">
      <c r="A26" s="1"/>
      <c r="B26" s="1"/>
      <c r="C26" s="1" t="s">
        <v>164</v>
      </c>
      <c r="D26" s="12">
        <f>+SUM(D17:D25)</f>
        <v>1561500</v>
      </c>
      <c r="E26" s="1" t="s">
        <v>170</v>
      </c>
      <c r="F26" s="12">
        <f>+SUM(F17:F25)</f>
        <v>1932356.25</v>
      </c>
      <c r="G26" s="12">
        <f>+SUM(G17:G25)</f>
        <v>13736250</v>
      </c>
      <c r="H26" s="12"/>
      <c r="I26" s="12"/>
      <c r="J26" s="12">
        <f>+SUM(J17:J25)</f>
        <v>79690106.25</v>
      </c>
      <c r="K26" s="1"/>
      <c r="L26" s="1" t="s">
        <v>15</v>
      </c>
      <c r="M26" s="12">
        <f>+SUM(M17:M25)</f>
        <v>122600163.46153845</v>
      </c>
      <c r="O26" s="11"/>
    </row>
    <row r="30" spans="1:15" x14ac:dyDescent="0.35">
      <c r="B30" s="5"/>
    </row>
    <row r="31" spans="1:15" x14ac:dyDescent="0.35">
      <c r="B31" t="s">
        <v>153</v>
      </c>
      <c r="C31" t="s">
        <v>154</v>
      </c>
      <c r="D31" s="36" t="s">
        <v>158</v>
      </c>
      <c r="E31" s="36" t="s">
        <v>159</v>
      </c>
      <c r="F31" t="s">
        <v>160</v>
      </c>
      <c r="G31" t="s">
        <v>161</v>
      </c>
      <c r="J31" t="s">
        <v>155</v>
      </c>
      <c r="K31" s="36" t="s">
        <v>156</v>
      </c>
      <c r="L31" s="36" t="s">
        <v>157</v>
      </c>
    </row>
    <row r="32" spans="1:15" ht="139.5" x14ac:dyDescent="0.35">
      <c r="A32" s="37" t="s">
        <v>171</v>
      </c>
      <c r="B32">
        <v>2</v>
      </c>
      <c r="C32">
        <v>2</v>
      </c>
      <c r="D32">
        <v>2</v>
      </c>
      <c r="E32">
        <v>2</v>
      </c>
      <c r="F32">
        <v>2</v>
      </c>
      <c r="G32">
        <v>2</v>
      </c>
      <c r="J32">
        <v>4</v>
      </c>
      <c r="K32">
        <v>4</v>
      </c>
      <c r="L32">
        <v>4</v>
      </c>
    </row>
    <row r="33" spans="1:14" ht="155" x14ac:dyDescent="0.35">
      <c r="A33" s="37" t="s">
        <v>172</v>
      </c>
      <c r="B33">
        <v>16</v>
      </c>
      <c r="C33">
        <v>4</v>
      </c>
      <c r="D33">
        <v>16</v>
      </c>
      <c r="E33">
        <v>4</v>
      </c>
      <c r="F33">
        <v>4</v>
      </c>
      <c r="G33">
        <v>4</v>
      </c>
      <c r="J33">
        <v>16</v>
      </c>
      <c r="K33">
        <v>4</v>
      </c>
      <c r="L33">
        <v>4</v>
      </c>
      <c r="N33" s="11"/>
    </row>
    <row r="34" spans="1:14" ht="108.5" x14ac:dyDescent="0.35">
      <c r="A34" s="37" t="s">
        <v>173</v>
      </c>
      <c r="B34">
        <v>8</v>
      </c>
      <c r="C34">
        <v>8</v>
      </c>
      <c r="D34">
        <v>8</v>
      </c>
      <c r="E34">
        <v>8</v>
      </c>
      <c r="F34">
        <v>8</v>
      </c>
      <c r="G34">
        <v>8</v>
      </c>
      <c r="J34">
        <v>8</v>
      </c>
      <c r="K34">
        <v>8</v>
      </c>
      <c r="L34">
        <v>8</v>
      </c>
    </row>
    <row r="35" spans="1:14" ht="155" x14ac:dyDescent="0.35">
      <c r="A35" s="37" t="s">
        <v>174</v>
      </c>
      <c r="B35">
        <v>6</v>
      </c>
      <c r="C35">
        <v>6</v>
      </c>
      <c r="D35">
        <v>6</v>
      </c>
      <c r="E35">
        <v>6</v>
      </c>
      <c r="F35">
        <v>6</v>
      </c>
      <c r="G35">
        <v>6</v>
      </c>
      <c r="J35">
        <v>6</v>
      </c>
      <c r="K35">
        <v>6</v>
      </c>
      <c r="L35">
        <v>6</v>
      </c>
    </row>
    <row r="38" spans="1:14" ht="15.5" x14ac:dyDescent="0.35">
      <c r="A38" s="37" t="s">
        <v>177</v>
      </c>
      <c r="B38" s="5">
        <f>+E3</f>
        <v>61875</v>
      </c>
    </row>
    <row r="41" spans="1:14" x14ac:dyDescent="0.35">
      <c r="B41" s="1" t="s">
        <v>153</v>
      </c>
      <c r="C41" s="1" t="s">
        <v>154</v>
      </c>
      <c r="D41" s="38" t="s">
        <v>158</v>
      </c>
      <c r="E41" s="38" t="s">
        <v>159</v>
      </c>
      <c r="F41" s="1" t="s">
        <v>160</v>
      </c>
      <c r="G41" s="1" t="s">
        <v>161</v>
      </c>
      <c r="H41" s="1"/>
      <c r="I41" s="1"/>
      <c r="J41" s="1" t="s">
        <v>155</v>
      </c>
      <c r="K41" s="38" t="s">
        <v>156</v>
      </c>
      <c r="L41" s="38" t="s">
        <v>157</v>
      </c>
    </row>
    <row r="42" spans="1:14" ht="139.5" x14ac:dyDescent="0.35">
      <c r="A42" s="37" t="s">
        <v>171</v>
      </c>
      <c r="B42" s="12">
        <f>+B32*$B$38</f>
        <v>123750</v>
      </c>
      <c r="C42" s="12">
        <f t="shared" ref="C42:L42" si="12">+C32*$B$38</f>
        <v>123750</v>
      </c>
      <c r="D42" s="12">
        <f t="shared" si="12"/>
        <v>123750</v>
      </c>
      <c r="E42" s="12">
        <f t="shared" si="12"/>
        <v>123750</v>
      </c>
      <c r="F42" s="12">
        <f t="shared" si="12"/>
        <v>123750</v>
      </c>
      <c r="G42" s="12">
        <f t="shared" si="12"/>
        <v>123750</v>
      </c>
      <c r="H42" s="12"/>
      <c r="I42" s="12"/>
      <c r="J42" s="12">
        <f t="shared" si="12"/>
        <v>247500</v>
      </c>
      <c r="K42" s="12">
        <f t="shared" si="12"/>
        <v>247500</v>
      </c>
      <c r="L42" s="12">
        <f t="shared" si="12"/>
        <v>247500</v>
      </c>
      <c r="M42" s="11"/>
    </row>
    <row r="43" spans="1:14" ht="155" x14ac:dyDescent="0.35">
      <c r="A43" s="37" t="s">
        <v>172</v>
      </c>
      <c r="B43" s="12">
        <f t="shared" ref="B43:L43" si="13">+B33*$B$38</f>
        <v>990000</v>
      </c>
      <c r="C43" s="12">
        <f t="shared" si="13"/>
        <v>247500</v>
      </c>
      <c r="D43" s="12">
        <f t="shared" si="13"/>
        <v>990000</v>
      </c>
      <c r="E43" s="12">
        <f t="shared" si="13"/>
        <v>247500</v>
      </c>
      <c r="F43" s="12">
        <f t="shared" si="13"/>
        <v>247500</v>
      </c>
      <c r="G43" s="12">
        <f t="shared" si="13"/>
        <v>247500</v>
      </c>
      <c r="H43" s="12"/>
      <c r="I43" s="12"/>
      <c r="J43" s="12">
        <f t="shared" si="13"/>
        <v>990000</v>
      </c>
      <c r="K43" s="12">
        <f t="shared" si="13"/>
        <v>247500</v>
      </c>
      <c r="L43" s="12">
        <f t="shared" si="13"/>
        <v>247500</v>
      </c>
    </row>
    <row r="44" spans="1:14" ht="108.5" x14ac:dyDescent="0.35">
      <c r="A44" s="37" t="s">
        <v>173</v>
      </c>
      <c r="B44" s="12">
        <f t="shared" ref="B44:L44" si="14">+B34*$B$38</f>
        <v>495000</v>
      </c>
      <c r="C44" s="12">
        <f t="shared" si="14"/>
        <v>495000</v>
      </c>
      <c r="D44" s="12">
        <f t="shared" si="14"/>
        <v>495000</v>
      </c>
      <c r="E44" s="12">
        <f t="shared" si="14"/>
        <v>495000</v>
      </c>
      <c r="F44" s="12">
        <f t="shared" si="14"/>
        <v>495000</v>
      </c>
      <c r="G44" s="12">
        <f t="shared" si="14"/>
        <v>495000</v>
      </c>
      <c r="H44" s="12"/>
      <c r="I44" s="12"/>
      <c r="J44" s="12">
        <f t="shared" si="14"/>
        <v>495000</v>
      </c>
      <c r="K44" s="12">
        <f t="shared" si="14"/>
        <v>495000</v>
      </c>
      <c r="L44" s="12">
        <f t="shared" si="14"/>
        <v>495000</v>
      </c>
    </row>
    <row r="45" spans="1:14" ht="155" x14ac:dyDescent="0.35">
      <c r="A45" s="37" t="s">
        <v>174</v>
      </c>
      <c r="B45" s="12">
        <f t="shared" ref="B45:L45" si="15">+B35*$B$38</f>
        <v>371250</v>
      </c>
      <c r="C45" s="12">
        <f t="shared" si="15"/>
        <v>371250</v>
      </c>
      <c r="D45" s="12">
        <f t="shared" si="15"/>
        <v>371250</v>
      </c>
      <c r="E45" s="12">
        <f t="shared" si="15"/>
        <v>371250</v>
      </c>
      <c r="F45" s="12">
        <f t="shared" si="15"/>
        <v>371250</v>
      </c>
      <c r="G45" s="12">
        <f t="shared" si="15"/>
        <v>371250</v>
      </c>
      <c r="H45" s="12"/>
      <c r="I45" s="12"/>
      <c r="J45" s="12">
        <f t="shared" si="15"/>
        <v>371250</v>
      </c>
      <c r="K45" s="12">
        <f t="shared" si="15"/>
        <v>371250</v>
      </c>
      <c r="L45" s="12">
        <f t="shared" si="15"/>
        <v>371250</v>
      </c>
    </row>
    <row r="46" spans="1:14" x14ac:dyDescent="0.35">
      <c r="B46" s="12">
        <f>+SUM(B42:B45)</f>
        <v>1980000</v>
      </c>
      <c r="C46" s="12">
        <f t="shared" ref="C46:L46" si="16">+SUM(C42:C45)</f>
        <v>1237500</v>
      </c>
      <c r="D46" s="12">
        <f t="shared" si="16"/>
        <v>1980000</v>
      </c>
      <c r="E46" s="12">
        <f t="shared" si="16"/>
        <v>1237500</v>
      </c>
      <c r="F46" s="12">
        <f t="shared" si="16"/>
        <v>1237500</v>
      </c>
      <c r="G46" s="12">
        <f t="shared" si="16"/>
        <v>1237500</v>
      </c>
      <c r="H46" s="12"/>
      <c r="I46" s="12"/>
      <c r="J46" s="12">
        <f t="shared" si="16"/>
        <v>2103750</v>
      </c>
      <c r="K46" s="12">
        <f t="shared" si="16"/>
        <v>1361250</v>
      </c>
      <c r="L46" s="12">
        <f t="shared" si="16"/>
        <v>1361250</v>
      </c>
      <c r="M46" s="11">
        <f>+SUM(B46:L46)</f>
        <v>13736250</v>
      </c>
    </row>
    <row r="47" spans="1:14" x14ac:dyDescent="0.35">
      <c r="M47" s="11"/>
    </row>
    <row r="49" spans="13:13" x14ac:dyDescent="0.35">
      <c r="M49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4377E-86E6-42A5-B4F7-D94DC8C3F4BE}">
  <dimension ref="A1:J18"/>
  <sheetViews>
    <sheetView topLeftCell="A3" workbookViewId="0">
      <selection activeCell="B5" sqref="B5"/>
    </sheetView>
  </sheetViews>
  <sheetFormatPr baseColWidth="10" defaultRowHeight="14.5" x14ac:dyDescent="0.35"/>
  <cols>
    <col min="1" max="1" width="25" customWidth="1"/>
    <col min="2" max="2" width="22.7265625" customWidth="1"/>
    <col min="3" max="3" width="14.453125" bestFit="1" customWidth="1"/>
    <col min="4" max="4" width="13.54296875" bestFit="1" customWidth="1"/>
    <col min="6" max="6" width="14.453125" bestFit="1" customWidth="1"/>
    <col min="8" max="8" width="18.54296875" customWidth="1"/>
    <col min="9" max="9" width="19.453125" customWidth="1"/>
    <col min="10" max="10" width="15.08984375" customWidth="1"/>
    <col min="11" max="11" width="19.453125" customWidth="1"/>
  </cols>
  <sheetData>
    <row r="1" spans="1:10" x14ac:dyDescent="0.35">
      <c r="B1" s="58" t="s">
        <v>189</v>
      </c>
      <c r="C1" s="58"/>
      <c r="D1" s="58"/>
      <c r="E1" s="58" t="s">
        <v>190</v>
      </c>
      <c r="F1" s="58"/>
      <c r="G1" s="58"/>
    </row>
    <row r="2" spans="1:10" x14ac:dyDescent="0.35">
      <c r="B2" t="s">
        <v>191</v>
      </c>
      <c r="C2" t="s">
        <v>192</v>
      </c>
      <c r="D2" t="s">
        <v>56</v>
      </c>
      <c r="E2" t="s">
        <v>191</v>
      </c>
      <c r="F2" t="s">
        <v>192</v>
      </c>
      <c r="G2" t="s">
        <v>56</v>
      </c>
      <c r="H2" t="s">
        <v>193</v>
      </c>
      <c r="I2" t="s">
        <v>194</v>
      </c>
      <c r="J2" t="s">
        <v>195</v>
      </c>
    </row>
    <row r="3" spans="1:10" x14ac:dyDescent="0.35">
      <c r="A3" t="s">
        <v>188</v>
      </c>
      <c r="B3">
        <v>14</v>
      </c>
      <c r="C3">
        <v>2</v>
      </c>
      <c r="D3">
        <f>+B3*C3</f>
        <v>28</v>
      </c>
      <c r="E3">
        <v>14</v>
      </c>
      <c r="F3">
        <v>2</v>
      </c>
      <c r="G3">
        <f>+E3*F3</f>
        <v>28</v>
      </c>
      <c r="H3">
        <f>+D3+G3</f>
        <v>56</v>
      </c>
      <c r="I3">
        <f>+B3/2+E3/F3</f>
        <v>14</v>
      </c>
      <c r="J3">
        <f>+B3+E3</f>
        <v>28</v>
      </c>
    </row>
    <row r="5" spans="1:10" x14ac:dyDescent="0.35">
      <c r="A5" t="s">
        <v>201</v>
      </c>
      <c r="B5" s="5">
        <f>+('BASE OPERACIÓN'!J29+'BASE OPERACIÓN'!C37+'BASE OPERACIÓN'!E48+'BASE OPERACIÓN'!F86)*0.5</f>
        <v>151412948.71794868</v>
      </c>
    </row>
    <row r="6" spans="1:10" x14ac:dyDescent="0.35">
      <c r="A6" t="s">
        <v>203</v>
      </c>
      <c r="B6">
        <f>+ROUND(('BASE OPERACIÓN'!F25/8),0)</f>
        <v>13</v>
      </c>
    </row>
    <row r="7" spans="1:10" x14ac:dyDescent="0.35">
      <c r="A7" t="s">
        <v>204</v>
      </c>
      <c r="B7">
        <f>+J3</f>
        <v>28</v>
      </c>
    </row>
    <row r="8" spans="1:10" x14ac:dyDescent="0.35">
      <c r="A8" t="s">
        <v>205</v>
      </c>
      <c r="B8">
        <f>+B6*B7</f>
        <v>364</v>
      </c>
      <c r="D8" s="11"/>
    </row>
    <row r="9" spans="1:10" x14ac:dyDescent="0.35">
      <c r="A9" t="s">
        <v>206</v>
      </c>
      <c r="B9" s="5">
        <f>+ROUND((B5/B8)/100000,3)*100000</f>
        <v>416000</v>
      </c>
    </row>
    <row r="10" spans="1:10" x14ac:dyDescent="0.35">
      <c r="B10" s="5"/>
    </row>
    <row r="12" spans="1:10" x14ac:dyDescent="0.35">
      <c r="A12" t="s">
        <v>202</v>
      </c>
      <c r="B12" s="11">
        <f>+B5</f>
        <v>151412948.71794868</v>
      </c>
    </row>
    <row r="13" spans="1:10" x14ac:dyDescent="0.35">
      <c r="A13" t="s">
        <v>196</v>
      </c>
    </row>
    <row r="14" spans="1:10" x14ac:dyDescent="0.35">
      <c r="A14" t="s">
        <v>197</v>
      </c>
      <c r="B14">
        <v>40</v>
      </c>
    </row>
    <row r="15" spans="1:10" x14ac:dyDescent="0.35">
      <c r="A15" t="s">
        <v>198</v>
      </c>
      <c r="B15">
        <v>24</v>
      </c>
    </row>
    <row r="16" spans="1:10" x14ac:dyDescent="0.35">
      <c r="A16" t="s">
        <v>199</v>
      </c>
      <c r="B16" s="14">
        <f>+Matrícula!M13+Matrícula!O13</f>
        <v>21</v>
      </c>
    </row>
    <row r="17" spans="1:2" x14ac:dyDescent="0.35">
      <c r="A17" t="s">
        <v>200</v>
      </c>
      <c r="B17">
        <f>+B16*B15</f>
        <v>504</v>
      </c>
    </row>
    <row r="18" spans="1:2" x14ac:dyDescent="0.35">
      <c r="A18" t="s">
        <v>216</v>
      </c>
      <c r="B18" s="5">
        <f>+ROUND(((B12/B17)/100000),3)*100000</f>
        <v>300400</v>
      </c>
    </row>
  </sheetData>
  <mergeCells count="2">
    <mergeCell ref="E1:G1"/>
    <mergeCell ref="B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A8575-6080-4D9B-A550-599888E5F472}">
  <dimension ref="A2:J114"/>
  <sheetViews>
    <sheetView topLeftCell="A29" workbookViewId="0">
      <selection activeCell="C100" sqref="C100"/>
    </sheetView>
  </sheetViews>
  <sheetFormatPr baseColWidth="10" defaultRowHeight="14.5" x14ac:dyDescent="0.35"/>
  <cols>
    <col min="2" max="2" width="25.54296875" customWidth="1"/>
    <col min="3" max="3" width="25.453125" customWidth="1"/>
    <col min="4" max="4" width="36.36328125" customWidth="1"/>
    <col min="5" max="5" width="29.08984375" customWidth="1"/>
    <col min="6" max="6" width="27.36328125" customWidth="1"/>
    <col min="7" max="7" width="18.7265625" customWidth="1"/>
    <col min="8" max="8" width="15.08984375" bestFit="1" customWidth="1"/>
    <col min="9" max="9" width="21.90625" customWidth="1"/>
    <col min="10" max="10" width="17.54296875" customWidth="1"/>
  </cols>
  <sheetData>
    <row r="2" spans="1:5" x14ac:dyDescent="0.35">
      <c r="B2" s="18" t="s">
        <v>67</v>
      </c>
      <c r="C2" s="18" t="s">
        <v>130</v>
      </c>
    </row>
    <row r="3" spans="1:5" x14ac:dyDescent="0.35">
      <c r="B3" s="1" t="s">
        <v>139</v>
      </c>
      <c r="C3" s="8">
        <v>3500000</v>
      </c>
    </row>
    <row r="4" spans="1:5" x14ac:dyDescent="0.35">
      <c r="B4" s="1" t="s">
        <v>140</v>
      </c>
      <c r="C4" s="8">
        <v>3500000</v>
      </c>
    </row>
    <row r="5" spans="1:5" x14ac:dyDescent="0.35">
      <c r="B5" s="1" t="s">
        <v>35</v>
      </c>
      <c r="C5" s="8">
        <v>9900000</v>
      </c>
    </row>
    <row r="6" spans="1:5" x14ac:dyDescent="0.35">
      <c r="B6" s="1" t="s">
        <v>37</v>
      </c>
      <c r="C6" s="8">
        <v>5500000</v>
      </c>
    </row>
    <row r="7" spans="1:5" x14ac:dyDescent="0.35">
      <c r="C7" s="16"/>
    </row>
    <row r="8" spans="1:5" x14ac:dyDescent="0.35">
      <c r="A8" s="19" t="s">
        <v>68</v>
      </c>
    </row>
    <row r="9" spans="1:5" x14ac:dyDescent="0.35">
      <c r="B9" s="1" t="s">
        <v>40</v>
      </c>
      <c r="C9" s="1">
        <v>60</v>
      </c>
      <c r="D9" s="1" t="s">
        <v>42</v>
      </c>
    </row>
    <row r="10" spans="1:5" x14ac:dyDescent="0.35">
      <c r="B10" s="1" t="s">
        <v>41</v>
      </c>
      <c r="C10" s="1">
        <f>20*25</f>
        <v>500</v>
      </c>
      <c r="D10" s="1" t="s">
        <v>42</v>
      </c>
    </row>
    <row r="11" spans="1:5" x14ac:dyDescent="0.35">
      <c r="B11" s="1" t="s">
        <v>60</v>
      </c>
      <c r="C11" s="1">
        <v>25</v>
      </c>
      <c r="D11" s="1" t="s">
        <v>42</v>
      </c>
    </row>
    <row r="12" spans="1:5" x14ac:dyDescent="0.35">
      <c r="B12" s="1" t="s">
        <v>41</v>
      </c>
      <c r="C12" s="1">
        <v>15</v>
      </c>
      <c r="D12" s="1" t="s">
        <v>61</v>
      </c>
    </row>
    <row r="14" spans="1:5" x14ac:dyDescent="0.35">
      <c r="E14" s="1" t="s">
        <v>61</v>
      </c>
    </row>
    <row r="15" spans="1:5" x14ac:dyDescent="0.35">
      <c r="B15" s="61" t="s">
        <v>44</v>
      </c>
      <c r="C15" s="1">
        <v>50</v>
      </c>
      <c r="D15" s="1" t="s">
        <v>62</v>
      </c>
      <c r="E15" s="1">
        <f>+C15/C11</f>
        <v>2</v>
      </c>
    </row>
    <row r="16" spans="1:5" x14ac:dyDescent="0.35">
      <c r="B16" s="61"/>
      <c r="C16" s="1">
        <v>50</v>
      </c>
      <c r="D16" s="1" t="s">
        <v>63</v>
      </c>
      <c r="E16" s="1">
        <f>+C16/C11</f>
        <v>2</v>
      </c>
    </row>
    <row r="18" spans="1:10" x14ac:dyDescent="0.35">
      <c r="B18" s="1"/>
      <c r="C18" s="1" t="s">
        <v>64</v>
      </c>
      <c r="D18" s="1" t="s">
        <v>65</v>
      </c>
      <c r="E18" s="1" t="s">
        <v>66</v>
      </c>
    </row>
    <row r="19" spans="1:10" x14ac:dyDescent="0.35">
      <c r="B19" s="1" t="s">
        <v>44</v>
      </c>
      <c r="C19" s="1">
        <v>200</v>
      </c>
      <c r="D19" s="7">
        <v>0.2</v>
      </c>
      <c r="E19" s="1">
        <f>+D19*C19</f>
        <v>40</v>
      </c>
    </row>
    <row r="21" spans="1:10" x14ac:dyDescent="0.35">
      <c r="A21" s="19" t="s">
        <v>128</v>
      </c>
      <c r="F21" s="1" t="s">
        <v>70</v>
      </c>
      <c r="G21" s="1" t="s">
        <v>73</v>
      </c>
      <c r="H21" s="1" t="s">
        <v>75</v>
      </c>
      <c r="I21" s="1" t="s">
        <v>76</v>
      </c>
      <c r="J21" s="18" t="s">
        <v>131</v>
      </c>
    </row>
    <row r="22" spans="1:10" x14ac:dyDescent="0.35">
      <c r="B22" s="62">
        <v>3</v>
      </c>
      <c r="C22" s="62" t="s">
        <v>69</v>
      </c>
      <c r="D22" s="1">
        <v>275</v>
      </c>
      <c r="E22" s="20" t="s">
        <v>62</v>
      </c>
      <c r="F22" s="1">
        <f>+D22/C11</f>
        <v>11</v>
      </c>
      <c r="G22" s="1">
        <f>+F22/C12</f>
        <v>0.73333333333333328</v>
      </c>
      <c r="H22" s="6">
        <f>+G22*C4</f>
        <v>2566666.6666666665</v>
      </c>
      <c r="I22" s="1">
        <v>10</v>
      </c>
      <c r="J22" s="21">
        <f>+H22*I22</f>
        <v>25666666.666666664</v>
      </c>
    </row>
    <row r="23" spans="1:10" x14ac:dyDescent="0.35">
      <c r="B23" s="62"/>
      <c r="C23" s="62"/>
      <c r="D23" s="1">
        <v>293</v>
      </c>
      <c r="E23" s="20" t="s">
        <v>63</v>
      </c>
      <c r="F23" s="1">
        <f>+D23/C11</f>
        <v>11.72</v>
      </c>
      <c r="G23" s="1">
        <f>+F23/C12</f>
        <v>0.78133333333333332</v>
      </c>
      <c r="H23" s="6">
        <f>+G23*C4</f>
        <v>2734666.6666666665</v>
      </c>
      <c r="I23" s="1">
        <f>+I22</f>
        <v>10</v>
      </c>
      <c r="J23" s="21">
        <f t="shared" ref="J23:J25" si="0">+H23*I23</f>
        <v>27346666.666666664</v>
      </c>
    </row>
    <row r="24" spans="1:10" x14ac:dyDescent="0.35">
      <c r="B24" s="62"/>
      <c r="C24" s="62"/>
      <c r="D24" s="59" t="s">
        <v>72</v>
      </c>
      <c r="E24" s="60"/>
      <c r="F24" s="1" t="s">
        <v>71</v>
      </c>
      <c r="G24" s="1" t="s">
        <v>74</v>
      </c>
      <c r="H24" s="1" t="s">
        <v>75</v>
      </c>
      <c r="I24" s="1" t="s">
        <v>76</v>
      </c>
      <c r="J24" s="18" t="s">
        <v>131</v>
      </c>
    </row>
    <row r="25" spans="1:10" x14ac:dyDescent="0.35">
      <c r="B25" s="62"/>
      <c r="C25" s="62"/>
      <c r="D25" s="1">
        <v>525</v>
      </c>
      <c r="E25" s="20" t="s">
        <v>64</v>
      </c>
      <c r="F25" s="1">
        <f>+D25*D19</f>
        <v>105</v>
      </c>
      <c r="G25" s="35">
        <f>+F25/C9</f>
        <v>1.75</v>
      </c>
      <c r="H25" s="6">
        <f>+G25*C3</f>
        <v>6125000</v>
      </c>
      <c r="I25" s="1">
        <f>+I22</f>
        <v>10</v>
      </c>
      <c r="J25" s="21">
        <f t="shared" si="0"/>
        <v>61250000</v>
      </c>
    </row>
    <row r="26" spans="1:10" x14ac:dyDescent="0.35">
      <c r="G26" s="14"/>
      <c r="I26" s="18" t="s">
        <v>77</v>
      </c>
      <c r="J26" s="21">
        <f>+J25+J23+J22</f>
        <v>114263333.33333331</v>
      </c>
    </row>
    <row r="27" spans="1:10" x14ac:dyDescent="0.35">
      <c r="G27" s="14"/>
      <c r="I27" s="8" t="s">
        <v>132</v>
      </c>
      <c r="J27" s="32">
        <v>0.35</v>
      </c>
    </row>
    <row r="28" spans="1:10" x14ac:dyDescent="0.35">
      <c r="C28" s="11"/>
      <c r="G28" s="14"/>
      <c r="I28" s="8" t="s">
        <v>132</v>
      </c>
      <c r="J28" s="8">
        <f>+J26*J27/(1-J27)</f>
        <v>61526410.256410241</v>
      </c>
    </row>
    <row r="29" spans="1:10" x14ac:dyDescent="0.35">
      <c r="B29" t="s">
        <v>78</v>
      </c>
      <c r="C29" s="11"/>
      <c r="G29" s="14"/>
      <c r="I29" s="8" t="s">
        <v>133</v>
      </c>
      <c r="J29" s="12">
        <f>+J26+J28</f>
        <v>175789743.58974355</v>
      </c>
    </row>
    <row r="30" spans="1:10" x14ac:dyDescent="0.35">
      <c r="B30" s="1" t="s">
        <v>79</v>
      </c>
      <c r="C30" s="15">
        <f>+ROUND((G22+G23+G25),0)</f>
        <v>3</v>
      </c>
      <c r="G30" s="14"/>
      <c r="I30" s="5"/>
    </row>
    <row r="31" spans="1:10" x14ac:dyDescent="0.35">
      <c r="B31" s="1" t="s">
        <v>80</v>
      </c>
      <c r="C31" s="12">
        <v>600000</v>
      </c>
      <c r="G31" s="14"/>
      <c r="I31" s="5"/>
    </row>
    <row r="32" spans="1:10" x14ac:dyDescent="0.35">
      <c r="B32" s="1" t="s">
        <v>81</v>
      </c>
      <c r="C32" s="12">
        <f>+C31*C30</f>
        <v>1800000</v>
      </c>
      <c r="G32" s="14"/>
      <c r="I32" s="5"/>
    </row>
    <row r="33" spans="2:9" x14ac:dyDescent="0.35">
      <c r="B33" s="1" t="s">
        <v>76</v>
      </c>
      <c r="C33" s="12">
        <v>10</v>
      </c>
      <c r="G33" s="14"/>
      <c r="I33" s="5"/>
    </row>
    <row r="34" spans="2:9" x14ac:dyDescent="0.35">
      <c r="B34" s="1" t="s">
        <v>82</v>
      </c>
      <c r="C34" s="12">
        <f>+C32*C33</f>
        <v>18000000</v>
      </c>
      <c r="G34" s="14"/>
      <c r="I34" s="5"/>
    </row>
    <row r="35" spans="2:9" x14ac:dyDescent="0.35">
      <c r="B35" s="1" t="s">
        <v>14</v>
      </c>
      <c r="C35" s="33">
        <v>0.35</v>
      </c>
      <c r="G35" s="14"/>
      <c r="I35" s="5"/>
    </row>
    <row r="36" spans="2:9" x14ac:dyDescent="0.35">
      <c r="B36" s="1" t="s">
        <v>134</v>
      </c>
      <c r="C36" s="12">
        <f>+C34*C35/(1-C35)</f>
        <v>9692307.692307692</v>
      </c>
      <c r="G36" s="14"/>
      <c r="I36" s="5"/>
    </row>
    <row r="37" spans="2:9" x14ac:dyDescent="0.35">
      <c r="B37" s="1" t="s">
        <v>56</v>
      </c>
      <c r="C37" s="12">
        <f>+C36+C34</f>
        <v>27692307.692307692</v>
      </c>
      <c r="G37" s="14"/>
      <c r="I37" s="5"/>
    </row>
    <row r="38" spans="2:9" x14ac:dyDescent="0.35">
      <c r="C38" s="11"/>
      <c r="G38" s="14"/>
      <c r="I38" s="5"/>
    </row>
    <row r="39" spans="2:9" x14ac:dyDescent="0.35">
      <c r="B39" s="1" t="s">
        <v>185</v>
      </c>
      <c r="C39" s="12" t="s">
        <v>100</v>
      </c>
      <c r="D39" s="1" t="s">
        <v>30</v>
      </c>
      <c r="E39" s="1" t="s">
        <v>186</v>
      </c>
      <c r="G39" s="14"/>
      <c r="I39" s="5"/>
    </row>
    <row r="40" spans="2:9" x14ac:dyDescent="0.35">
      <c r="B40" s="1" t="s">
        <v>181</v>
      </c>
      <c r="C40" s="12">
        <v>800000</v>
      </c>
      <c r="D40" s="15">
        <f>+C30</f>
        <v>3</v>
      </c>
      <c r="E40" s="8">
        <f>+C40*D40</f>
        <v>2400000</v>
      </c>
      <c r="G40" s="14"/>
      <c r="I40" s="5"/>
    </row>
    <row r="41" spans="2:9" x14ac:dyDescent="0.35">
      <c r="B41" s="1" t="s">
        <v>182</v>
      </c>
      <c r="C41" s="12">
        <v>100000</v>
      </c>
      <c r="D41" s="15">
        <f>+C30</f>
        <v>3</v>
      </c>
      <c r="E41" s="8">
        <f t="shared" ref="E41:E44" si="1">+C41*D41</f>
        <v>300000</v>
      </c>
      <c r="G41" s="14"/>
      <c r="I41" s="5"/>
    </row>
    <row r="42" spans="2:9" x14ac:dyDescent="0.35">
      <c r="B42" s="1" t="s">
        <v>183</v>
      </c>
      <c r="C42" s="12">
        <v>1850000</v>
      </c>
      <c r="D42" s="15">
        <f>+C30</f>
        <v>3</v>
      </c>
      <c r="E42" s="8">
        <f t="shared" si="1"/>
        <v>5550000</v>
      </c>
      <c r="G42" s="14"/>
      <c r="I42" s="5"/>
    </row>
    <row r="43" spans="2:9" x14ac:dyDescent="0.35">
      <c r="B43" s="1" t="s">
        <v>184</v>
      </c>
      <c r="C43" s="12">
        <v>500000</v>
      </c>
      <c r="D43" s="15">
        <f>+C30</f>
        <v>3</v>
      </c>
      <c r="E43" s="8">
        <f t="shared" si="1"/>
        <v>1500000</v>
      </c>
      <c r="G43" s="14"/>
      <c r="I43" s="5"/>
    </row>
    <row r="44" spans="2:9" x14ac:dyDescent="0.35">
      <c r="B44" s="1" t="s">
        <v>187</v>
      </c>
      <c r="C44" s="12">
        <v>900000</v>
      </c>
      <c r="D44" s="15">
        <f>+C30</f>
        <v>3</v>
      </c>
      <c r="E44" s="8">
        <f t="shared" si="1"/>
        <v>2700000</v>
      </c>
      <c r="G44" s="14"/>
      <c r="I44" s="5"/>
    </row>
    <row r="45" spans="2:9" x14ac:dyDescent="0.35">
      <c r="C45" s="11"/>
      <c r="D45" s="1" t="s">
        <v>56</v>
      </c>
      <c r="E45" s="12">
        <f>+SUM(E40:E44)</f>
        <v>12450000</v>
      </c>
      <c r="G45" s="14"/>
      <c r="I45" s="5"/>
    </row>
    <row r="46" spans="2:9" x14ac:dyDescent="0.35">
      <c r="C46" s="11"/>
      <c r="D46" s="1" t="s">
        <v>14</v>
      </c>
      <c r="E46" s="33">
        <v>0.35</v>
      </c>
      <c r="G46" s="14"/>
      <c r="I46" s="5"/>
    </row>
    <row r="47" spans="2:9" x14ac:dyDescent="0.35">
      <c r="C47" s="11"/>
      <c r="D47" s="1" t="s">
        <v>14</v>
      </c>
      <c r="E47" s="12">
        <f>+E45*E46/(1-E46)</f>
        <v>6703846.153846154</v>
      </c>
      <c r="G47" s="14"/>
      <c r="I47" s="5"/>
    </row>
    <row r="48" spans="2:9" x14ac:dyDescent="0.35">
      <c r="C48" s="11"/>
      <c r="D48" s="1" t="s">
        <v>56</v>
      </c>
      <c r="E48" s="12">
        <f>+E45+E47</f>
        <v>19153846.153846152</v>
      </c>
      <c r="G48" s="14"/>
      <c r="I48" s="5"/>
    </row>
    <row r="49" spans="2:9" x14ac:dyDescent="0.35">
      <c r="C49" s="11"/>
      <c r="G49" s="14"/>
      <c r="I49" s="5"/>
    </row>
    <row r="50" spans="2:9" x14ac:dyDescent="0.35">
      <c r="C50" s="11"/>
      <c r="G50" s="14"/>
      <c r="I50" s="5"/>
    </row>
    <row r="51" spans="2:9" x14ac:dyDescent="0.35">
      <c r="C51" s="11"/>
      <c r="G51" s="14"/>
      <c r="I51" s="5"/>
    </row>
    <row r="52" spans="2:9" x14ac:dyDescent="0.35">
      <c r="B52" t="s">
        <v>53</v>
      </c>
      <c r="C52" s="11"/>
      <c r="G52" s="14"/>
      <c r="I52" s="5"/>
    </row>
    <row r="53" spans="2:9" x14ac:dyDescent="0.35">
      <c r="C53" s="11"/>
      <c r="G53" s="14"/>
      <c r="I53" s="5"/>
    </row>
    <row r="54" spans="2:9" x14ac:dyDescent="0.35">
      <c r="B54" s="13" t="s">
        <v>27</v>
      </c>
      <c r="C54" s="13" t="s">
        <v>28</v>
      </c>
      <c r="D54" s="22" t="s">
        <v>29</v>
      </c>
      <c r="E54" s="22" t="s">
        <v>83</v>
      </c>
      <c r="F54" s="22" t="s">
        <v>15</v>
      </c>
      <c r="G54" s="14"/>
      <c r="H54" s="44" t="s">
        <v>217</v>
      </c>
      <c r="I54" s="5"/>
    </row>
    <row r="55" spans="2:9" x14ac:dyDescent="0.35">
      <c r="B55" s="53" t="s">
        <v>31</v>
      </c>
      <c r="C55" s="1" t="s">
        <v>32</v>
      </c>
      <c r="D55" s="6">
        <v>44200</v>
      </c>
      <c r="E55" s="23">
        <f>+Matrícula!M13</f>
        <v>11</v>
      </c>
      <c r="F55" s="6">
        <f>+D55*E55</f>
        <v>486200</v>
      </c>
      <c r="G55" s="14">
        <f>+D55*$F$76/(1-$F$76)+D55</f>
        <v>68000</v>
      </c>
      <c r="H55">
        <f>+ROUND(G55/10000,3)*10000</f>
        <v>68000</v>
      </c>
      <c r="I55" s="5"/>
    </row>
    <row r="56" spans="2:9" x14ac:dyDescent="0.35">
      <c r="B56" s="53"/>
      <c r="C56" s="1" t="s">
        <v>39</v>
      </c>
      <c r="D56" s="6">
        <v>45500</v>
      </c>
      <c r="E56" s="23">
        <f>+F22</f>
        <v>11</v>
      </c>
      <c r="F56" s="6">
        <f t="shared" ref="F56:F74" si="2">+D56*E56</f>
        <v>500500</v>
      </c>
      <c r="G56" s="14">
        <f t="shared" ref="G56:G74" si="3">+D56*$F$76/(1-$F$76)+D56</f>
        <v>70000</v>
      </c>
      <c r="H56">
        <f t="shared" ref="H56:H74" si="4">+ROUND(G56/10000,3)*10000</f>
        <v>70000</v>
      </c>
      <c r="I56" s="5"/>
    </row>
    <row r="57" spans="2:9" x14ac:dyDescent="0.35">
      <c r="B57" s="53"/>
      <c r="C57" s="1" t="s">
        <v>33</v>
      </c>
      <c r="D57" s="6">
        <v>7592</v>
      </c>
      <c r="E57" s="23">
        <f>+D22</f>
        <v>275</v>
      </c>
      <c r="F57" s="6">
        <f t="shared" si="2"/>
        <v>2087800</v>
      </c>
      <c r="G57" s="14">
        <f t="shared" si="3"/>
        <v>11680</v>
      </c>
      <c r="H57">
        <f t="shared" si="4"/>
        <v>11680</v>
      </c>
      <c r="I57" s="5"/>
    </row>
    <row r="58" spans="2:9" x14ac:dyDescent="0.35">
      <c r="B58" s="53"/>
      <c r="C58" s="1" t="s">
        <v>34</v>
      </c>
      <c r="D58" s="6">
        <v>7982</v>
      </c>
      <c r="E58" s="23">
        <f>+D22</f>
        <v>275</v>
      </c>
      <c r="F58" s="6">
        <f t="shared" si="2"/>
        <v>2195050</v>
      </c>
      <c r="G58" s="14">
        <f t="shared" si="3"/>
        <v>12280</v>
      </c>
      <c r="H58">
        <f t="shared" si="4"/>
        <v>12280</v>
      </c>
      <c r="I58" s="5"/>
    </row>
    <row r="59" spans="2:9" x14ac:dyDescent="0.35">
      <c r="B59" s="53"/>
      <c r="C59" s="1" t="s">
        <v>36</v>
      </c>
      <c r="D59" s="6">
        <v>3731</v>
      </c>
      <c r="E59" s="23">
        <f>+D22</f>
        <v>275</v>
      </c>
      <c r="F59" s="6">
        <f t="shared" si="2"/>
        <v>1026025</v>
      </c>
      <c r="G59" s="14">
        <f t="shared" si="3"/>
        <v>5740</v>
      </c>
      <c r="H59">
        <f t="shared" si="4"/>
        <v>5740</v>
      </c>
      <c r="I59" s="5"/>
    </row>
    <row r="60" spans="2:9" x14ac:dyDescent="0.35">
      <c r="B60" s="53" t="s">
        <v>38</v>
      </c>
      <c r="C60" s="1" t="s">
        <v>32</v>
      </c>
      <c r="D60" s="6">
        <v>100100</v>
      </c>
      <c r="E60" s="23">
        <f>+Matrícula!O13</f>
        <v>10</v>
      </c>
      <c r="F60" s="6">
        <f t="shared" si="2"/>
        <v>1001000</v>
      </c>
      <c r="G60" s="14">
        <f t="shared" si="3"/>
        <v>154000</v>
      </c>
      <c r="H60">
        <f t="shared" si="4"/>
        <v>154000</v>
      </c>
      <c r="I60" s="5"/>
    </row>
    <row r="61" spans="2:9" x14ac:dyDescent="0.35">
      <c r="B61" s="53"/>
      <c r="C61" s="1" t="s">
        <v>39</v>
      </c>
      <c r="D61" s="6">
        <v>104000</v>
      </c>
      <c r="E61" s="23">
        <f>+Matrícula!O13</f>
        <v>10</v>
      </c>
      <c r="F61" s="6">
        <f t="shared" si="2"/>
        <v>1040000</v>
      </c>
      <c r="G61" s="14">
        <f t="shared" si="3"/>
        <v>160000</v>
      </c>
      <c r="H61">
        <f t="shared" si="4"/>
        <v>160000</v>
      </c>
      <c r="I61" s="5"/>
    </row>
    <row r="62" spans="2:9" x14ac:dyDescent="0.35">
      <c r="B62" s="53"/>
      <c r="C62" s="1" t="s">
        <v>33</v>
      </c>
      <c r="D62" s="6">
        <v>6812</v>
      </c>
      <c r="E62" s="23">
        <f>+D23</f>
        <v>293</v>
      </c>
      <c r="F62" s="6">
        <f t="shared" si="2"/>
        <v>1995916</v>
      </c>
      <c r="G62" s="14">
        <f t="shared" si="3"/>
        <v>10480</v>
      </c>
      <c r="H62">
        <f t="shared" si="4"/>
        <v>10480</v>
      </c>
      <c r="I62" s="5"/>
    </row>
    <row r="63" spans="2:9" x14ac:dyDescent="0.35">
      <c r="B63" s="53"/>
      <c r="C63" s="1" t="s">
        <v>34</v>
      </c>
      <c r="D63" s="6">
        <v>8294</v>
      </c>
      <c r="E63" s="23">
        <f>+E62</f>
        <v>293</v>
      </c>
      <c r="F63" s="6">
        <f t="shared" si="2"/>
        <v>2430142</v>
      </c>
      <c r="G63" s="14">
        <f t="shared" si="3"/>
        <v>12760</v>
      </c>
      <c r="H63">
        <f t="shared" si="4"/>
        <v>12760</v>
      </c>
      <c r="I63" s="5"/>
    </row>
    <row r="64" spans="2:9" x14ac:dyDescent="0.35">
      <c r="B64" s="53"/>
      <c r="C64" s="1" t="s">
        <v>43</v>
      </c>
      <c r="D64" s="6">
        <v>8723</v>
      </c>
      <c r="E64" s="23">
        <f t="shared" ref="E64:E66" si="5">+E63</f>
        <v>293</v>
      </c>
      <c r="F64" s="6">
        <f t="shared" si="2"/>
        <v>2555839</v>
      </c>
      <c r="G64" s="14">
        <f t="shared" si="3"/>
        <v>13420</v>
      </c>
      <c r="H64">
        <f t="shared" si="4"/>
        <v>13420</v>
      </c>
      <c r="I64" s="5"/>
    </row>
    <row r="65" spans="2:9" x14ac:dyDescent="0.35">
      <c r="B65" s="53"/>
      <c r="C65" s="1" t="s">
        <v>45</v>
      </c>
      <c r="D65" s="6">
        <v>7371</v>
      </c>
      <c r="E65" s="23">
        <f t="shared" si="5"/>
        <v>293</v>
      </c>
      <c r="F65" s="6">
        <f t="shared" si="2"/>
        <v>2159703</v>
      </c>
      <c r="G65" s="14">
        <f t="shared" si="3"/>
        <v>11340</v>
      </c>
      <c r="H65">
        <f t="shared" si="4"/>
        <v>11339.999999999998</v>
      </c>
      <c r="I65" s="5"/>
    </row>
    <row r="66" spans="2:9" x14ac:dyDescent="0.35">
      <c r="B66" s="53"/>
      <c r="C66" s="1" t="s">
        <v>36</v>
      </c>
      <c r="D66" s="6">
        <v>4316</v>
      </c>
      <c r="E66" s="23">
        <f t="shared" si="5"/>
        <v>293</v>
      </c>
      <c r="F66" s="6">
        <f t="shared" si="2"/>
        <v>1264588</v>
      </c>
      <c r="G66" s="14">
        <f t="shared" si="3"/>
        <v>6640</v>
      </c>
      <c r="H66">
        <f t="shared" si="4"/>
        <v>6640</v>
      </c>
      <c r="I66" s="5"/>
    </row>
    <row r="67" spans="2:9" x14ac:dyDescent="0.35">
      <c r="B67" s="53"/>
      <c r="C67" s="1" t="s">
        <v>46</v>
      </c>
      <c r="D67" s="6">
        <v>559000</v>
      </c>
      <c r="E67" s="23">
        <f>+E61</f>
        <v>10</v>
      </c>
      <c r="F67" s="6">
        <f t="shared" si="2"/>
        <v>5590000</v>
      </c>
      <c r="G67" s="14">
        <f t="shared" si="3"/>
        <v>860000</v>
      </c>
      <c r="H67">
        <f t="shared" si="4"/>
        <v>860000</v>
      </c>
      <c r="I67" s="5"/>
    </row>
    <row r="68" spans="2:9" x14ac:dyDescent="0.35">
      <c r="B68" s="53"/>
      <c r="C68" s="1" t="s">
        <v>47</v>
      </c>
      <c r="D68" s="6">
        <v>42900</v>
      </c>
      <c r="E68" s="23">
        <f>+E67</f>
        <v>10</v>
      </c>
      <c r="F68" s="6">
        <f t="shared" si="2"/>
        <v>429000</v>
      </c>
      <c r="G68" s="14">
        <f t="shared" si="3"/>
        <v>66000</v>
      </c>
      <c r="H68">
        <f t="shared" si="4"/>
        <v>66000</v>
      </c>
      <c r="I68" s="5"/>
    </row>
    <row r="69" spans="2:9" x14ac:dyDescent="0.35">
      <c r="B69" s="53"/>
      <c r="C69" s="1" t="s">
        <v>48</v>
      </c>
      <c r="D69" s="6">
        <v>186940</v>
      </c>
      <c r="E69" s="23">
        <f>+E68</f>
        <v>10</v>
      </c>
      <c r="F69" s="6">
        <f t="shared" si="2"/>
        <v>1869400</v>
      </c>
      <c r="G69" s="14">
        <f t="shared" si="3"/>
        <v>287600</v>
      </c>
      <c r="H69">
        <f t="shared" si="4"/>
        <v>287600</v>
      </c>
      <c r="I69" s="5"/>
    </row>
    <row r="70" spans="2:9" x14ac:dyDescent="0.35">
      <c r="B70" s="53"/>
      <c r="C70" s="1" t="s">
        <v>49</v>
      </c>
      <c r="D70" s="6">
        <v>15327</v>
      </c>
      <c r="E70" s="23">
        <f>+E66</f>
        <v>293</v>
      </c>
      <c r="F70" s="6">
        <f t="shared" si="2"/>
        <v>4490811</v>
      </c>
      <c r="G70" s="14">
        <f t="shared" si="3"/>
        <v>23580</v>
      </c>
      <c r="H70">
        <f t="shared" si="4"/>
        <v>23580</v>
      </c>
      <c r="I70" s="5"/>
    </row>
    <row r="71" spans="2:9" x14ac:dyDescent="0.35">
      <c r="B71" s="53" t="s">
        <v>50</v>
      </c>
      <c r="C71" s="1" t="s">
        <v>51</v>
      </c>
      <c r="D71" s="6">
        <v>16900</v>
      </c>
      <c r="E71" s="23">
        <f>+F25</f>
        <v>105</v>
      </c>
      <c r="F71" s="6">
        <f t="shared" si="2"/>
        <v>1774500</v>
      </c>
      <c r="G71" s="14">
        <f t="shared" si="3"/>
        <v>26000</v>
      </c>
      <c r="H71">
        <f t="shared" si="4"/>
        <v>26000</v>
      </c>
      <c r="I71" s="5"/>
    </row>
    <row r="72" spans="2:9" x14ac:dyDescent="0.35">
      <c r="B72" s="53"/>
      <c r="C72" s="1" t="s">
        <v>52</v>
      </c>
      <c r="D72" s="6">
        <v>182390</v>
      </c>
      <c r="E72" s="24">
        <f>+ROUND(G25,0)</f>
        <v>2</v>
      </c>
      <c r="F72" s="6">
        <f t="shared" si="2"/>
        <v>364780</v>
      </c>
      <c r="G72" s="14">
        <f t="shared" si="3"/>
        <v>280600</v>
      </c>
      <c r="H72">
        <f t="shared" si="4"/>
        <v>280600</v>
      </c>
      <c r="I72" s="5"/>
    </row>
    <row r="73" spans="2:9" x14ac:dyDescent="0.35">
      <c r="B73" s="53"/>
      <c r="C73" s="1" t="s">
        <v>54</v>
      </c>
      <c r="D73" s="6">
        <v>182390</v>
      </c>
      <c r="E73" s="24">
        <f>+E72</f>
        <v>2</v>
      </c>
      <c r="F73" s="6">
        <f t="shared" si="2"/>
        <v>364780</v>
      </c>
      <c r="G73" s="14">
        <f t="shared" si="3"/>
        <v>280600</v>
      </c>
      <c r="H73">
        <f t="shared" si="4"/>
        <v>280600</v>
      </c>
      <c r="I73" s="5"/>
    </row>
    <row r="74" spans="2:9" x14ac:dyDescent="0.35">
      <c r="B74" s="53"/>
      <c r="C74" s="1" t="s">
        <v>55</v>
      </c>
      <c r="D74" s="6">
        <v>157300</v>
      </c>
      <c r="E74" s="24">
        <f>+E73</f>
        <v>2</v>
      </c>
      <c r="F74" s="6">
        <f t="shared" si="2"/>
        <v>314600</v>
      </c>
      <c r="G74" s="14">
        <f t="shared" si="3"/>
        <v>242000</v>
      </c>
      <c r="H74">
        <f t="shared" si="4"/>
        <v>242000</v>
      </c>
      <c r="I74" s="5"/>
    </row>
    <row r="75" spans="2:9" x14ac:dyDescent="0.35">
      <c r="C75" s="11"/>
      <c r="E75" s="1" t="s">
        <v>18</v>
      </c>
      <c r="F75" s="9">
        <f>+SUM(F55:F74)</f>
        <v>33940634</v>
      </c>
      <c r="G75" s="14"/>
      <c r="I75" s="5"/>
    </row>
    <row r="76" spans="2:9" x14ac:dyDescent="0.35">
      <c r="C76" s="11"/>
      <c r="E76" s="1" t="s">
        <v>14</v>
      </c>
      <c r="F76" s="32">
        <v>0.35</v>
      </c>
      <c r="G76" s="14"/>
      <c r="I76" s="5"/>
    </row>
    <row r="77" spans="2:9" x14ac:dyDescent="0.35">
      <c r="C77" s="11"/>
      <c r="E77" s="1" t="s">
        <v>14</v>
      </c>
      <c r="F77" s="12">
        <f>+F75*F76</f>
        <v>11879221.899999999</v>
      </c>
      <c r="G77" s="14"/>
      <c r="I77" s="5"/>
    </row>
    <row r="78" spans="2:9" x14ac:dyDescent="0.35">
      <c r="C78" s="11"/>
      <c r="E78" s="1" t="s">
        <v>56</v>
      </c>
      <c r="F78" s="9">
        <f>+F77+F75</f>
        <v>45819855.899999999</v>
      </c>
      <c r="G78" s="14"/>
      <c r="I78" s="5"/>
    </row>
    <row r="79" spans="2:9" x14ac:dyDescent="0.35">
      <c r="C79" s="11"/>
      <c r="G79" s="14"/>
      <c r="I79" s="5"/>
    </row>
    <row r="80" spans="2:9" x14ac:dyDescent="0.35">
      <c r="B80" s="1" t="s">
        <v>84</v>
      </c>
      <c r="C80" s="12" t="s">
        <v>75</v>
      </c>
      <c r="D80" s="1" t="s">
        <v>30</v>
      </c>
      <c r="E80" s="1" t="s">
        <v>76</v>
      </c>
      <c r="F80" s="1" t="s">
        <v>82</v>
      </c>
      <c r="G80" s="14"/>
      <c r="I80" s="5"/>
    </row>
    <row r="81" spans="2:9" x14ac:dyDescent="0.35">
      <c r="B81" s="1" t="s">
        <v>85</v>
      </c>
      <c r="C81" s="12">
        <f>+C5</f>
        <v>9900000</v>
      </c>
      <c r="D81" s="1">
        <v>0.5</v>
      </c>
      <c r="E81" s="1">
        <v>12</v>
      </c>
      <c r="F81" s="6">
        <f>+C81*D81*E81</f>
        <v>59400000</v>
      </c>
      <c r="G81" s="14"/>
      <c r="I81" s="5"/>
    </row>
    <row r="82" spans="2:9" x14ac:dyDescent="0.35">
      <c r="B82" s="1" t="s">
        <v>86</v>
      </c>
      <c r="C82" s="12"/>
      <c r="D82" s="1">
        <v>1</v>
      </c>
      <c r="E82" s="1">
        <v>10</v>
      </c>
      <c r="F82" s="6">
        <f>+C82*D82*E82</f>
        <v>0</v>
      </c>
      <c r="G82" s="14"/>
      <c r="I82" s="5"/>
    </row>
    <row r="83" spans="2:9" x14ac:dyDescent="0.35">
      <c r="B83" s="1"/>
      <c r="C83" s="12"/>
      <c r="D83" s="1"/>
      <c r="E83" s="1" t="s">
        <v>15</v>
      </c>
      <c r="F83" s="9">
        <f>+F81+F82</f>
        <v>59400000</v>
      </c>
      <c r="G83" s="14"/>
      <c r="I83" s="5"/>
    </row>
    <row r="84" spans="2:9" x14ac:dyDescent="0.35">
      <c r="C84" s="11"/>
      <c r="E84" s="1" t="s">
        <v>14</v>
      </c>
      <c r="F84" s="32">
        <v>0.35</v>
      </c>
      <c r="G84" s="14"/>
      <c r="I84" s="5"/>
    </row>
    <row r="85" spans="2:9" x14ac:dyDescent="0.35">
      <c r="C85" s="11"/>
      <c r="E85" s="1" t="s">
        <v>14</v>
      </c>
      <c r="F85" s="9">
        <f>+F83*F84</f>
        <v>20790000</v>
      </c>
      <c r="G85" s="14"/>
      <c r="I85" s="5"/>
    </row>
    <row r="86" spans="2:9" x14ac:dyDescent="0.35">
      <c r="C86" s="11"/>
      <c r="E86" s="1" t="s">
        <v>56</v>
      </c>
      <c r="F86" s="9">
        <f>+F83+F85</f>
        <v>80190000</v>
      </c>
      <c r="G86" s="14"/>
      <c r="I86" s="5"/>
    </row>
    <row r="87" spans="2:9" x14ac:dyDescent="0.35">
      <c r="C87" s="5"/>
      <c r="G87" s="14"/>
      <c r="I87" s="5"/>
    </row>
    <row r="88" spans="2:9" x14ac:dyDescent="0.35">
      <c r="C88" s="5"/>
      <c r="G88" s="14"/>
      <c r="I88" s="5"/>
    </row>
    <row r="89" spans="2:9" x14ac:dyDescent="0.35">
      <c r="C89" s="4"/>
      <c r="E89" s="5"/>
      <c r="G89" s="14"/>
      <c r="I89" s="5"/>
    </row>
    <row r="90" spans="2:9" x14ac:dyDescent="0.35">
      <c r="B90" s="1" t="s">
        <v>58</v>
      </c>
      <c r="C90" s="34">
        <f>+MONITOREO!B13</f>
        <v>122602000</v>
      </c>
      <c r="E90" s="5"/>
      <c r="G90" s="14"/>
      <c r="I90" s="5"/>
    </row>
    <row r="91" spans="2:9" x14ac:dyDescent="0.35">
      <c r="C91" s="25"/>
      <c r="E91" s="5"/>
      <c r="G91" s="14"/>
      <c r="I91" s="5"/>
    </row>
    <row r="92" spans="2:9" x14ac:dyDescent="0.35">
      <c r="C92" s="4"/>
      <c r="E92" s="5"/>
      <c r="G92" s="14"/>
      <c r="I92" s="5"/>
    </row>
    <row r="93" spans="2:9" x14ac:dyDescent="0.35">
      <c r="C93" s="4"/>
      <c r="E93" s="5"/>
      <c r="G93" s="14"/>
      <c r="I93" s="5"/>
    </row>
    <row r="94" spans="2:9" x14ac:dyDescent="0.35">
      <c r="B94" s="1" t="s">
        <v>57</v>
      </c>
      <c r="C94" s="8">
        <f>+' FORMACIÓN'!E32</f>
        <v>57132461.538461536</v>
      </c>
      <c r="D94" s="1"/>
      <c r="G94" s="14"/>
      <c r="I94" s="5"/>
    </row>
    <row r="95" spans="2:9" x14ac:dyDescent="0.35">
      <c r="C95" s="16"/>
      <c r="D95" s="11"/>
      <c r="G95" s="14"/>
      <c r="I95" s="5"/>
    </row>
    <row r="96" spans="2:9" x14ac:dyDescent="0.35">
      <c r="B96" t="s">
        <v>88</v>
      </c>
      <c r="G96" s="14"/>
      <c r="I96" s="5"/>
    </row>
    <row r="97" spans="2:7" x14ac:dyDescent="0.35">
      <c r="C97" s="1" t="s">
        <v>94</v>
      </c>
      <c r="D97" s="1" t="s">
        <v>95</v>
      </c>
      <c r="E97" s="1" t="s">
        <v>96</v>
      </c>
      <c r="F97" s="1" t="s">
        <v>97</v>
      </c>
      <c r="G97" s="1" t="s">
        <v>98</v>
      </c>
    </row>
    <row r="98" spans="2:7" x14ac:dyDescent="0.35">
      <c r="B98" s="1" t="s">
        <v>89</v>
      </c>
      <c r="C98" s="12">
        <f>+J29+E48</f>
        <v>194943589.7435897</v>
      </c>
      <c r="D98" s="8">
        <f>+C98*2</f>
        <v>389887179.4871794</v>
      </c>
      <c r="E98" s="8">
        <f t="shared" ref="E98:F98" si="6">+D98*2</f>
        <v>779774358.9743588</v>
      </c>
      <c r="F98" s="8">
        <f t="shared" si="6"/>
        <v>1559548717.9487176</v>
      </c>
      <c r="G98" s="8">
        <f>+F98*1.5</f>
        <v>2339323076.9230766</v>
      </c>
    </row>
    <row r="99" spans="2:7" x14ac:dyDescent="0.35">
      <c r="B99" s="1" t="s">
        <v>84</v>
      </c>
      <c r="C99" s="12">
        <f>+F86</f>
        <v>80190000</v>
      </c>
      <c r="D99" s="8">
        <f>+F81+F82*2</f>
        <v>59400000</v>
      </c>
      <c r="E99" s="9">
        <f>+F81+F82*3</f>
        <v>59400000</v>
      </c>
      <c r="F99" s="9">
        <f>+F81+F82*5</f>
        <v>59400000</v>
      </c>
      <c r="G99" s="9">
        <f>+F81+F82*7</f>
        <v>59400000</v>
      </c>
    </row>
    <row r="100" spans="2:7" x14ac:dyDescent="0.35">
      <c r="B100" s="1" t="s">
        <v>78</v>
      </c>
      <c r="C100" s="12">
        <f>+C37</f>
        <v>27692307.692307692</v>
      </c>
      <c r="D100" s="8">
        <f t="shared" ref="D100:F103" si="7">+C100*2</f>
        <v>55384615.384615384</v>
      </c>
      <c r="E100" s="8">
        <f t="shared" si="7"/>
        <v>110769230.76923077</v>
      </c>
      <c r="F100" s="8">
        <f t="shared" si="7"/>
        <v>221538461.53846154</v>
      </c>
      <c r="G100" s="8">
        <f>+F100*1.5</f>
        <v>332307692.30769229</v>
      </c>
    </row>
    <row r="101" spans="2:7" x14ac:dyDescent="0.35">
      <c r="B101" s="1" t="s">
        <v>53</v>
      </c>
      <c r="C101" s="12">
        <f>+F78</f>
        <v>45819855.899999999</v>
      </c>
      <c r="D101" s="8">
        <f t="shared" si="7"/>
        <v>91639711.799999997</v>
      </c>
      <c r="E101" s="12">
        <f>+D101*2-D101*0.2</f>
        <v>164951481.24000001</v>
      </c>
      <c r="F101" s="12">
        <f>+E101*2-E101*0.2</f>
        <v>296912666.23199999</v>
      </c>
      <c r="G101" s="12">
        <f>+E101*3-E101*0.3</f>
        <v>445368999.34800005</v>
      </c>
    </row>
    <row r="102" spans="2:7" x14ac:dyDescent="0.35">
      <c r="B102" s="1" t="s">
        <v>87</v>
      </c>
      <c r="C102" s="12">
        <f>+C90</f>
        <v>122602000</v>
      </c>
      <c r="D102" s="8">
        <f t="shared" si="7"/>
        <v>245204000</v>
      </c>
      <c r="E102" s="9" t="e">
        <f>+#REF!*4+C90*3</f>
        <v>#REF!</v>
      </c>
      <c r="F102" s="9" t="e">
        <f>+#REF!*8+C90*4</f>
        <v>#REF!</v>
      </c>
      <c r="G102" s="9" t="e">
        <f>+#REF!*12+C90*6</f>
        <v>#REF!</v>
      </c>
    </row>
    <row r="103" spans="2:7" x14ac:dyDescent="0.35">
      <c r="B103" s="1" t="s">
        <v>57</v>
      </c>
      <c r="C103" s="12">
        <f>+C94</f>
        <v>57132461.538461536</v>
      </c>
      <c r="D103" s="8">
        <f t="shared" si="7"/>
        <v>114264923.07692307</v>
      </c>
      <c r="E103" s="6">
        <f>+D103*2</f>
        <v>228529846.15384614</v>
      </c>
      <c r="F103" s="6">
        <f t="shared" ref="F103" si="8">+E103*2</f>
        <v>457059692.30769229</v>
      </c>
      <c r="G103" s="6">
        <f>+F103*1.5</f>
        <v>685589538.46153843</v>
      </c>
    </row>
    <row r="104" spans="2:7" x14ac:dyDescent="0.35">
      <c r="B104" s="1" t="s">
        <v>24</v>
      </c>
      <c r="C104" s="12">
        <f>+SUM(C98:C103)</f>
        <v>528380214.87435889</v>
      </c>
      <c r="D104" s="12">
        <f>+SUM(D98:D103)</f>
        <v>955780429.74871778</v>
      </c>
      <c r="E104" s="12" t="e">
        <f t="shared" ref="E104:G104" si="9">+SUM(E98:E103)</f>
        <v>#REF!</v>
      </c>
      <c r="F104" s="12" t="e">
        <f t="shared" si="9"/>
        <v>#REF!</v>
      </c>
      <c r="G104" s="12" t="e">
        <f t="shared" si="9"/>
        <v>#REF!</v>
      </c>
    </row>
    <row r="105" spans="2:7" x14ac:dyDescent="0.35">
      <c r="B105" s="1" t="s">
        <v>59</v>
      </c>
      <c r="C105" s="27">
        <v>0.3</v>
      </c>
      <c r="D105" s="27">
        <f>+C105</f>
        <v>0.3</v>
      </c>
      <c r="E105" s="7">
        <v>0.25</v>
      </c>
      <c r="F105" s="7">
        <v>0.2</v>
      </c>
      <c r="G105" s="7">
        <v>0.15</v>
      </c>
    </row>
    <row r="106" spans="2:7" x14ac:dyDescent="0.35">
      <c r="B106" s="1" t="s">
        <v>90</v>
      </c>
      <c r="C106" s="8">
        <f>+C104*C105/(1-C105)</f>
        <v>226448663.51758239</v>
      </c>
      <c r="D106" s="8">
        <f>+D104*D105/(1-D105)</f>
        <v>409620184.17802191</v>
      </c>
      <c r="E106" s="8" t="e">
        <f t="shared" ref="E106:G106" si="10">+E104*E105/(1-E105)</f>
        <v>#REF!</v>
      </c>
      <c r="F106" s="8" t="e">
        <f t="shared" si="10"/>
        <v>#REF!</v>
      </c>
      <c r="G106" s="8" t="e">
        <f t="shared" si="10"/>
        <v>#REF!</v>
      </c>
    </row>
    <row r="107" spans="2:7" x14ac:dyDescent="0.35">
      <c r="B107" s="1" t="s">
        <v>91</v>
      </c>
      <c r="C107" s="12">
        <f>+C106+C104</f>
        <v>754828878.39194131</v>
      </c>
      <c r="D107" s="12">
        <f>+D106+D104</f>
        <v>1365400613.9267397</v>
      </c>
      <c r="E107" s="12" t="e">
        <f t="shared" ref="E107:G107" si="11">+E106+E104</f>
        <v>#REF!</v>
      </c>
      <c r="F107" s="12" t="e">
        <f t="shared" si="11"/>
        <v>#REF!</v>
      </c>
      <c r="G107" s="12" t="e">
        <f t="shared" si="11"/>
        <v>#REF!</v>
      </c>
    </row>
    <row r="108" spans="2:7" x14ac:dyDescent="0.35">
      <c r="C108" s="11"/>
      <c r="D108" s="11"/>
      <c r="E108" s="11"/>
      <c r="F108" s="11"/>
      <c r="G108" s="11"/>
    </row>
    <row r="109" spans="2:7" x14ac:dyDescent="0.35">
      <c r="B109" s="1" t="s">
        <v>135</v>
      </c>
      <c r="C109" s="12" t="e">
        <f>+J28+C36+F77+F85+#REF!+#REF!</f>
        <v>#REF!</v>
      </c>
      <c r="D109" s="12" t="e">
        <f>+C109*2</f>
        <v>#REF!</v>
      </c>
      <c r="E109" s="12" t="e">
        <f>+D109*2</f>
        <v>#REF!</v>
      </c>
      <c r="F109" s="12" t="e">
        <f>+E109*2</f>
        <v>#REF!</v>
      </c>
      <c r="G109" s="12" t="e">
        <f>+F109*1.5</f>
        <v>#REF!</v>
      </c>
    </row>
    <row r="110" spans="2:7" x14ac:dyDescent="0.35">
      <c r="B110" s="1" t="s">
        <v>136</v>
      </c>
      <c r="C110" s="12" t="e">
        <f>+C109+C106</f>
        <v>#REF!</v>
      </c>
      <c r="D110" s="12" t="e">
        <f t="shared" ref="D110:G110" si="12">+D109+D106</f>
        <v>#REF!</v>
      </c>
      <c r="E110" s="12" t="e">
        <f t="shared" si="12"/>
        <v>#REF!</v>
      </c>
      <c r="F110" s="12" t="e">
        <f t="shared" si="12"/>
        <v>#REF!</v>
      </c>
      <c r="G110" s="12" t="e">
        <f t="shared" si="12"/>
        <v>#REF!</v>
      </c>
    </row>
    <row r="111" spans="2:7" x14ac:dyDescent="0.35">
      <c r="B111" s="1" t="s">
        <v>137</v>
      </c>
      <c r="C111" s="27" t="e">
        <f>+C110/C107</f>
        <v>#REF!</v>
      </c>
      <c r="D111" s="27" t="e">
        <f t="shared" ref="D111:G111" si="13">+D110/D107</f>
        <v>#REF!</v>
      </c>
      <c r="E111" s="27" t="e">
        <f t="shared" si="13"/>
        <v>#REF!</v>
      </c>
      <c r="F111" s="27" t="e">
        <f t="shared" si="13"/>
        <v>#REF!</v>
      </c>
      <c r="G111" s="27" t="e">
        <f t="shared" si="13"/>
        <v>#REF!</v>
      </c>
    </row>
    <row r="113" spans="2:7" ht="29" x14ac:dyDescent="0.35">
      <c r="B113" s="26" t="s">
        <v>92</v>
      </c>
      <c r="C113" s="1">
        <f>+D22+D23+D25</f>
        <v>1093</v>
      </c>
      <c r="D113" s="1">
        <f>+C113*2</f>
        <v>2186</v>
      </c>
      <c r="E113" s="1">
        <f t="shared" ref="E113:F113" si="14">+D113*2</f>
        <v>4372</v>
      </c>
      <c r="F113" s="1">
        <f t="shared" si="14"/>
        <v>8744</v>
      </c>
      <c r="G113" s="1">
        <f>+F113*1.5</f>
        <v>13116</v>
      </c>
    </row>
    <row r="114" spans="2:7" x14ac:dyDescent="0.35">
      <c r="B114" s="1" t="s">
        <v>93</v>
      </c>
      <c r="C114" s="8">
        <f>+C107/C113</f>
        <v>690602.81646106252</v>
      </c>
      <c r="D114" s="8">
        <f t="shared" ref="D114:G114" si="15">+D107/D113</f>
        <v>624611.44278441893</v>
      </c>
      <c r="E114" s="8" t="e">
        <f t="shared" si="15"/>
        <v>#REF!</v>
      </c>
      <c r="F114" s="8" t="e">
        <f t="shared" si="15"/>
        <v>#REF!</v>
      </c>
      <c r="G114" s="8" t="e">
        <f t="shared" si="15"/>
        <v>#REF!</v>
      </c>
    </row>
  </sheetData>
  <mergeCells count="7">
    <mergeCell ref="D24:E24"/>
    <mergeCell ref="B55:B59"/>
    <mergeCell ref="B60:B70"/>
    <mergeCell ref="B71:B74"/>
    <mergeCell ref="B15:B16"/>
    <mergeCell ref="B22:B25"/>
    <mergeCell ref="C22:C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609F8-542B-49D5-95BD-D8D7BE7ED898}">
  <dimension ref="A3:B8"/>
  <sheetViews>
    <sheetView workbookViewId="0">
      <selection activeCell="F16" sqref="F16"/>
    </sheetView>
  </sheetViews>
  <sheetFormatPr baseColWidth="10" defaultRowHeight="14.5" x14ac:dyDescent="0.35"/>
  <cols>
    <col min="1" max="1" width="27.36328125" customWidth="1"/>
    <col min="2" max="2" width="14.08984375" bestFit="1" customWidth="1"/>
  </cols>
  <sheetData>
    <row r="3" spans="1:2" x14ac:dyDescent="0.35">
      <c r="A3" s="1" t="s">
        <v>124</v>
      </c>
      <c r="B3" s="8">
        <v>170000</v>
      </c>
    </row>
    <row r="4" spans="1:2" x14ac:dyDescent="0.35">
      <c r="A4" s="1" t="s">
        <v>14</v>
      </c>
      <c r="B4" s="7">
        <v>0.3</v>
      </c>
    </row>
    <row r="5" spans="1:2" x14ac:dyDescent="0.35">
      <c r="A5" s="1" t="s">
        <v>17</v>
      </c>
      <c r="B5" s="8">
        <f>+B3*B4/(1-B4)</f>
        <v>72857.142857142855</v>
      </c>
    </row>
    <row r="6" spans="1:2" x14ac:dyDescent="0.35">
      <c r="A6" s="1" t="s">
        <v>125</v>
      </c>
      <c r="B6" s="12">
        <f>+B3+B5</f>
        <v>242857.14285714284</v>
      </c>
    </row>
    <row r="7" spans="1:2" x14ac:dyDescent="0.35">
      <c r="A7" s="1" t="s">
        <v>126</v>
      </c>
      <c r="B7" s="30">
        <v>12</v>
      </c>
    </row>
    <row r="8" spans="1:2" x14ac:dyDescent="0.35">
      <c r="A8" s="1" t="s">
        <v>127</v>
      </c>
      <c r="B8" s="8">
        <f>+B6*B7</f>
        <v>2914285.7142857141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850E8-DF39-4EA5-9162-DB28BD16CFA9}">
  <dimension ref="A1:G17"/>
  <sheetViews>
    <sheetView workbookViewId="0">
      <selection activeCell="A17" sqref="A17"/>
    </sheetView>
  </sheetViews>
  <sheetFormatPr baseColWidth="10" defaultRowHeight="14.5" x14ac:dyDescent="0.35"/>
  <cols>
    <col min="1" max="1" width="30.54296875" bestFit="1" customWidth="1"/>
    <col min="2" max="2" width="13.6328125" customWidth="1"/>
    <col min="3" max="3" width="6.1796875" bestFit="1" customWidth="1"/>
    <col min="4" max="4" width="15.08984375" bestFit="1" customWidth="1"/>
    <col min="5" max="5" width="18.54296875" customWidth="1"/>
    <col min="6" max="6" width="15.26953125" customWidth="1"/>
  </cols>
  <sheetData>
    <row r="1" spans="1:7" x14ac:dyDescent="0.35">
      <c r="A1" s="28" t="s">
        <v>99</v>
      </c>
      <c r="B1" s="28" t="s">
        <v>30</v>
      </c>
      <c r="C1" s="28" t="s">
        <v>76</v>
      </c>
      <c r="D1" s="28" t="s">
        <v>100</v>
      </c>
      <c r="E1" s="28" t="s">
        <v>101</v>
      </c>
      <c r="F1" s="29" t="s">
        <v>102</v>
      </c>
    </row>
    <row r="2" spans="1:7" x14ac:dyDescent="0.35">
      <c r="A2" s="1" t="s">
        <v>103</v>
      </c>
      <c r="B2" s="1">
        <v>1</v>
      </c>
      <c r="C2" s="1">
        <v>12</v>
      </c>
      <c r="D2" s="8">
        <v>9058721.1000000015</v>
      </c>
      <c r="E2" s="8">
        <f>+D2*C2*B2</f>
        <v>108704653.20000002</v>
      </c>
      <c r="F2" s="12">
        <f>+E2</f>
        <v>108704653.20000002</v>
      </c>
    </row>
    <row r="3" spans="1:7" x14ac:dyDescent="0.35">
      <c r="A3" s="1" t="s">
        <v>104</v>
      </c>
      <c r="B3" s="1">
        <v>1</v>
      </c>
      <c r="C3" s="1">
        <v>12</v>
      </c>
      <c r="D3" s="8">
        <v>9058721.1000000015</v>
      </c>
      <c r="E3" s="8">
        <f>+D3*C3*B3</f>
        <v>108704653.20000002</v>
      </c>
      <c r="F3" s="12">
        <f>+E3</f>
        <v>108704653.20000002</v>
      </c>
    </row>
    <row r="4" spans="1:7" x14ac:dyDescent="0.35">
      <c r="A4" s="1" t="s">
        <v>105</v>
      </c>
      <c r="B4" s="1">
        <v>1</v>
      </c>
      <c r="C4" s="1">
        <v>12</v>
      </c>
      <c r="D4" s="8">
        <v>497575.52640000003</v>
      </c>
      <c r="E4" s="8">
        <f>+D4*C4*B4</f>
        <v>5970906.3168000001</v>
      </c>
      <c r="F4" s="12">
        <f>+E4</f>
        <v>5970906.3168000001</v>
      </c>
    </row>
    <row r="5" spans="1:7" x14ac:dyDescent="0.35">
      <c r="A5" s="1" t="s">
        <v>106</v>
      </c>
      <c r="B5" s="1">
        <v>1</v>
      </c>
      <c r="C5" s="1">
        <v>3</v>
      </c>
      <c r="D5" s="8">
        <v>3000000</v>
      </c>
      <c r="E5" s="8">
        <f>+D5*C5*B5</f>
        <v>9000000</v>
      </c>
      <c r="F5" s="12">
        <f>+E5</f>
        <v>9000000</v>
      </c>
    </row>
    <row r="6" spans="1:7" x14ac:dyDescent="0.35">
      <c r="A6" s="1" t="s">
        <v>107</v>
      </c>
      <c r="B6" s="1"/>
      <c r="C6" s="1"/>
      <c r="D6" s="8"/>
      <c r="E6" s="8">
        <v>20000000</v>
      </c>
      <c r="F6" s="12">
        <f>+E6/2</f>
        <v>10000000</v>
      </c>
    </row>
    <row r="7" spans="1:7" x14ac:dyDescent="0.35">
      <c r="A7" s="1" t="s">
        <v>108</v>
      </c>
      <c r="B7" s="1">
        <v>3</v>
      </c>
      <c r="C7" s="1">
        <v>12</v>
      </c>
      <c r="D7" s="8">
        <v>2000000</v>
      </c>
      <c r="E7" s="8">
        <f>+D7*C7*B7</f>
        <v>72000000</v>
      </c>
      <c r="F7" s="12">
        <f>+E7/3</f>
        <v>24000000</v>
      </c>
    </row>
    <row r="8" spans="1:7" x14ac:dyDescent="0.35">
      <c r="A8" s="1" t="s">
        <v>109</v>
      </c>
      <c r="B8" s="1"/>
      <c r="C8" s="1"/>
      <c r="D8" s="8"/>
      <c r="E8" s="8">
        <v>314740.5</v>
      </c>
      <c r="F8" s="1">
        <v>0</v>
      </c>
    </row>
    <row r="9" spans="1:7" x14ac:dyDescent="0.35">
      <c r="A9" s="1" t="s">
        <v>110</v>
      </c>
      <c r="B9" s="1"/>
      <c r="C9" s="1"/>
      <c r="D9" s="8"/>
      <c r="E9" s="8">
        <v>12599847.540000001</v>
      </c>
      <c r="F9" s="12">
        <f>+E9</f>
        <v>12599847.540000001</v>
      </c>
    </row>
    <row r="10" spans="1:7" x14ac:dyDescent="0.35">
      <c r="A10" s="1" t="s">
        <v>111</v>
      </c>
      <c r="B10" s="1"/>
      <c r="C10" s="1"/>
      <c r="D10" s="8"/>
      <c r="E10" s="8">
        <v>3625443.1500000004</v>
      </c>
      <c r="F10" s="12">
        <f>+E10</f>
        <v>3625443.1500000004</v>
      </c>
    </row>
    <row r="11" spans="1:7" x14ac:dyDescent="0.35">
      <c r="A11" s="1" t="s">
        <v>112</v>
      </c>
      <c r="B11" s="1"/>
      <c r="C11" s="1"/>
      <c r="D11" s="8"/>
      <c r="E11" s="8">
        <f>+SUM(E2:E10)*5%+33744</f>
        <v>17079756.195340004</v>
      </c>
      <c r="F11" s="12">
        <f>+E11</f>
        <v>17079756.195340004</v>
      </c>
    </row>
    <row r="12" spans="1:7" x14ac:dyDescent="0.35">
      <c r="A12" s="18" t="s">
        <v>56</v>
      </c>
      <c r="B12" s="1"/>
      <c r="C12" s="1"/>
      <c r="D12" s="8"/>
      <c r="E12" s="21">
        <f>+SUM(E2:E11)</f>
        <v>358000000.10214001</v>
      </c>
      <c r="F12" s="21">
        <f>+SUM(F2:F11)</f>
        <v>299685259.60214001</v>
      </c>
    </row>
    <row r="14" spans="1:7" x14ac:dyDescent="0.35">
      <c r="A14" s="1" t="s">
        <v>113</v>
      </c>
      <c r="B14" s="1">
        <v>1</v>
      </c>
      <c r="C14" s="1">
        <v>12</v>
      </c>
      <c r="D14" s="8">
        <v>1676428</v>
      </c>
      <c r="E14" s="12">
        <f>+B14*C14*D14</f>
        <v>20117136</v>
      </c>
      <c r="F14" s="12">
        <f>+E14</f>
        <v>20117136</v>
      </c>
    </row>
    <row r="15" spans="1:7" x14ac:dyDescent="0.35">
      <c r="A15" s="1" t="s">
        <v>114</v>
      </c>
      <c r="B15" s="1">
        <v>0.5</v>
      </c>
      <c r="C15" s="1">
        <v>12</v>
      </c>
      <c r="D15" s="8">
        <v>25531076</v>
      </c>
      <c r="E15" s="8">
        <f>+B15*C15*D15</f>
        <v>153186456</v>
      </c>
      <c r="F15" s="12">
        <f>+E15</f>
        <v>153186456</v>
      </c>
      <c r="G15" s="3"/>
    </row>
    <row r="16" spans="1:7" x14ac:dyDescent="0.35">
      <c r="A16" s="1" t="s">
        <v>115</v>
      </c>
      <c r="B16" s="1">
        <v>0.2</v>
      </c>
      <c r="C16" s="1">
        <v>12</v>
      </c>
      <c r="D16" s="8">
        <v>7992996</v>
      </c>
      <c r="E16" s="8">
        <f>+D16*C16*B16</f>
        <v>19183190.400000002</v>
      </c>
      <c r="F16" s="12">
        <f>+E16</f>
        <v>19183190.400000002</v>
      </c>
    </row>
    <row r="17" spans="5:6" x14ac:dyDescent="0.35">
      <c r="E17" s="17" t="s">
        <v>18</v>
      </c>
      <c r="F17" s="12">
        <f>+F12+F15+F16+F14</f>
        <v>492172042.00213999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FBFDD-6B74-48FA-BE3E-C18C40BE5BEC}">
  <dimension ref="A3:E9"/>
  <sheetViews>
    <sheetView workbookViewId="0">
      <selection activeCell="E16" sqref="E16"/>
    </sheetView>
  </sheetViews>
  <sheetFormatPr baseColWidth="10" defaultRowHeight="14.5" x14ac:dyDescent="0.35"/>
  <cols>
    <col min="1" max="1" width="31" customWidth="1"/>
    <col min="2" max="2" width="15.90625" customWidth="1"/>
    <col min="3" max="3" width="18.7265625" customWidth="1"/>
    <col min="4" max="4" width="14.08984375" bestFit="1" customWidth="1"/>
    <col min="5" max="5" width="15.08984375" bestFit="1" customWidth="1"/>
  </cols>
  <sheetData>
    <row r="3" spans="1:5" x14ac:dyDescent="0.35">
      <c r="A3" s="1" t="s">
        <v>116</v>
      </c>
      <c r="B3" s="1" t="s">
        <v>117</v>
      </c>
      <c r="C3" s="1" t="s">
        <v>118</v>
      </c>
      <c r="D3" s="1" t="s">
        <v>76</v>
      </c>
      <c r="E3" s="1" t="s">
        <v>15</v>
      </c>
    </row>
    <row r="4" spans="1:5" x14ac:dyDescent="0.35">
      <c r="A4" s="1" t="s">
        <v>119</v>
      </c>
      <c r="B4" s="8">
        <v>11183117</v>
      </c>
      <c r="C4" s="27">
        <v>0.03</v>
      </c>
      <c r="D4" s="23">
        <v>12</v>
      </c>
      <c r="E4" s="8">
        <f>+B4*C4*D4</f>
        <v>4025922.12</v>
      </c>
    </row>
    <row r="5" spans="1:5" x14ac:dyDescent="0.35">
      <c r="A5" s="1" t="s">
        <v>120</v>
      </c>
      <c r="B5" s="8">
        <v>4978138</v>
      </c>
      <c r="C5" s="27">
        <v>0.03</v>
      </c>
      <c r="D5" s="23">
        <v>12</v>
      </c>
      <c r="E5" s="8">
        <f t="shared" ref="E5:E8" si="0">+B5*C5*D5</f>
        <v>1792129.6799999997</v>
      </c>
    </row>
    <row r="6" spans="1:5" x14ac:dyDescent="0.35">
      <c r="A6" s="1" t="s">
        <v>121</v>
      </c>
      <c r="B6" s="8">
        <v>21773036</v>
      </c>
      <c r="C6" s="27">
        <v>0.05</v>
      </c>
      <c r="D6" s="23">
        <v>12</v>
      </c>
      <c r="E6" s="8">
        <f t="shared" si="0"/>
        <v>13063821.600000001</v>
      </c>
    </row>
    <row r="7" spans="1:5" x14ac:dyDescent="0.35">
      <c r="A7" s="1" t="s">
        <v>122</v>
      </c>
      <c r="B7" s="8">
        <v>7992996</v>
      </c>
      <c r="C7" s="27">
        <v>0.05</v>
      </c>
      <c r="D7" s="23">
        <v>12</v>
      </c>
      <c r="E7" s="8">
        <f t="shared" si="0"/>
        <v>4795797.6000000006</v>
      </c>
    </row>
    <row r="8" spans="1:5" x14ac:dyDescent="0.35">
      <c r="A8" s="1" t="s">
        <v>123</v>
      </c>
      <c r="B8" s="8">
        <v>4978138</v>
      </c>
      <c r="C8" s="27">
        <v>0.05</v>
      </c>
      <c r="D8" s="23">
        <v>12</v>
      </c>
      <c r="E8" s="8">
        <f t="shared" si="0"/>
        <v>2986882.8000000003</v>
      </c>
    </row>
    <row r="9" spans="1:5" x14ac:dyDescent="0.35">
      <c r="D9" s="1" t="s">
        <v>18</v>
      </c>
      <c r="E9" s="12">
        <f>+SUM(E4:E8)</f>
        <v>26664553.800000004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Matrícula</vt:lpstr>
      <vt:lpstr>RESUMEN</vt:lpstr>
      <vt:lpstr> FORMACIÓN</vt:lpstr>
      <vt:lpstr>MONITOREO</vt:lpstr>
      <vt:lpstr>OPERACIÓN</vt:lpstr>
      <vt:lpstr>BASE OPERACIÓN</vt:lpstr>
      <vt:lpstr>CONSULTORÍA</vt:lpstr>
      <vt:lpstr>COSTOS FIJOS</vt:lpstr>
      <vt:lpstr>GASTOS ADMINISTRATIVOS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 Cardona Duque-Coordinador de alianzas</dc:creator>
  <cp:lastModifiedBy>Santiago  Cardona Duque-Coordinador de alianzas</cp:lastModifiedBy>
  <dcterms:created xsi:type="dcterms:W3CDTF">2024-08-12T19:19:23Z</dcterms:created>
  <dcterms:modified xsi:type="dcterms:W3CDTF">2025-07-15T21:33:57Z</dcterms:modified>
</cp:coreProperties>
</file>