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C11"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7" i="51"/>
  <c r="F40" i="51"/>
  <c r="F39" i="51"/>
  <c r="F38" i="51"/>
  <c r="F37" i="51"/>
  <c r="F36" i="51"/>
  <c r="F35" i="51"/>
  <c r="F34" i="51"/>
  <c r="F33" i="51"/>
  <c r="F32" i="51"/>
  <c r="F31" i="51"/>
  <c r="F30" i="51"/>
  <c r="F29" i="51"/>
  <c r="F28" i="51"/>
  <c r="F27" i="51"/>
  <c r="F26" i="51"/>
  <c r="F25" i="51"/>
  <c r="F24" i="51"/>
  <c r="F23" i="51"/>
  <c r="F22" i="51"/>
  <c r="F21" i="51"/>
  <c r="F20" i="51"/>
  <c r="F19" i="51"/>
  <c r="F18" i="51"/>
  <c r="F17" i="51"/>
  <c r="F16" i="51"/>
  <c r="F15" i="51"/>
  <c r="F14" i="51"/>
  <c r="F13" i="51"/>
  <c r="F12" i="51"/>
  <c r="F11" i="51"/>
  <c r="F10" i="51"/>
  <c r="F9" i="51"/>
  <c r="F8" i="51"/>
  <c r="F7"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F846" i="50"/>
  <c r="AG818" i="50"/>
  <c r="AF816" i="50"/>
  <c r="AF818" i="50" s="1"/>
  <c r="AF815" i="50"/>
  <c r="AF814" i="50"/>
  <c r="AF813" i="50"/>
  <c r="AG812" i="50" s="1"/>
  <c r="AF812" i="50"/>
  <c r="AG811" i="50" s="1"/>
  <c r="AF811" i="50"/>
  <c r="AF810" i="50"/>
  <c r="AL809" i="50" s="1"/>
  <c r="AF809" i="50"/>
  <c r="AG808" i="50" s="1"/>
  <c r="AF808" i="50"/>
  <c r="AG807" i="50" s="1"/>
  <c r="AF807" i="50"/>
  <c r="AF806" i="50"/>
  <c r="AF805" i="50"/>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R13" i="35"/>
  <c r="G7" i="51" s="1"/>
  <c r="I7" i="51" s="1"/>
  <c r="R14" i="35"/>
  <c r="R15" i="35"/>
  <c r="G8" i="51" s="1"/>
  <c r="I8" i="51" s="1"/>
  <c r="R16" i="35"/>
  <c r="R17" i="35"/>
  <c r="G9" i="51" s="1"/>
  <c r="I9" i="51" s="1"/>
  <c r="R18" i="35"/>
  <c r="R19" i="35"/>
  <c r="G10" i="51" s="1"/>
  <c r="I10" i="51" s="1"/>
  <c r="J10" i="51" s="1"/>
  <c r="R20" i="35"/>
  <c r="R21" i="35"/>
  <c r="G11" i="51" s="1"/>
  <c r="I11" i="51" s="1"/>
  <c r="R22" i="35"/>
  <c r="R23" i="35"/>
  <c r="G12" i="51" s="1"/>
  <c r="I12" i="51" s="1"/>
  <c r="R24" i="35"/>
  <c r="R25" i="35"/>
  <c r="G13" i="51" s="1"/>
  <c r="R26" i="35"/>
  <c r="R27" i="35"/>
  <c r="G14" i="51" s="1"/>
  <c r="I14" i="51" s="1"/>
  <c r="R28" i="35"/>
  <c r="R29" i="35"/>
  <c r="G15" i="51" s="1"/>
  <c r="I15" i="51" s="1"/>
  <c r="R30" i="35"/>
  <c r="R31" i="35"/>
  <c r="G16" i="51" s="1"/>
  <c r="I16" i="51" s="1"/>
  <c r="J16" i="51" s="1"/>
  <c r="R32" i="35"/>
  <c r="R33" i="35"/>
  <c r="G17" i="51" s="1"/>
  <c r="I17" i="51" s="1"/>
  <c r="R34" i="35"/>
  <c r="R35" i="35"/>
  <c r="G18" i="51" s="1"/>
  <c r="I18" i="51" s="1"/>
  <c r="R36" i="35"/>
  <c r="R37" i="35"/>
  <c r="G19" i="51" s="1"/>
  <c r="I19" i="51" s="1"/>
  <c r="R38" i="35"/>
  <c r="R39" i="35"/>
  <c r="G20" i="51" s="1"/>
  <c r="I20" i="51" s="1"/>
  <c r="R40" i="35"/>
  <c r="R41" i="35"/>
  <c r="G21" i="51" s="1"/>
  <c r="I21" i="51" s="1"/>
  <c r="R42" i="35"/>
  <c r="R43" i="35"/>
  <c r="G22" i="51" s="1"/>
  <c r="I22" i="51" s="1"/>
  <c r="R44" i="35"/>
  <c r="R45" i="35"/>
  <c r="G23" i="51" s="1"/>
  <c r="I23" i="51" s="1"/>
  <c r="R46" i="35"/>
  <c r="R47" i="35"/>
  <c r="G24" i="51" s="1"/>
  <c r="I24" i="51" s="1"/>
  <c r="J24" i="51" s="1"/>
  <c r="R48" i="35"/>
  <c r="R49" i="35"/>
  <c r="G25" i="51" s="1"/>
  <c r="I25" i="51" s="1"/>
  <c r="R50" i="35"/>
  <c r="R51" i="35"/>
  <c r="G26" i="51" s="1"/>
  <c r="I26" i="51" s="1"/>
  <c r="R52" i="35"/>
  <c r="R53" i="35"/>
  <c r="G27" i="51" s="1"/>
  <c r="I27" i="51" s="1"/>
  <c r="R54" i="35"/>
  <c r="R55" i="35"/>
  <c r="G28" i="51" s="1"/>
  <c r="I28" i="51" s="1"/>
  <c r="R56" i="35"/>
  <c r="R57" i="35"/>
  <c r="G29" i="51" s="1"/>
  <c r="I29" i="51" s="1"/>
  <c r="R58" i="35"/>
  <c r="R59" i="35"/>
  <c r="G30" i="51" s="1"/>
  <c r="I30" i="51" s="1"/>
  <c r="R60" i="35"/>
  <c r="R61" i="35"/>
  <c r="G31" i="51" s="1"/>
  <c r="I31" i="51" s="1"/>
  <c r="R62" i="35"/>
  <c r="R63" i="35"/>
  <c r="G32" i="51" s="1"/>
  <c r="I32" i="51" s="1"/>
  <c r="J32" i="51" s="1"/>
  <c r="R64" i="35"/>
  <c r="R65" i="35"/>
  <c r="G33" i="51" s="1"/>
  <c r="I33" i="51" s="1"/>
  <c r="R66" i="35"/>
  <c r="R67" i="35"/>
  <c r="G34" i="51" s="1"/>
  <c r="I34" i="51" s="1"/>
  <c r="R68" i="35"/>
  <c r="R69" i="35"/>
  <c r="G35" i="51" s="1"/>
  <c r="I35" i="51" s="1"/>
  <c r="R70" i="35"/>
  <c r="R71" i="35"/>
  <c r="G36" i="51" s="1"/>
  <c r="I36" i="51" s="1"/>
  <c r="R72" i="35"/>
  <c r="R73" i="35"/>
  <c r="G37" i="51" s="1"/>
  <c r="I37" i="51" s="1"/>
  <c r="R74" i="35"/>
  <c r="R75" i="35"/>
  <c r="G38" i="51" s="1"/>
  <c r="I38" i="51" s="1"/>
  <c r="R76" i="35"/>
  <c r="R77" i="35"/>
  <c r="G39" i="51" s="1"/>
  <c r="I39" i="51" s="1"/>
  <c r="R78" i="35"/>
  <c r="R79" i="35"/>
  <c r="G40" i="51" s="1"/>
  <c r="I40" i="51" s="1"/>
  <c r="J40" i="51" s="1"/>
  <c r="R80" i="35"/>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C36" i="47"/>
  <c r="N36" i="39" s="1"/>
  <c r="D150" i="50" s="1"/>
  <c r="C35" i="47"/>
  <c r="N35" i="39" s="1"/>
  <c r="D149" i="50" s="1"/>
  <c r="C34" i="47"/>
  <c r="N34" i="39" s="1"/>
  <c r="C33" i="47"/>
  <c r="N33" i="39" s="1"/>
  <c r="D147" i="50" s="1"/>
  <c r="C32" i="47"/>
  <c r="N32" i="39" s="1"/>
  <c r="D146" i="50" s="1"/>
  <c r="C31" i="47"/>
  <c r="N31" i="39" s="1"/>
  <c r="C30" i="47"/>
  <c r="N30" i="39" s="1"/>
  <c r="C29" i="47"/>
  <c r="N29" i="39" s="1"/>
  <c r="C28" i="47"/>
  <c r="N28" i="39" s="1"/>
  <c r="D142" i="50" s="1"/>
  <c r="C27" i="47"/>
  <c r="N27" i="39" s="1"/>
  <c r="C26" i="47"/>
  <c r="N26" i="39" s="1"/>
  <c r="C25" i="47"/>
  <c r="N25" i="39" s="1"/>
  <c r="D139" i="50" s="1"/>
  <c r="C24" i="47"/>
  <c r="N24" i="39" s="1"/>
  <c r="D138" i="50" s="1"/>
  <c r="C23" i="47"/>
  <c r="N23" i="39" s="1"/>
  <c r="D137" i="50" s="1"/>
  <c r="C22" i="47"/>
  <c r="N22" i="39" s="1"/>
  <c r="C21" i="47"/>
  <c r="N21" i="39" s="1"/>
  <c r="D135" i="50" s="1"/>
  <c r="C20" i="47"/>
  <c r="N20" i="39" s="1"/>
  <c r="D134" i="50" s="1"/>
  <c r="C19" i="47"/>
  <c r="N19" i="39" s="1"/>
  <c r="D133" i="50" s="1"/>
  <c r="C18" i="47"/>
  <c r="N18" i="39" s="1"/>
  <c r="C17" i="47"/>
  <c r="N17" i="39" s="1"/>
  <c r="D131" i="50" s="1"/>
  <c r="C16" i="47"/>
  <c r="C15" i="47"/>
  <c r="N15" i="39" s="1"/>
  <c r="C14" i="47"/>
  <c r="N14" i="39" s="1"/>
  <c r="C13" i="47"/>
  <c r="N13" i="39" s="1"/>
  <c r="D127" i="50" s="1"/>
  <c r="C12" i="47"/>
  <c r="C11" i="47"/>
  <c r="N11" i="39" s="1"/>
  <c r="C10" i="47"/>
  <c r="N10" i="39" s="1"/>
  <c r="C9" i="47"/>
  <c r="N9" i="39" s="1"/>
  <c r="D123" i="50" s="1"/>
  <c r="C8" i="47"/>
  <c r="N8" i="39" s="1"/>
  <c r="D122" i="50" s="1"/>
  <c r="C7" i="47"/>
  <c r="N7" i="39" s="1"/>
  <c r="D121" i="50" s="1"/>
  <c r="C6" i="47"/>
  <c r="N6" i="39" s="1"/>
  <c r="C5" i="47"/>
  <c r="N5" i="39" s="1"/>
  <c r="D119" i="50" s="1"/>
  <c r="C4" i="47"/>
  <c r="N4" i="39" s="1"/>
  <c r="D118" i="50"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C12" i="44"/>
  <c r="E12" i="39" s="1"/>
  <c r="F85" i="50" s="1"/>
  <c r="C11" i="44"/>
  <c r="E11" i="39" s="1"/>
  <c r="F84" i="50" s="1"/>
  <c r="C10" i="44"/>
  <c r="E10" i="39" s="1"/>
  <c r="F83" i="50" s="1"/>
  <c r="C9" i="44"/>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C4" i="43"/>
  <c r="D58" i="42"/>
  <c r="C43" i="42"/>
  <c r="E42" i="42"/>
  <c r="E41" i="42"/>
  <c r="E40" i="42"/>
  <c r="C38" i="42"/>
  <c r="C38" i="39" s="1"/>
  <c r="C37" i="42"/>
  <c r="C37" i="39" s="1"/>
  <c r="C36" i="42"/>
  <c r="C36" i="39" s="1"/>
  <c r="C35" i="42"/>
  <c r="C35" i="39" s="1"/>
  <c r="C34" i="42"/>
  <c r="C34" i="39" s="1"/>
  <c r="C33" i="42"/>
  <c r="C33" i="39" s="1"/>
  <c r="C32" i="42"/>
  <c r="C32" i="39" s="1"/>
  <c r="C31" i="42"/>
  <c r="C30" i="42"/>
  <c r="C30" i="39" s="1"/>
  <c r="C29" i="42"/>
  <c r="C29" i="39" s="1"/>
  <c r="C28" i="42"/>
  <c r="C28" i="39" s="1"/>
  <c r="C27" i="42"/>
  <c r="C27" i="39" s="1"/>
  <c r="C26" i="42"/>
  <c r="C26" i="39" s="1"/>
  <c r="C25" i="42"/>
  <c r="C25" i="39" s="1"/>
  <c r="C24" i="42"/>
  <c r="C24" i="39" s="1"/>
  <c r="C23" i="42"/>
  <c r="C23" i="39" s="1"/>
  <c r="C22" i="42"/>
  <c r="C22" i="39" s="1"/>
  <c r="C21" i="42"/>
  <c r="C21" i="39" s="1"/>
  <c r="C20" i="42"/>
  <c r="C20" i="39" s="1"/>
  <c r="C19" i="42"/>
  <c r="C18" i="42"/>
  <c r="C18" i="39" s="1"/>
  <c r="C17" i="42"/>
  <c r="C17" i="39" s="1"/>
  <c r="C16" i="42"/>
  <c r="C16" i="39" s="1"/>
  <c r="C15" i="42"/>
  <c r="C15" i="39" s="1"/>
  <c r="C14" i="42"/>
  <c r="C14" i="39" s="1"/>
  <c r="C13" i="42"/>
  <c r="C13" i="39" s="1"/>
  <c r="C12" i="42"/>
  <c r="C12" i="39" s="1"/>
  <c r="C11" i="42"/>
  <c r="C11" i="39" s="1"/>
  <c r="C10" i="42"/>
  <c r="C10" i="39" s="1"/>
  <c r="C9" i="42"/>
  <c r="C9" i="39" s="1"/>
  <c r="C8" i="42"/>
  <c r="C8" i="39" s="1"/>
  <c r="C7" i="42"/>
  <c r="C7" i="39" s="1"/>
  <c r="C6" i="42"/>
  <c r="C6" i="39" s="1"/>
  <c r="C5" i="42"/>
  <c r="C5" i="39" s="1"/>
  <c r="C4" i="42"/>
  <c r="C4" i="39" s="1"/>
  <c r="G58" i="41"/>
  <c r="D58" i="41"/>
  <c r="E43" i="41"/>
  <c r="C43" i="41"/>
  <c r="E42" i="41"/>
  <c r="E41" i="41"/>
  <c r="E40" i="41"/>
  <c r="C38" i="41"/>
  <c r="K38" i="39" s="1"/>
  <c r="L111" i="50" s="1"/>
  <c r="C37" i="41"/>
  <c r="K37" i="39" s="1"/>
  <c r="L110" i="50" s="1"/>
  <c r="C36" i="41"/>
  <c r="K36" i="39" s="1"/>
  <c r="L109" i="50" s="1"/>
  <c r="C35" i="41"/>
  <c r="C34" i="41"/>
  <c r="K34" i="39" s="1"/>
  <c r="L107" i="50" s="1"/>
  <c r="C33" i="41"/>
  <c r="K33" i="39" s="1"/>
  <c r="L106" i="50" s="1"/>
  <c r="C32" i="41"/>
  <c r="K32" i="39" s="1"/>
  <c r="L105" i="50" s="1"/>
  <c r="C31" i="41"/>
  <c r="C30" i="41"/>
  <c r="C29" i="41"/>
  <c r="K29" i="39" s="1"/>
  <c r="L102" i="50" s="1"/>
  <c r="C28" i="41"/>
  <c r="K28" i="39" s="1"/>
  <c r="L101" i="50" s="1"/>
  <c r="C27" i="41"/>
  <c r="C26" i="41"/>
  <c r="K26" i="39" s="1"/>
  <c r="L99" i="50" s="1"/>
  <c r="C25" i="41"/>
  <c r="K25" i="39" s="1"/>
  <c r="L98" i="50" s="1"/>
  <c r="C24" i="41"/>
  <c r="K24" i="39" s="1"/>
  <c r="L97" i="50" s="1"/>
  <c r="C23" i="41"/>
  <c r="C22" i="41"/>
  <c r="K22" i="39" s="1"/>
  <c r="L95" i="50" s="1"/>
  <c r="C21" i="41"/>
  <c r="K21" i="39" s="1"/>
  <c r="L94" i="50" s="1"/>
  <c r="C20" i="41"/>
  <c r="K20" i="39" s="1"/>
  <c r="L93" i="50" s="1"/>
  <c r="C19" i="41"/>
  <c r="C18" i="41"/>
  <c r="K18" i="39" s="1"/>
  <c r="L91" i="50" s="1"/>
  <c r="C17" i="41"/>
  <c r="K17" i="39" s="1"/>
  <c r="L90" i="50" s="1"/>
  <c r="C16" i="41"/>
  <c r="K16" i="39" s="1"/>
  <c r="L89" i="50" s="1"/>
  <c r="C15" i="41"/>
  <c r="C14" i="41"/>
  <c r="K14" i="39" s="1"/>
  <c r="L87" i="50" s="1"/>
  <c r="C13" i="41"/>
  <c r="K13" i="39" s="1"/>
  <c r="L86" i="50" s="1"/>
  <c r="C12" i="41"/>
  <c r="K12" i="39" s="1"/>
  <c r="L85" i="50" s="1"/>
  <c r="C11" i="41"/>
  <c r="C10" i="41"/>
  <c r="K10" i="39" s="1"/>
  <c r="L83" i="50" s="1"/>
  <c r="C9" i="41"/>
  <c r="K9" i="39" s="1"/>
  <c r="L82" i="50" s="1"/>
  <c r="C8" i="41"/>
  <c r="K8" i="39" s="1"/>
  <c r="L81" i="50" s="1"/>
  <c r="C7" i="41"/>
  <c r="C6" i="41"/>
  <c r="K6" i="39" s="1"/>
  <c r="L79" i="50" s="1"/>
  <c r="C5" i="41"/>
  <c r="K5" i="39" s="1"/>
  <c r="L78" i="50" s="1"/>
  <c r="C4" i="41"/>
  <c r="K4" i="39" s="1"/>
  <c r="L77" i="50" s="1"/>
  <c r="D58" i="40"/>
  <c r="E43" i="40"/>
  <c r="C43" i="40"/>
  <c r="E42" i="40"/>
  <c r="E41" i="40"/>
  <c r="E40" i="40"/>
  <c r="C38" i="40"/>
  <c r="J38" i="39" s="1"/>
  <c r="C37" i="40"/>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AG846" i="50"/>
  <c r="Y837" i="50"/>
  <c r="Y836" i="50"/>
  <c r="Y835" i="50"/>
  <c r="Y834" i="50"/>
  <c r="Y833" i="50"/>
  <c r="Y832" i="50"/>
  <c r="Y831" i="50"/>
  <c r="Y830" i="50"/>
  <c r="Y829" i="50"/>
  <c r="Y828" i="50"/>
  <c r="Y827" i="50"/>
  <c r="Y826" i="50"/>
  <c r="Y825" i="50"/>
  <c r="Y824" i="50"/>
  <c r="Y823" i="50"/>
  <c r="Y822" i="50"/>
  <c r="X822" i="50"/>
  <c r="V822" i="50"/>
  <c r="AF819" i="50"/>
  <c r="AG815" i="50"/>
  <c r="AG814" i="50"/>
  <c r="AG810" i="50"/>
  <c r="AG806" i="50"/>
  <c r="AG804"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3" i="39"/>
  <c r="L137" i="50" s="1"/>
  <c r="V20" i="39"/>
  <c r="L134" i="50" s="1"/>
  <c r="V16" i="39"/>
  <c r="L130" i="50" s="1"/>
  <c r="V12" i="39"/>
  <c r="L126" i="50" s="1"/>
  <c r="V11" i="39"/>
  <c r="L125"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37" i="39"/>
  <c r="D151" i="50" s="1"/>
  <c r="N16" i="39"/>
  <c r="D130" i="50" s="1"/>
  <c r="N12" i="39"/>
  <c r="D126" i="50" s="1"/>
  <c r="K35" i="39"/>
  <c r="L108" i="50" s="1"/>
  <c r="K31" i="39"/>
  <c r="L104" i="50" s="1"/>
  <c r="K30" i="39"/>
  <c r="L103" i="50" s="1"/>
  <c r="K27" i="39"/>
  <c r="L100" i="50" s="1"/>
  <c r="K23" i="39"/>
  <c r="L96" i="50" s="1"/>
  <c r="K19" i="39"/>
  <c r="L92" i="50" s="1"/>
  <c r="K15" i="39"/>
  <c r="L88" i="50" s="1"/>
  <c r="K11" i="39"/>
  <c r="L84" i="50" s="1"/>
  <c r="K7" i="39"/>
  <c r="L80" i="50" s="1"/>
  <c r="J37" i="39"/>
  <c r="J35" i="39"/>
  <c r="J18" i="39"/>
  <c r="J10" i="39"/>
  <c r="E37" i="39"/>
  <c r="F110" i="50" s="1"/>
  <c r="E29" i="39"/>
  <c r="F102" i="50" s="1"/>
  <c r="E25" i="39"/>
  <c r="F98" i="50" s="1"/>
  <c r="E13" i="39"/>
  <c r="F86" i="50" s="1"/>
  <c r="E9" i="39"/>
  <c r="F82" i="50" s="1"/>
  <c r="D36" i="39"/>
  <c r="E109" i="50" s="1"/>
  <c r="D34" i="39"/>
  <c r="E107" i="50" s="1"/>
  <c r="D32" i="39"/>
  <c r="E105" i="50" s="1"/>
  <c r="D28" i="39"/>
  <c r="E101" i="50" s="1"/>
  <c r="D24" i="39"/>
  <c r="E97" i="50" s="1"/>
  <c r="D23" i="39"/>
  <c r="E96" i="50" s="1"/>
  <c r="D20" i="39"/>
  <c r="E93" i="50" s="1"/>
  <c r="D16" i="39"/>
  <c r="E89" i="50" s="1"/>
  <c r="D8" i="39"/>
  <c r="E81" i="50" s="1"/>
  <c r="D5" i="39"/>
  <c r="E78" i="50" s="1"/>
  <c r="D4" i="39"/>
  <c r="E77" i="50" s="1"/>
  <c r="C31" i="39"/>
  <c r="C19" i="39"/>
  <c r="AN736" i="50" l="1"/>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T31" i="39"/>
  <c r="J145" i="50" s="1"/>
  <c r="T15" i="39"/>
  <c r="W15" i="39" s="1"/>
  <c r="T6" i="39"/>
  <c r="J120" i="50" s="1"/>
  <c r="T10" i="39"/>
  <c r="J124" i="50" s="1"/>
  <c r="T14" i="39"/>
  <c r="W14" i="39" s="1"/>
  <c r="T18" i="39"/>
  <c r="J132" i="50" s="1"/>
  <c r="T22" i="39"/>
  <c r="W22" i="39" s="1"/>
  <c r="T26" i="39"/>
  <c r="W26" i="39" s="1"/>
  <c r="T30" i="39"/>
  <c r="W30" i="39" s="1"/>
  <c r="X30" i="39" s="1"/>
  <c r="T34" i="39"/>
  <c r="J148" i="50" s="1"/>
  <c r="T38" i="39"/>
  <c r="W38" i="39" s="1"/>
  <c r="AN525" i="50"/>
  <c r="AF578" i="50"/>
  <c r="AL578" i="50" s="1"/>
  <c r="AM577" i="50" s="1"/>
  <c r="AN577" i="50" s="1"/>
  <c r="AL572" i="50"/>
  <c r="AM571" i="50" s="1"/>
  <c r="AN571" i="50" s="1"/>
  <c r="AL568" i="50"/>
  <c r="AM567" i="50" s="1"/>
  <c r="AN567" i="50" s="1"/>
  <c r="AF577" i="50"/>
  <c r="AL577" i="50" s="1"/>
  <c r="AF536" i="50"/>
  <c r="AL535" i="50" s="1"/>
  <c r="D143" i="50"/>
  <c r="T29" i="39"/>
  <c r="J143" i="50" s="1"/>
  <c r="T16" i="39"/>
  <c r="J130" i="50" s="1"/>
  <c r="T37" i="39"/>
  <c r="W37" i="39" s="1"/>
  <c r="T25" i="39"/>
  <c r="J139" i="50" s="1"/>
  <c r="T32" i="39"/>
  <c r="J146" i="50" s="1"/>
  <c r="T20" i="39"/>
  <c r="W20" i="39" s="1"/>
  <c r="T5" i="39"/>
  <c r="W5" i="39" s="1"/>
  <c r="T13" i="39"/>
  <c r="J127" i="50" s="1"/>
  <c r="T36" i="39"/>
  <c r="W36" i="39" s="1"/>
  <c r="T21" i="39"/>
  <c r="W21" i="39" s="1"/>
  <c r="T9" i="39"/>
  <c r="J123" i="50" s="1"/>
  <c r="D141" i="50"/>
  <c r="T27" i="39"/>
  <c r="W27" i="39" s="1"/>
  <c r="D125" i="50"/>
  <c r="T11" i="39"/>
  <c r="J125" i="50" s="1"/>
  <c r="T17" i="39"/>
  <c r="J131" i="50" s="1"/>
  <c r="T4" i="39"/>
  <c r="W4" i="39" s="1"/>
  <c r="T35" i="39"/>
  <c r="J149" i="50" s="1"/>
  <c r="T23" i="39"/>
  <c r="W23" i="39" s="1"/>
  <c r="T19" i="39"/>
  <c r="W19" i="39" s="1"/>
  <c r="T7" i="39"/>
  <c r="J121" i="50" s="1"/>
  <c r="T33" i="39"/>
  <c r="J147" i="50" s="1"/>
  <c r="D152" i="50"/>
  <c r="T28" i="39"/>
  <c r="W28" i="39" s="1"/>
  <c r="T24" i="39"/>
  <c r="J138" i="50" s="1"/>
  <c r="T12" i="39"/>
  <c r="J126" i="50" s="1"/>
  <c r="T8" i="39"/>
  <c r="W8" i="39" s="1"/>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I17" i="39"/>
  <c r="J90" i="50" s="1"/>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I13" i="51"/>
  <c r="J13" i="51" s="1"/>
  <c r="K13" i="51"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L846" i="50"/>
  <c r="W9" i="39"/>
  <c r="X9" i="39" s="1"/>
  <c r="AC24" i="39"/>
  <c r="J26" i="51"/>
  <c r="K26" i="51" s="1"/>
  <c r="J23" i="51"/>
  <c r="K23" i="51" s="1"/>
  <c r="J27" i="51"/>
  <c r="K27" i="51" s="1"/>
  <c r="J31" i="51"/>
  <c r="K31" i="51" s="1"/>
  <c r="J39" i="51"/>
  <c r="K39" i="51" s="1"/>
  <c r="J17" i="51"/>
  <c r="K17" i="51" s="1"/>
  <c r="J29" i="51"/>
  <c r="K29" i="51" s="1"/>
  <c r="J21" i="51"/>
  <c r="K21" i="51" s="1"/>
  <c r="J37" i="51"/>
  <c r="K37" i="51" s="1"/>
  <c r="J9" i="51"/>
  <c r="K9" i="51" s="1"/>
  <c r="J25" i="51"/>
  <c r="K25" i="51" s="1"/>
  <c r="AC7" i="39"/>
  <c r="K80" i="50"/>
  <c r="AC23" i="39"/>
  <c r="K96" i="50"/>
  <c r="AC15" i="39"/>
  <c r="K88" i="50"/>
  <c r="K104" i="50"/>
  <c r="AC31" i="39"/>
  <c r="D79" i="50"/>
  <c r="D5" i="50"/>
  <c r="I6" i="39"/>
  <c r="J79" i="50" s="1"/>
  <c r="AB6" i="39"/>
  <c r="D95" i="50"/>
  <c r="D21" i="50"/>
  <c r="I22" i="39"/>
  <c r="J95" i="50" s="1"/>
  <c r="AB22" i="39"/>
  <c r="K79" i="50"/>
  <c r="AC6" i="39"/>
  <c r="K95" i="50"/>
  <c r="AC22" i="39"/>
  <c r="D129" i="50"/>
  <c r="D145" i="50"/>
  <c r="E143" i="50"/>
  <c r="AN6" i="50"/>
  <c r="V7" i="50" s="1"/>
  <c r="B44" i="40" s="1"/>
  <c r="AN10" i="50"/>
  <c r="V11" i="50" s="1"/>
  <c r="B48" i="40" s="1"/>
  <c r="AN16" i="50"/>
  <c r="D80" i="50"/>
  <c r="D6" i="50"/>
  <c r="D86" i="50"/>
  <c r="D12" i="50"/>
  <c r="I13" i="39"/>
  <c r="J86" i="50" s="1"/>
  <c r="AB13" i="39"/>
  <c r="AB18" i="39"/>
  <c r="D91" i="50"/>
  <c r="D96" i="50"/>
  <c r="AB23" i="39"/>
  <c r="D22" i="50"/>
  <c r="I23" i="39"/>
  <c r="J96" i="50" s="1"/>
  <c r="D102" i="50"/>
  <c r="D28" i="50"/>
  <c r="I29" i="39"/>
  <c r="J102" i="50" s="1"/>
  <c r="AB29" i="39"/>
  <c r="D107" i="50"/>
  <c r="I34" i="39"/>
  <c r="J107" i="50" s="1"/>
  <c r="AB34" i="39"/>
  <c r="D33" i="50"/>
  <c r="K86" i="50"/>
  <c r="AC13" i="39"/>
  <c r="K91" i="50"/>
  <c r="AC18" i="39"/>
  <c r="K102" i="50"/>
  <c r="AC29" i="39"/>
  <c r="K107" i="50"/>
  <c r="AC34" i="39"/>
  <c r="E131" i="50"/>
  <c r="AN79" i="50"/>
  <c r="AG168" i="50"/>
  <c r="AG172" i="50"/>
  <c r="AN212" i="50"/>
  <c r="AL244" i="50"/>
  <c r="AN316" i="50"/>
  <c r="V317" i="50" s="1"/>
  <c r="B53" i="44" s="1"/>
  <c r="AN317" i="50"/>
  <c r="AL390" i="50"/>
  <c r="AM389" i="50" s="1"/>
  <c r="AN392" i="50"/>
  <c r="AN622" i="50"/>
  <c r="AC4" i="39"/>
  <c r="K77" i="50"/>
  <c r="K81" i="50"/>
  <c r="AC8" i="39"/>
  <c r="K85" i="50"/>
  <c r="AC12" i="39"/>
  <c r="K89" i="50"/>
  <c r="AC16" i="39"/>
  <c r="AC20" i="39"/>
  <c r="K93" i="50"/>
  <c r="K101" i="50"/>
  <c r="AC28" i="39"/>
  <c r="K105" i="50"/>
  <c r="AC32" i="39"/>
  <c r="AC36" i="39"/>
  <c r="K109" i="50"/>
  <c r="D90" i="50"/>
  <c r="D16" i="50"/>
  <c r="AB17" i="39"/>
  <c r="D106" i="50"/>
  <c r="D32" i="50"/>
  <c r="AB33" i="39"/>
  <c r="I33" i="39"/>
  <c r="J106" i="50" s="1"/>
  <c r="K90" i="50"/>
  <c r="AC17" i="39"/>
  <c r="K106" i="50"/>
  <c r="AC33" i="39"/>
  <c r="AN5" i="50"/>
  <c r="AN8" i="50"/>
  <c r="V9" i="50" s="1"/>
  <c r="B46" i="40" s="1"/>
  <c r="AN12" i="50"/>
  <c r="AN14" i="50"/>
  <c r="V15" i="50" s="1"/>
  <c r="B52" i="40" s="1"/>
  <c r="AN83" i="50"/>
  <c r="AN85" i="50"/>
  <c r="V86" i="50" s="1"/>
  <c r="B51" i="41" s="1"/>
  <c r="AN87" i="50"/>
  <c r="D82" i="50"/>
  <c r="D8" i="50"/>
  <c r="AB9" i="39"/>
  <c r="I9" i="39"/>
  <c r="J82" i="50" s="1"/>
  <c r="D87" i="50"/>
  <c r="D92" i="50"/>
  <c r="D18" i="50"/>
  <c r="I19" i="39"/>
  <c r="J92" i="50" s="1"/>
  <c r="AB19" i="39"/>
  <c r="D103" i="50"/>
  <c r="D108" i="50"/>
  <c r="D34" i="50"/>
  <c r="I35" i="39"/>
  <c r="J108" i="50" s="1"/>
  <c r="AB35" i="39"/>
  <c r="AC9" i="39"/>
  <c r="K82" i="50"/>
  <c r="K87" i="50"/>
  <c r="AC14" i="39"/>
  <c r="AC25" i="39"/>
  <c r="K98" i="50"/>
  <c r="K108" i="50"/>
  <c r="AC35" i="39"/>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I38" i="39"/>
  <c r="J111" i="50" s="1"/>
  <c r="AB38" i="39"/>
  <c r="AC11" i="39"/>
  <c r="K84" i="50"/>
  <c r="AC27" i="39"/>
  <c r="K100" i="50"/>
  <c r="K111" i="50"/>
  <c r="AC38" i="39"/>
  <c r="AM172" i="50"/>
  <c r="AN314" i="50"/>
  <c r="V315" i="50" s="1"/>
  <c r="B51" i="44" s="1"/>
  <c r="AG677" i="50"/>
  <c r="AL678" i="50"/>
  <c r="AM677" i="50" s="1"/>
  <c r="D98" i="50"/>
  <c r="D24" i="50"/>
  <c r="I25" i="39"/>
  <c r="J98" i="50" s="1"/>
  <c r="AB25" i="39"/>
  <c r="AC19" i="39"/>
  <c r="K92" i="50"/>
  <c r="AC30" i="39"/>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I5" i="39"/>
  <c r="J78" i="50" s="1"/>
  <c r="D4" i="50"/>
  <c r="AB5" i="39"/>
  <c r="D83" i="50"/>
  <c r="D88" i="50"/>
  <c r="D14" i="50"/>
  <c r="I15" i="39"/>
  <c r="J88" i="50" s="1"/>
  <c r="AB15" i="39"/>
  <c r="D94" i="50"/>
  <c r="I21" i="39"/>
  <c r="J94" i="50" s="1"/>
  <c r="D20" i="50"/>
  <c r="AB21" i="39"/>
  <c r="D99" i="50"/>
  <c r="D104" i="50"/>
  <c r="D30" i="50"/>
  <c r="I31" i="39"/>
  <c r="J104" i="50" s="1"/>
  <c r="D110" i="50"/>
  <c r="I37" i="39"/>
  <c r="J110" i="50" s="1"/>
  <c r="D36" i="50"/>
  <c r="AB37" i="39"/>
  <c r="K78" i="50"/>
  <c r="AC5" i="39"/>
  <c r="K83" i="50"/>
  <c r="AC10" i="39"/>
  <c r="K94" i="50"/>
  <c r="AC21" i="39"/>
  <c r="K99" i="50"/>
  <c r="AC26" i="39"/>
  <c r="K110" i="50"/>
  <c r="AC37" i="39"/>
  <c r="E121" i="50"/>
  <c r="E149" i="50"/>
  <c r="AN77" i="50"/>
  <c r="V78" i="50" s="1"/>
  <c r="AN78" i="50"/>
  <c r="AN80" i="50"/>
  <c r="AG164" i="50"/>
  <c r="AG173" i="50"/>
  <c r="AF175" i="50"/>
  <c r="AG203" i="50"/>
  <c r="AN204" i="50"/>
  <c r="AG207" i="50"/>
  <c r="AN245" i="50"/>
  <c r="AG319" i="50"/>
  <c r="AL319" i="50"/>
  <c r="AM318" i="50" s="1"/>
  <c r="AN383" i="50"/>
  <c r="AG391" i="50"/>
  <c r="AL391" i="50"/>
  <c r="AM466" i="50"/>
  <c r="AL467" i="50"/>
  <c r="AB31" i="39"/>
  <c r="D77" i="50"/>
  <c r="I4" i="39" s="1"/>
  <c r="D7" i="50"/>
  <c r="D81" i="50"/>
  <c r="I8" i="39"/>
  <c r="J81" i="50" s="1"/>
  <c r="AB8" i="39"/>
  <c r="D11" i="50"/>
  <c r="AB12" i="39"/>
  <c r="D85" i="50"/>
  <c r="I12" i="39"/>
  <c r="J85" i="50" s="1"/>
  <c r="D15" i="50"/>
  <c r="I16" i="39"/>
  <c r="J89" i="50" s="1"/>
  <c r="D89" i="50"/>
  <c r="D19" i="50"/>
  <c r="D93" i="50"/>
  <c r="I20" i="39"/>
  <c r="J93" i="50" s="1"/>
  <c r="AB20" i="39"/>
  <c r="D23" i="50"/>
  <c r="D97" i="50"/>
  <c r="D27" i="50"/>
  <c r="AB28" i="39"/>
  <c r="D101" i="50"/>
  <c r="I28" i="39"/>
  <c r="J101" i="50" s="1"/>
  <c r="D105" i="50"/>
  <c r="D31" i="50"/>
  <c r="I32" i="39"/>
  <c r="J105" i="50" s="1"/>
  <c r="AB32" i="39"/>
  <c r="D35" i="50"/>
  <c r="D109" i="50"/>
  <c r="I36" i="39"/>
  <c r="J109" i="50" s="1"/>
  <c r="AB36" i="39"/>
  <c r="E122" i="50"/>
  <c r="E130" i="50"/>
  <c r="E142" i="50"/>
  <c r="AB24" i="39"/>
  <c r="AB16" i="39"/>
  <c r="I24" i="39"/>
  <c r="J97" i="50" s="1"/>
  <c r="J11" i="51"/>
  <c r="K11" i="51" s="1"/>
  <c r="J15" i="51"/>
  <c r="K15" i="51" s="1"/>
  <c r="D14" i="39"/>
  <c r="D13" i="50" s="1"/>
  <c r="D30" i="39"/>
  <c r="E103" i="50" s="1"/>
  <c r="J8" i="51"/>
  <c r="K8" i="51" s="1"/>
  <c r="J20" i="51"/>
  <c r="K20" i="51" s="1"/>
  <c r="J36" i="51"/>
  <c r="K36" i="51" s="1"/>
  <c r="K24" i="51"/>
  <c r="K40" i="51"/>
  <c r="D11" i="39"/>
  <c r="E84" i="50" s="1"/>
  <c r="D10" i="39"/>
  <c r="I10" i="39" s="1"/>
  <c r="J83" i="50" s="1"/>
  <c r="D27" i="39"/>
  <c r="E100" i="50" s="1"/>
  <c r="D26" i="39"/>
  <c r="E99" i="50" s="1"/>
  <c r="K10" i="51"/>
  <c r="J14" i="51"/>
  <c r="K14" i="51" s="1"/>
  <c r="J22" i="51"/>
  <c r="K22" i="51" s="1"/>
  <c r="J30" i="51"/>
  <c r="K30" i="51" s="1"/>
  <c r="J38" i="51"/>
  <c r="K38" i="51" s="1"/>
  <c r="J18" i="51"/>
  <c r="K18" i="51" s="1"/>
  <c r="J34" i="51"/>
  <c r="K34" i="51" s="1"/>
  <c r="J19" i="51"/>
  <c r="K19" i="51" s="1"/>
  <c r="J35" i="51"/>
  <c r="K35" i="51" s="1"/>
  <c r="J12" i="51"/>
  <c r="K12" i="51" s="1"/>
  <c r="J28" i="51"/>
  <c r="K28" i="51" s="1"/>
  <c r="J7" i="51"/>
  <c r="K7" i="51" s="1"/>
  <c r="K16" i="51"/>
  <c r="K32" i="51"/>
  <c r="J33" i="51"/>
  <c r="K33" i="51"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G817"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N857" i="50" s="1"/>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N856"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V724" i="50" l="1"/>
  <c r="B45" i="49" s="1"/>
  <c r="V623" i="50"/>
  <c r="B44" i="48" s="1"/>
  <c r="W18" i="39"/>
  <c r="X18" i="39" s="1"/>
  <c r="L17" i="39"/>
  <c r="M17" i="39" s="1"/>
  <c r="I7" i="39"/>
  <c r="J80" i="50" s="1"/>
  <c r="AB7" i="39"/>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J152" i="50"/>
  <c r="J118" i="50"/>
  <c r="J133" i="50"/>
  <c r="J141" i="50"/>
  <c r="W13" i="39"/>
  <c r="X13" i="39" s="1"/>
  <c r="J140" i="50"/>
  <c r="W16" i="39"/>
  <c r="X16" i="39" s="1"/>
  <c r="W17" i="39"/>
  <c r="X17" i="39" s="1"/>
  <c r="Y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AB11" i="39"/>
  <c r="I26" i="39"/>
  <c r="J99" i="50" s="1"/>
  <c r="D17" i="50"/>
  <c r="L5" i="39"/>
  <c r="M5" i="39" s="1"/>
  <c r="L16" i="39"/>
  <c r="M16" i="39" s="1"/>
  <c r="L37" i="39"/>
  <c r="M37" i="39" s="1"/>
  <c r="D9" i="50"/>
  <c r="I18" i="39"/>
  <c r="J91" i="50" s="1"/>
  <c r="V168" i="50"/>
  <c r="B50" i="42" s="1"/>
  <c r="Z162" i="50"/>
  <c r="E44" i="42" s="1"/>
  <c r="W193" i="50"/>
  <c r="L13" i="39"/>
  <c r="M13" i="39" s="1"/>
  <c r="L38" i="39"/>
  <c r="L26" i="39"/>
  <c r="M26" i="39" s="1"/>
  <c r="L25" i="39"/>
  <c r="M25" i="39" s="1"/>
  <c r="L34" i="39"/>
  <c r="M34" i="39" s="1"/>
  <c r="L29" i="39"/>
  <c r="M29" i="39" s="1"/>
  <c r="L32" i="39"/>
  <c r="M32" i="39" s="1"/>
  <c r="L21" i="39"/>
  <c r="M21" i="39" s="1"/>
  <c r="L24" i="39"/>
  <c r="M24" i="39" s="1"/>
  <c r="L12" i="39"/>
  <c r="M12" i="39" s="1"/>
  <c r="L20" i="39"/>
  <c r="M20" i="39" s="1"/>
  <c r="L9" i="39"/>
  <c r="M9" i="39" s="1"/>
  <c r="Y9" i="39" s="1"/>
  <c r="L15" i="39"/>
  <c r="M15" i="39" s="1"/>
  <c r="L19" i="39"/>
  <c r="M19" i="39" s="1"/>
  <c r="L33" i="39"/>
  <c r="M33" i="39" s="1"/>
  <c r="L6" i="39"/>
  <c r="M6" i="39" s="1"/>
  <c r="D3" i="50"/>
  <c r="AB4" i="39" s="1"/>
  <c r="AE4" i="39" s="1"/>
  <c r="AF4" i="39" s="1"/>
  <c r="L31" i="39"/>
  <c r="M31" i="39" s="1"/>
  <c r="L36" i="39"/>
  <c r="M36" i="39" s="1"/>
  <c r="L8" i="39"/>
  <c r="M8" i="39" s="1"/>
  <c r="L23" i="39"/>
  <c r="M23" i="39" s="1"/>
  <c r="L28" i="39"/>
  <c r="M28" i="39" s="1"/>
  <c r="L35" i="39"/>
  <c r="M35" i="39" s="1"/>
  <c r="L22" i="39"/>
  <c r="M22" i="39" s="1"/>
  <c r="L10" i="39"/>
  <c r="M10" i="39" s="1"/>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L4" i="39" s="1"/>
  <c r="M4" i="39" s="1"/>
  <c r="V522" i="50"/>
  <c r="B43" i="47" s="1"/>
  <c r="AN466" i="50"/>
  <c r="V467" i="50" s="1"/>
  <c r="B55" i="46" s="1"/>
  <c r="AB27" i="39"/>
  <c r="AN733" i="50"/>
  <c r="V734" i="50" s="1"/>
  <c r="B55" i="49" s="1"/>
  <c r="V162" i="50"/>
  <c r="B44" i="42" s="1"/>
  <c r="X37" i="39"/>
  <c r="X21" i="39"/>
  <c r="J150" i="50"/>
  <c r="E83" i="50"/>
  <c r="AN391" i="50"/>
  <c r="D25" i="50"/>
  <c r="I27" i="39"/>
  <c r="I11" i="39"/>
  <c r="L11" i="39" s="1"/>
  <c r="D29" i="50"/>
  <c r="V307" i="50"/>
  <c r="B43" i="44" s="1"/>
  <c r="V231" i="50"/>
  <c r="B43" i="43" s="1"/>
  <c r="E87" i="50"/>
  <c r="X8" i="39"/>
  <c r="X194" i="50"/>
  <c r="V194" i="50" s="1"/>
  <c r="D43" i="42"/>
  <c r="AN172" i="50"/>
  <c r="AB30" i="39"/>
  <c r="AB14" i="39"/>
  <c r="AN389" i="50"/>
  <c r="V390" i="50" s="1"/>
  <c r="B55" i="45" s="1"/>
  <c r="V622" i="50"/>
  <c r="B43" i="48" s="1"/>
  <c r="Z7" i="50"/>
  <c r="E44" i="40" s="1"/>
  <c r="AN363" i="50"/>
  <c r="AN242" i="50"/>
  <c r="V243" i="50" s="1"/>
  <c r="B55" i="43" s="1"/>
  <c r="AN735" i="50"/>
  <c r="AG174" i="50"/>
  <c r="AL174" i="50"/>
  <c r="B43" i="41"/>
  <c r="W79" i="50"/>
  <c r="AB26" i="39"/>
  <c r="AB10" i="39"/>
  <c r="D26" i="50"/>
  <c r="D10" i="50"/>
  <c r="I30" i="39"/>
  <c r="L30" i="39" s="1"/>
  <c r="I14" i="39"/>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V810" i="50" s="1"/>
  <c r="AN805" i="50"/>
  <c r="V806" i="50" s="1"/>
  <c r="AN817" i="50"/>
  <c r="AN531" i="50"/>
  <c r="V532" i="50" s="1"/>
  <c r="B53" i="47" s="1"/>
  <c r="AN382" i="50"/>
  <c r="V383" i="50" s="1"/>
  <c r="B48" i="45" s="1"/>
  <c r="AN310" i="50"/>
  <c r="V311" i="50" s="1"/>
  <c r="B47" i="44" s="1"/>
  <c r="AN814" i="50"/>
  <c r="V815" i="50" s="1"/>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M38"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7" i="39"/>
  <c r="X15" i="39"/>
  <c r="X23" i="39"/>
  <c r="Y6" i="39" l="1"/>
  <c r="L7" i="39"/>
  <c r="M7" i="39" s="1"/>
  <c r="V807" i="50"/>
  <c r="V723" i="50"/>
  <c r="B44" i="49" s="1"/>
  <c r="Y32" i="39"/>
  <c r="Y33" i="39"/>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L18" i="39"/>
  <c r="M18" i="39" s="1"/>
  <c r="Y18" i="39" s="1"/>
  <c r="V173" i="50"/>
  <c r="B55" i="42" s="1"/>
  <c r="Y19" i="39"/>
  <c r="Y34" i="39"/>
  <c r="J100" i="50"/>
  <c r="L27" i="39"/>
  <c r="M27" i="39" s="1"/>
  <c r="Y27" i="39" s="1"/>
  <c r="W163" i="50"/>
  <c r="C45" i="42" s="1"/>
  <c r="J87" i="50"/>
  <c r="L14" i="39"/>
  <c r="M14" i="39" s="1"/>
  <c r="Y14" i="39" s="1"/>
  <c r="X6" i="50"/>
  <c r="Y4" i="39"/>
  <c r="H22" i="40"/>
  <c r="I22" i="40" s="1"/>
  <c r="W836" i="50"/>
  <c r="X804" i="50"/>
  <c r="F50" i="51" s="1"/>
  <c r="Y26" i="39"/>
  <c r="Y8" i="39"/>
  <c r="Y21" i="39"/>
  <c r="D43" i="47"/>
  <c r="V308" i="50"/>
  <c r="B44" i="44" s="1"/>
  <c r="D43" i="40"/>
  <c r="AA6" i="50"/>
  <c r="G43" i="40" s="1"/>
  <c r="J103" i="50"/>
  <c r="M30" i="39"/>
  <c r="Y30" i="39" s="1"/>
  <c r="AM173" i="50"/>
  <c r="AN174" i="50"/>
  <c r="V175" i="50" s="1"/>
  <c r="B57" i="42" s="1"/>
  <c r="W623" i="50"/>
  <c r="AA804" i="50"/>
  <c r="Z805" i="50"/>
  <c r="E51" i="51"/>
  <c r="Z308" i="50"/>
  <c r="E44" i="44" s="1"/>
  <c r="I8" i="43"/>
  <c r="I21" i="45"/>
  <c r="Y10" i="39"/>
  <c r="Z8" i="50"/>
  <c r="E45" i="40" s="1"/>
  <c r="C45" i="40"/>
  <c r="C44" i="43"/>
  <c r="I18" i="45"/>
  <c r="H22" i="47"/>
  <c r="I22" i="47" s="1"/>
  <c r="I20" i="48"/>
  <c r="C44" i="41"/>
  <c r="X78" i="50"/>
  <c r="W80" i="50"/>
  <c r="Z79" i="50"/>
  <c r="E44" i="41" s="1"/>
  <c r="W110" i="50"/>
  <c r="J84" i="50"/>
  <c r="M11" i="39"/>
  <c r="Y11" i="39" s="1"/>
  <c r="I14" i="42"/>
  <c r="H19" i="45"/>
  <c r="I20" i="45" s="1"/>
  <c r="Y22" i="39"/>
  <c r="I8" i="45"/>
  <c r="Y12" i="39"/>
  <c r="Y29" i="39"/>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X837" i="50"/>
  <c r="V837" i="50" s="1"/>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Y20" i="39"/>
  <c r="AN387" i="50"/>
  <c r="V388" i="50" s="1"/>
  <c r="B53" i="45" s="1"/>
  <c r="AM17" i="50"/>
  <c r="X39" i="50"/>
  <c r="V39" i="50" s="1"/>
  <c r="AN626" i="50"/>
  <c r="V627" i="50" s="1"/>
  <c r="B48" i="48" s="1"/>
  <c r="AN527" i="50"/>
  <c r="V528" i="50" s="1"/>
  <c r="B49" i="47" s="1"/>
  <c r="AN816" i="50"/>
  <c r="AN467" i="50"/>
  <c r="AM510" i="50"/>
  <c r="AN510" i="50" s="1"/>
  <c r="AN511" i="50"/>
  <c r="V469" i="50" s="1"/>
  <c r="B57" i="46" s="1"/>
  <c r="AM815" i="50"/>
  <c r="Y24" i="39"/>
  <c r="Y38" i="39"/>
  <c r="Y16" i="39"/>
  <c r="Y28" i="39"/>
  <c r="Y25" i="39"/>
  <c r="Y37" i="39"/>
  <c r="I15" i="41"/>
  <c r="Y5" i="39"/>
  <c r="H22" i="42"/>
  <c r="I22" i="42" s="1"/>
  <c r="Y13" i="39"/>
  <c r="I15" i="45"/>
  <c r="I12" i="41"/>
  <c r="H22" i="41"/>
  <c r="I22" i="41" s="1"/>
  <c r="I18" i="41"/>
  <c r="Y36" i="39"/>
  <c r="Y35" i="39"/>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Y7" i="39"/>
  <c r="Y31" i="39"/>
  <c r="Y23" i="39"/>
  <c r="Y15" i="39"/>
  <c r="Z523" i="50" l="1"/>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D36" i="37" s="1"/>
  <c r="Q77" i="35"/>
  <c r="Q54" i="35"/>
  <c r="Q37" i="35"/>
  <c r="J11" i="35"/>
  <c r="Q76" i="35"/>
  <c r="Q36" i="35"/>
  <c r="J73" i="35"/>
  <c r="P71" i="35"/>
  <c r="P58" i="35"/>
  <c r="Y75" i="35"/>
  <c r="D57" i="49" l="1"/>
  <c r="X741" i="50"/>
  <c r="V741" i="50" s="1"/>
  <c r="AA736" i="50"/>
  <c r="G57" i="49" s="1"/>
  <c r="D57" i="46"/>
  <c r="AA469" i="50"/>
  <c r="G57" i="46" s="1"/>
  <c r="X474" i="50"/>
  <c r="V474" i="50" s="1"/>
  <c r="D57" i="45"/>
  <c r="AA392" i="50"/>
  <c r="G57" i="45" s="1"/>
  <c r="X397" i="50"/>
  <c r="V397" i="50" s="1"/>
  <c r="W61" i="35"/>
  <c r="P75" i="35"/>
  <c r="X75" i="35"/>
  <c r="C42" i="38" s="1"/>
  <c r="V61" i="35"/>
  <c r="P28" i="35"/>
  <c r="Q44" i="35"/>
  <c r="Q74" i="35"/>
  <c r="D42" i="37" s="1"/>
  <c r="Y73" i="35"/>
  <c r="Q79" i="35"/>
  <c r="C45" i="37" s="1"/>
  <c r="J46" i="35"/>
  <c r="P11" i="35"/>
  <c r="J35" i="35"/>
  <c r="Q42" i="35"/>
  <c r="D26" i="37" s="1"/>
  <c r="W37" i="35"/>
  <c r="Q56" i="35"/>
  <c r="Z35" i="35"/>
  <c r="J37" i="35"/>
  <c r="P38" i="35"/>
  <c r="C24" i="37"/>
  <c r="Q75" i="35"/>
  <c r="P70" i="35"/>
  <c r="Q38" i="35"/>
  <c r="D24" i="37" s="1"/>
  <c r="J38" i="35"/>
  <c r="Z37" i="35"/>
  <c r="Z38" i="35"/>
  <c r="X37" i="35"/>
  <c r="AJ17" i="29" s="1"/>
  <c r="V37" i="35"/>
  <c r="J32" i="35"/>
  <c r="Y64" i="35"/>
  <c r="Q26" i="35"/>
  <c r="Q68" i="35"/>
  <c r="Q18" i="35"/>
  <c r="D14" i="37" s="1"/>
  <c r="Y63" i="35"/>
  <c r="V63" i="35"/>
  <c r="Y54" i="35"/>
  <c r="Q63" i="35"/>
  <c r="Q48" i="35"/>
  <c r="P64" i="35"/>
  <c r="X53" i="35"/>
  <c r="C31" i="38" s="1"/>
  <c r="Y53" i="35"/>
  <c r="W63" i="35"/>
  <c r="X63" i="35" s="1"/>
  <c r="AJ30" i="29" s="1"/>
  <c r="P16" i="35"/>
  <c r="P63" i="35"/>
  <c r="Z63" i="35"/>
  <c r="V53" i="35"/>
  <c r="J64" i="35"/>
  <c r="P66" i="35"/>
  <c r="P20" i="35"/>
  <c r="W75" i="35"/>
  <c r="X35" i="35"/>
  <c r="AJ16" i="29" s="1"/>
  <c r="V73" i="35"/>
  <c r="J75" i="35"/>
  <c r="Q35" i="35"/>
  <c r="P12" i="35"/>
  <c r="P74" i="35"/>
  <c r="Z61" i="35"/>
  <c r="J62" i="35"/>
  <c r="Z62" i="35"/>
  <c r="Q72" i="35"/>
  <c r="D41" i="37" s="1"/>
  <c r="W71" i="35"/>
  <c r="X71" i="35" s="1"/>
  <c r="C40" i="38" s="1"/>
  <c r="P24" i="35"/>
  <c r="Z74" i="35"/>
  <c r="X61" i="35"/>
  <c r="C35" i="38" s="1"/>
  <c r="Q61" i="35"/>
  <c r="C36" i="37" s="1"/>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J36" i="35"/>
  <c r="J76" i="35"/>
  <c r="P60" i="35"/>
  <c r="Y37" i="35"/>
  <c r="P37" i="35"/>
  <c r="P52" i="35"/>
  <c r="Q14" i="35"/>
  <c r="D12" i="37" s="1"/>
  <c r="Y38" i="35"/>
  <c r="P61" i="35"/>
  <c r="Z71" i="35"/>
  <c r="V71" i="35"/>
  <c r="P62" i="35"/>
  <c r="Y71" i="35"/>
  <c r="Q64" i="35"/>
  <c r="J63" i="35"/>
  <c r="Q32" i="35"/>
  <c r="D21" i="37" s="1"/>
  <c r="Y43" i="35"/>
  <c r="Q78" i="35"/>
  <c r="Z78" i="35"/>
  <c r="J77" i="35"/>
  <c r="X77" i="35"/>
  <c r="Y31" i="35"/>
  <c r="J31" i="35"/>
  <c r="W77" i="35"/>
  <c r="P78" i="35"/>
  <c r="V77" i="35"/>
  <c r="Y78" i="35"/>
  <c r="J78" i="35"/>
  <c r="Z77" i="35"/>
  <c r="Y77" i="35"/>
  <c r="P77" i="35"/>
  <c r="Z25" i="35"/>
  <c r="Z58" i="35"/>
  <c r="V57" i="35"/>
  <c r="Q57" i="35"/>
  <c r="Q28" i="35"/>
  <c r="D19" i="37" s="1"/>
  <c r="X79" i="35"/>
  <c r="AJ38" i="29" s="1"/>
  <c r="Z28" i="35"/>
  <c r="Q58" i="35"/>
  <c r="D34" i="37" s="1"/>
  <c r="Y57" i="35"/>
  <c r="J57" i="35"/>
  <c r="Z57" i="35"/>
  <c r="W57" i="35"/>
  <c r="J58" i="35"/>
  <c r="W79" i="35"/>
  <c r="Y58" i="35"/>
  <c r="X57" i="35"/>
  <c r="P57" i="35"/>
  <c r="W59" i="35"/>
  <c r="X59" i="35" s="1"/>
  <c r="W29" i="35"/>
  <c r="Q11" i="35"/>
  <c r="C44" i="37"/>
  <c r="AJ36" i="29"/>
  <c r="D43" i="37"/>
  <c r="C41" i="38"/>
  <c r="D32" i="37"/>
  <c r="D23" i="37"/>
  <c r="N34" i="29"/>
  <c r="K35" i="29"/>
  <c r="AA38" i="29"/>
  <c r="L24" i="29"/>
  <c r="AA14" i="29"/>
  <c r="AC26" i="29"/>
  <c r="L29" i="29"/>
  <c r="T23" i="29"/>
  <c r="K34" i="29"/>
  <c r="AD10" i="29"/>
  <c r="AA25" i="29"/>
  <c r="K6" i="29"/>
  <c r="I17" i="29"/>
  <c r="AB30" i="29"/>
  <c r="E25" i="29"/>
  <c r="S16" i="29"/>
  <c r="AD16" i="29"/>
  <c r="AA4" i="29"/>
  <c r="E23" i="29"/>
  <c r="B17" i="29"/>
  <c r="X6" i="29"/>
  <c r="J19" i="29"/>
  <c r="J31" i="29"/>
  <c r="N31" i="29"/>
  <c r="L11" i="29"/>
  <c r="K4" i="29"/>
  <c r="Z27" i="29"/>
  <c r="H25" i="29"/>
  <c r="AA28" i="29"/>
  <c r="H23" i="29"/>
  <c r="Z22" i="29"/>
  <c r="I8" i="29"/>
  <c r="L12" i="29"/>
  <c r="L16" i="29"/>
  <c r="M22" i="29"/>
  <c r="AB12" i="29"/>
  <c r="D19" i="29"/>
  <c r="AB11" i="29"/>
  <c r="Z8" i="29"/>
  <c r="K38" i="29"/>
  <c r="AD36" i="29"/>
  <c r="J8" i="29"/>
  <c r="AC13" i="29"/>
  <c r="AB18" i="29"/>
  <c r="E21" i="29"/>
  <c r="B37" i="29"/>
  <c r="M17" i="29"/>
  <c r="J33" i="29"/>
  <c r="U23" i="29"/>
  <c r="L25" i="29"/>
  <c r="N36" i="29"/>
  <c r="U17" i="29"/>
  <c r="M21" i="29"/>
  <c r="G24" i="29"/>
  <c r="J37" i="29"/>
  <c r="B23" i="29"/>
  <c r="Y6" i="29"/>
  <c r="H13" i="29"/>
  <c r="M28" i="29"/>
  <c r="H7" i="29"/>
  <c r="U19" i="29"/>
  <c r="AA16" i="29"/>
  <c r="M38" i="29"/>
  <c r="B14" i="29"/>
  <c r="AC5" i="29"/>
  <c r="AB16" i="29"/>
  <c r="G18" i="29"/>
  <c r="AD20" i="29"/>
  <c r="AD27" i="29"/>
  <c r="J32" i="29"/>
  <c r="D12" i="29"/>
  <c r="K13" i="29"/>
  <c r="H6" i="29"/>
  <c r="X15" i="29"/>
  <c r="G9" i="29"/>
  <c r="L38" i="29"/>
  <c r="I15" i="29"/>
  <c r="M31" i="29"/>
  <c r="B15" i="29"/>
  <c r="K37" i="29"/>
  <c r="K7" i="29"/>
  <c r="U16" i="29"/>
  <c r="AC36" i="29"/>
  <c r="X8" i="29"/>
  <c r="Z11" i="29"/>
  <c r="C26" i="29"/>
  <c r="F15" i="29"/>
  <c r="F11" i="29"/>
  <c r="AF16" i="29"/>
  <c r="AA37" i="29"/>
  <c r="AD5" i="29"/>
  <c r="X9" i="29"/>
  <c r="X23" i="29"/>
  <c r="J23" i="29"/>
  <c r="I10" i="29"/>
  <c r="X21" i="29"/>
  <c r="U6" i="29"/>
  <c r="X18" i="29"/>
  <c r="AD11" i="29"/>
  <c r="U15" i="29"/>
  <c r="E16" i="29"/>
  <c r="W10" i="29"/>
  <c r="X16" i="29"/>
  <c r="K15" i="29"/>
  <c r="N18" i="29"/>
  <c r="AD14" i="29"/>
  <c r="AB4" i="29"/>
  <c r="C7" i="29"/>
  <c r="G7" i="29"/>
  <c r="U5" i="29"/>
  <c r="U12" i="29"/>
  <c r="V6" i="29"/>
  <c r="K14" i="29"/>
  <c r="W22" i="29"/>
  <c r="S6" i="29"/>
  <c r="U9" i="29"/>
  <c r="AF23" i="29"/>
  <c r="W26" i="29"/>
  <c r="F20" i="29"/>
  <c r="AH16" i="29"/>
  <c r="N25" i="29"/>
  <c r="X19" i="29"/>
  <c r="L6" i="29"/>
  <c r="D20" i="29"/>
  <c r="AD4" i="29"/>
  <c r="U20" i="29"/>
  <c r="N32" i="29"/>
  <c r="B24" i="29"/>
  <c r="H18" i="29"/>
  <c r="L28" i="29"/>
  <c r="G4" i="29"/>
  <c r="M20" i="29"/>
  <c r="M29" i="29"/>
  <c r="Z28" i="29"/>
  <c r="W12" i="29"/>
  <c r="N17" i="29"/>
  <c r="H20" i="29"/>
  <c r="K16" i="29"/>
  <c r="D4" i="29"/>
  <c r="AB10" i="29"/>
  <c r="K19" i="29"/>
  <c r="AB6" i="29"/>
  <c r="B25" i="29"/>
  <c r="K29" i="29"/>
  <c r="AC35" i="29"/>
  <c r="Z7" i="29"/>
  <c r="B34" i="29"/>
  <c r="J29" i="29"/>
  <c r="S23" i="29"/>
  <c r="C22" i="29"/>
  <c r="W23" i="29"/>
  <c r="AA35" i="29"/>
  <c r="AB23" i="29"/>
  <c r="AA32" i="29"/>
  <c r="D5" i="29"/>
  <c r="G23" i="29"/>
  <c r="M36" i="29"/>
  <c r="L17" i="29"/>
  <c r="J11" i="29"/>
  <c r="Z14" i="29"/>
  <c r="W18" i="29"/>
  <c r="J10" i="29"/>
  <c r="W16" i="29"/>
  <c r="D23" i="29"/>
  <c r="X17" i="29"/>
  <c r="J18" i="29"/>
  <c r="K11" i="29"/>
  <c r="Z9" i="29"/>
  <c r="X7" i="29"/>
  <c r="AD25" i="29"/>
  <c r="F25" i="29"/>
  <c r="AB17" i="29"/>
  <c r="Z26" i="29"/>
  <c r="AA6" i="29"/>
  <c r="AC28" i="29"/>
  <c r="W6" i="29"/>
  <c r="E12" i="29"/>
  <c r="AC32" i="29"/>
  <c r="Z37" i="29"/>
  <c r="AA18" i="29"/>
  <c r="Z29" i="29"/>
  <c r="U10" i="29"/>
  <c r="B29" i="29"/>
  <c r="W25" i="29"/>
  <c r="AC7" i="29"/>
  <c r="J25" i="29"/>
  <c r="E6" i="29"/>
  <c r="D13" i="29"/>
  <c r="M24" i="29"/>
  <c r="J36" i="29"/>
  <c r="B26" i="29"/>
  <c r="Z17" i="29"/>
  <c r="D14" i="29"/>
  <c r="X22" i="29"/>
  <c r="K18" i="29"/>
  <c r="T19" i="29"/>
  <c r="W8" i="29"/>
  <c r="AC37" i="29"/>
  <c r="E14" i="29"/>
  <c r="AD29" i="29"/>
  <c r="X10" i="29"/>
  <c r="M37" i="29"/>
  <c r="AB9" i="29"/>
  <c r="AD9" i="29"/>
  <c r="U24" i="29"/>
  <c r="M5" i="29"/>
  <c r="AD7" i="29"/>
  <c r="AB32" i="29"/>
  <c r="I14" i="29"/>
  <c r="B9" i="29"/>
  <c r="AA5" i="29"/>
  <c r="K27" i="29"/>
  <c r="AE6" i="29"/>
  <c r="T11" i="29"/>
  <c r="Y20" i="29"/>
  <c r="G26" i="29"/>
  <c r="AA21" i="29"/>
  <c r="B22" i="29"/>
  <c r="AC14" i="29"/>
  <c r="L22" i="29"/>
  <c r="I19" i="29"/>
  <c r="B18" i="29"/>
  <c r="M30" i="29"/>
  <c r="Z5" i="29"/>
  <c r="AB24" i="29"/>
  <c r="V23" i="29"/>
  <c r="AC25" i="29"/>
  <c r="L20" i="29"/>
  <c r="M23" i="29"/>
  <c r="J27" i="29"/>
  <c r="X12" i="29"/>
  <c r="AC30" i="29"/>
  <c r="E11" i="29"/>
  <c r="N15" i="29"/>
  <c r="AA27" i="29"/>
  <c r="Z36" i="29"/>
  <c r="I23" i="29"/>
  <c r="N28" i="29"/>
  <c r="B38" i="29"/>
  <c r="Z24" i="29"/>
  <c r="B7" i="29"/>
  <c r="J17" i="29"/>
  <c r="L15" i="29"/>
  <c r="B4" i="29"/>
  <c r="F21" i="29"/>
  <c r="AH14" i="29"/>
  <c r="F4" i="29"/>
  <c r="D6" i="29"/>
  <c r="AA9" i="29"/>
  <c r="L34" i="29"/>
  <c r="Z20" i="29"/>
  <c r="L31" i="29"/>
  <c r="AB33" i="29"/>
  <c r="AC12" i="29"/>
  <c r="H15" i="29"/>
  <c r="K33" i="29"/>
  <c r="AC18" i="29"/>
  <c r="AB31" i="29"/>
  <c r="X4" i="29"/>
  <c r="G17" i="29"/>
  <c r="AB14" i="29"/>
  <c r="L4" i="29"/>
  <c r="AA11" i="29"/>
  <c r="B11" i="29"/>
  <c r="L14" i="29"/>
  <c r="AB34" i="29"/>
  <c r="Z15" i="29"/>
  <c r="AD38" i="29"/>
  <c r="AC27" i="29"/>
  <c r="AA17" i="29"/>
  <c r="I21" i="29"/>
  <c r="L27" i="29"/>
  <c r="J15" i="29"/>
  <c r="I6" i="29"/>
  <c r="N10" i="29"/>
  <c r="M4" i="29"/>
  <c r="G19" i="29"/>
  <c r="X11" i="29"/>
  <c r="E19" i="29"/>
  <c r="Z30" i="29"/>
  <c r="M6" i="29"/>
  <c r="AD34" i="29"/>
  <c r="U11" i="29"/>
  <c r="W5" i="29"/>
  <c r="AB15" i="29"/>
  <c r="N38" i="29"/>
  <c r="Z25" i="29"/>
  <c r="N23" i="29"/>
  <c r="AC29" i="29"/>
  <c r="AA19" i="29"/>
  <c r="AA12" i="29"/>
  <c r="E5" i="29"/>
  <c r="AD6" i="29"/>
  <c r="S14" i="29"/>
  <c r="Y16" i="29"/>
  <c r="H14" i="29"/>
  <c r="F19" i="29"/>
  <c r="AE14" i="29"/>
  <c r="M14" i="29"/>
  <c r="H11" i="29"/>
  <c r="J12" i="29"/>
  <c r="D25" i="29"/>
  <c r="I22" i="29"/>
  <c r="Z19" i="29"/>
  <c r="AD26" i="29"/>
  <c r="I12" i="29"/>
  <c r="B36" i="29"/>
  <c r="AD12" i="29"/>
  <c r="T14" i="29"/>
  <c r="N22" i="29"/>
  <c r="AC8" i="29"/>
  <c r="I20" i="29"/>
  <c r="F22" i="29"/>
  <c r="K21" i="29"/>
  <c r="AB22" i="29"/>
  <c r="AC23" i="29"/>
  <c r="J35" i="29"/>
  <c r="B10" i="29"/>
  <c r="AC10" i="29"/>
  <c r="N6" i="29"/>
  <c r="AB29" i="29"/>
  <c r="B33" i="29"/>
  <c r="M10" i="29"/>
  <c r="AB8" i="29"/>
  <c r="T12" i="29"/>
  <c r="Y22" i="29"/>
  <c r="E15" i="29"/>
  <c r="J22" i="29"/>
  <c r="AB7" i="29"/>
  <c r="I9" i="29"/>
  <c r="W13" i="29"/>
  <c r="W14" i="29"/>
  <c r="AA23" i="29"/>
  <c r="V4" i="29"/>
  <c r="I26" i="29"/>
  <c r="U22" i="29"/>
  <c r="H8" i="29"/>
  <c r="W19" i="29"/>
  <c r="AC33" i="29"/>
  <c r="D18" i="29"/>
  <c r="L26" i="29"/>
  <c r="AA34" i="29"/>
  <c r="Y5" i="29"/>
  <c r="F13" i="29"/>
  <c r="I11" i="29"/>
  <c r="E10" i="29"/>
  <c r="N27" i="29"/>
  <c r="AB19" i="29"/>
  <c r="T20" i="29"/>
  <c r="Y18" i="29"/>
  <c r="Y7" i="29"/>
  <c r="U25" i="29"/>
  <c r="AH7" i="29"/>
  <c r="U18" i="29"/>
  <c r="N5" i="29"/>
  <c r="J16" i="29"/>
  <c r="J30" i="29"/>
  <c r="H10" i="29"/>
  <c r="H24" i="29"/>
  <c r="B13" i="29"/>
  <c r="C20" i="29"/>
  <c r="AA22" i="29"/>
  <c r="W11" i="29"/>
  <c r="AC6" i="29"/>
  <c r="G22" i="29"/>
  <c r="K10" i="29"/>
  <c r="C11" i="29"/>
  <c r="D22" i="29"/>
  <c r="G10" i="29"/>
  <c r="D9" i="29"/>
  <c r="Y12" i="29"/>
  <c r="AD28" i="29"/>
  <c r="K8" i="29"/>
  <c r="Y14" i="29"/>
  <c r="J14" i="29"/>
  <c r="H22" i="29"/>
  <c r="L19" i="29"/>
  <c r="E7" i="29"/>
  <c r="M16" i="29"/>
  <c r="L36" i="29"/>
  <c r="AC24" i="29"/>
  <c r="Z38" i="29"/>
  <c r="AA15" i="29"/>
  <c r="N14" i="29"/>
  <c r="AD30" i="29"/>
  <c r="Z21" i="29"/>
  <c r="H9" i="29"/>
  <c r="J21" i="29"/>
  <c r="AB37" i="29"/>
  <c r="M35" i="29"/>
  <c r="K30" i="29"/>
  <c r="AA7" i="29"/>
  <c r="AA31" i="29"/>
  <c r="L5" i="29"/>
  <c r="N29" i="29"/>
  <c r="H17" i="29"/>
  <c r="V24" i="29"/>
  <c r="E22" i="29"/>
  <c r="K5" i="29"/>
  <c r="K36" i="29"/>
  <c r="E24" i="29"/>
  <c r="D11" i="29"/>
  <c r="J5" i="29"/>
  <c r="W17" i="29"/>
  <c r="B27" i="29"/>
  <c r="M11" i="29"/>
  <c r="K17" i="29"/>
  <c r="U13" i="29"/>
  <c r="L7" i="29"/>
  <c r="AC16" i="29"/>
  <c r="B5" i="29"/>
  <c r="AB13" i="29"/>
  <c r="AD22" i="29"/>
  <c r="B21" i="29"/>
  <c r="Z12" i="29"/>
  <c r="N21" i="29"/>
  <c r="Z33" i="29"/>
  <c r="AC19" i="29"/>
  <c r="T16" i="29"/>
  <c r="B8" i="29"/>
  <c r="K20" i="29"/>
  <c r="Z6" i="29"/>
  <c r="K28" i="29"/>
  <c r="F23" i="29"/>
  <c r="X13" i="29"/>
  <c r="Y19" i="29"/>
  <c r="N24" i="29"/>
  <c r="AA24" i="29"/>
  <c r="K24" i="29"/>
  <c r="K25" i="29"/>
  <c r="AC15" i="29"/>
  <c r="G11" i="29"/>
  <c r="H21" i="29"/>
  <c r="D24" i="29"/>
  <c r="AD19" i="29"/>
  <c r="AB26" i="29"/>
  <c r="AB28" i="29"/>
  <c r="AD33" i="29"/>
  <c r="AG23" i="29"/>
  <c r="F26" i="29"/>
  <c r="G20" i="29"/>
  <c r="W4" i="29"/>
  <c r="AD35" i="29"/>
  <c r="M33" i="29"/>
  <c r="I5" i="29"/>
  <c r="X20" i="29"/>
  <c r="AA30" i="29"/>
  <c r="AC31" i="29"/>
  <c r="AA10" i="29"/>
  <c r="Z34" i="29"/>
  <c r="AB21" i="29"/>
  <c r="Y25" i="29"/>
  <c r="AD37" i="29"/>
  <c r="G8" i="29"/>
  <c r="M26" i="29"/>
  <c r="B32" i="29"/>
  <c r="F17" i="29"/>
  <c r="I24" i="29"/>
  <c r="J38" i="29"/>
  <c r="I13" i="29"/>
  <c r="H5" i="29"/>
  <c r="AC9" i="29"/>
  <c r="AD24" i="29"/>
  <c r="B6" i="29"/>
  <c r="AD15" i="29"/>
  <c r="AA13" i="29"/>
  <c r="M15" i="29"/>
  <c r="U21" i="29"/>
  <c r="N33" i="29"/>
  <c r="E26" i="29"/>
  <c r="H16" i="29"/>
  <c r="AD13" i="29"/>
  <c r="U7" i="29"/>
  <c r="I7" i="29"/>
  <c r="U26" i="29"/>
  <c r="G25" i="29"/>
  <c r="D21" i="29"/>
  <c r="AB20" i="29"/>
  <c r="J34" i="29"/>
  <c r="AG6" i="29"/>
  <c r="L32" i="29"/>
  <c r="U8" i="29"/>
  <c r="W21" i="29"/>
  <c r="L23" i="29"/>
  <c r="AB38" i="29"/>
  <c r="N4" i="29"/>
  <c r="F16" i="29"/>
  <c r="AB36" i="29"/>
  <c r="J24" i="29"/>
  <c r="W24" i="29"/>
  <c r="G15" i="29"/>
  <c r="E17" i="29"/>
  <c r="X24" i="29"/>
  <c r="AC22" i="29"/>
  <c r="J4" i="29"/>
  <c r="N16" i="29"/>
  <c r="J7" i="29"/>
  <c r="L13" i="29"/>
  <c r="V16" i="29"/>
  <c r="U4" i="29"/>
  <c r="M8" i="29"/>
  <c r="AC4" i="29"/>
  <c r="Z35" i="29"/>
  <c r="E20" i="29"/>
  <c r="AB27" i="29"/>
  <c r="K31" i="29"/>
  <c r="AD18" i="29"/>
  <c r="L30" i="29"/>
  <c r="AC20" i="29"/>
  <c r="E9" i="29"/>
  <c r="B30" i="29"/>
  <c r="K26" i="29"/>
  <c r="K9" i="29"/>
  <c r="AD32" i="29"/>
  <c r="AA33" i="29"/>
  <c r="O7" i="29"/>
  <c r="D10" i="29"/>
  <c r="G6" i="29"/>
  <c r="J28" i="29"/>
  <c r="N35" i="29"/>
  <c r="N7" i="29"/>
  <c r="K32" i="29"/>
  <c r="B28" i="29"/>
  <c r="AF7" i="29"/>
  <c r="L9" i="29"/>
  <c r="K12" i="29"/>
  <c r="M7" i="29"/>
  <c r="X5" i="29"/>
  <c r="J9" i="29"/>
  <c r="AF6" i="29"/>
  <c r="B35" i="29"/>
  <c r="Y23" i="29"/>
  <c r="AA36" i="29"/>
  <c r="AA20" i="29"/>
  <c r="Y24" i="29"/>
  <c r="L37" i="29"/>
  <c r="C8" i="29"/>
  <c r="AC21" i="29"/>
  <c r="AG14" i="29"/>
  <c r="AA26" i="29"/>
  <c r="N20" i="29"/>
  <c r="H19" i="29"/>
  <c r="Z23" i="29"/>
  <c r="F24" i="29"/>
  <c r="M19" i="29"/>
  <c r="I4" i="29"/>
  <c r="G13" i="29"/>
  <c r="K23" i="29"/>
  <c r="V14" i="29"/>
  <c r="N26" i="29"/>
  <c r="Z18" i="29"/>
  <c r="L10" i="29"/>
  <c r="AG16" i="29"/>
  <c r="V7" i="29"/>
  <c r="AC11" i="29"/>
  <c r="G14" i="29"/>
  <c r="M32" i="29"/>
  <c r="D15" i="29"/>
  <c r="B16" i="29"/>
  <c r="M13" i="29"/>
  <c r="T26" i="29"/>
  <c r="N30" i="29"/>
  <c r="AB35" i="29"/>
  <c r="L8" i="29"/>
  <c r="L21" i="29"/>
  <c r="W15" i="29"/>
  <c r="AH6" i="29"/>
  <c r="T18" i="29"/>
  <c r="S7" i="29"/>
  <c r="N13" i="29"/>
  <c r="J26" i="29"/>
  <c r="L33" i="29"/>
  <c r="B31" i="29"/>
  <c r="Z31" i="29"/>
  <c r="W7" i="29"/>
  <c r="AE16" i="29"/>
  <c r="AA29" i="29"/>
  <c r="H12" i="29"/>
  <c r="G21" i="29"/>
  <c r="D8" i="29"/>
  <c r="N11" i="29"/>
  <c r="I25" i="29"/>
  <c r="K22" i="29"/>
  <c r="X14" i="29"/>
  <c r="D17" i="29"/>
  <c r="I16" i="29"/>
  <c r="T22" i="29"/>
  <c r="W20" i="29"/>
  <c r="J6" i="29"/>
  <c r="J13" i="29"/>
  <c r="D7" i="29"/>
  <c r="AD31" i="29"/>
  <c r="AA8" i="29"/>
  <c r="B19" i="29"/>
  <c r="AC38" i="29"/>
  <c r="E4" i="29"/>
  <c r="G5" i="29"/>
  <c r="Z16" i="29"/>
  <c r="I18" i="29"/>
  <c r="F18" i="29"/>
  <c r="AE7" i="29"/>
  <c r="H4" i="29"/>
  <c r="AF14" i="29"/>
  <c r="G12" i="29"/>
  <c r="N19" i="29"/>
  <c r="B20" i="29"/>
  <c r="E13" i="29"/>
  <c r="B12" i="29"/>
  <c r="M18" i="29"/>
  <c r="D26" i="29"/>
  <c r="C16" i="29"/>
  <c r="H26" i="29"/>
  <c r="AB25" i="29"/>
  <c r="AB5" i="29"/>
  <c r="G16" i="29"/>
  <c r="AD8" i="29"/>
  <c r="M12" i="29"/>
  <c r="AC34" i="29"/>
  <c r="E8" i="29"/>
  <c r="M25" i="29"/>
  <c r="E18" i="29"/>
  <c r="Y4" i="29"/>
  <c r="Z4" i="29"/>
  <c r="N12" i="29"/>
  <c r="J20" i="29"/>
  <c r="N37" i="29"/>
  <c r="Y9" i="29"/>
  <c r="M9" i="29"/>
  <c r="T6" i="29"/>
  <c r="AE23" i="29"/>
  <c r="M34" i="29"/>
  <c r="AD17" i="29"/>
  <c r="AC17" i="29"/>
  <c r="N8" i="29"/>
  <c r="U14" i="29"/>
  <c r="F12" i="29"/>
  <c r="X25" i="29"/>
  <c r="L35" i="29"/>
  <c r="F8" i="29"/>
  <c r="W9" i="29"/>
  <c r="AH23" i="29"/>
  <c r="L18" i="29"/>
  <c r="M27" i="29"/>
  <c r="Z10" i="29"/>
  <c r="X26" i="29"/>
  <c r="Z13" i="29"/>
  <c r="AD21" i="29"/>
  <c r="AG7" i="29"/>
  <c r="T7" i="29"/>
  <c r="N9" i="29"/>
  <c r="AD23" i="29"/>
  <c r="Z32" i="29"/>
  <c r="D27" i="29"/>
  <c r="T27" i="29"/>
  <c r="O11" i="29"/>
  <c r="P25" i="29"/>
  <c r="U27" i="29"/>
  <c r="P13" i="29"/>
  <c r="G27" i="29"/>
  <c r="P11" i="29"/>
  <c r="P16" i="29"/>
  <c r="H27" i="29"/>
  <c r="X27" i="29"/>
  <c r="P17" i="29"/>
  <c r="E27" i="29"/>
  <c r="P22" i="29"/>
  <c r="Y27" i="29"/>
  <c r="AF24" i="29"/>
  <c r="P8" i="29"/>
  <c r="P12" i="29"/>
  <c r="O20" i="29"/>
  <c r="F27" i="29"/>
  <c r="O8" i="29"/>
  <c r="I27" i="29"/>
  <c r="P19" i="29"/>
  <c r="P20" i="29"/>
  <c r="P26" i="29"/>
  <c r="P15" i="29"/>
  <c r="P18" i="29"/>
  <c r="P4" i="29"/>
  <c r="O22" i="29"/>
  <c r="P21" i="29"/>
  <c r="P23" i="29"/>
  <c r="W27" i="29"/>
  <c r="Q12" i="35" l="1"/>
  <c r="R12" i="35" s="1"/>
  <c r="R11" i="35"/>
  <c r="G6" i="51" s="1"/>
  <c r="F6" i="51"/>
  <c r="C10" i="38"/>
  <c r="H6" i="51"/>
  <c r="H41" i="51" s="1"/>
  <c r="P44" i="35"/>
  <c r="W43" i="35"/>
  <c r="X43" i="35" s="1"/>
  <c r="D27" i="37"/>
  <c r="J70" i="35"/>
  <c r="J80" i="35"/>
  <c r="Z56" i="35"/>
  <c r="J56" i="35"/>
  <c r="Y70" i="35"/>
  <c r="J43" i="35"/>
  <c r="Y19" i="35"/>
  <c r="P19" i="35"/>
  <c r="Z43" i="35"/>
  <c r="V19" i="35"/>
  <c r="Q80" i="35"/>
  <c r="D45" i="37" s="1"/>
  <c r="Q17" i="35"/>
  <c r="C14" i="37" s="1"/>
  <c r="J19" i="35"/>
  <c r="J79" i="35"/>
  <c r="Y44" i="35"/>
  <c r="J44" i="35"/>
  <c r="P43" i="35"/>
  <c r="Y80" i="35"/>
  <c r="P79" i="35"/>
  <c r="Z79" i="35"/>
  <c r="W45" i="35"/>
  <c r="X45" i="35" s="1"/>
  <c r="AJ21" i="29" s="1"/>
  <c r="J45" i="35"/>
  <c r="W17" i="35"/>
  <c r="Y20" i="35"/>
  <c r="Z55" i="35"/>
  <c r="Q20" i="35"/>
  <c r="D15" i="37" s="1"/>
  <c r="Q43" i="35"/>
  <c r="E27" i="37" s="1"/>
  <c r="V43" i="35"/>
  <c r="Z44" i="35"/>
  <c r="J39" i="35"/>
  <c r="Y27" i="35"/>
  <c r="Q27" i="35"/>
  <c r="C19" i="37" s="1"/>
  <c r="X27" i="35"/>
  <c r="AJ12" i="29" s="1"/>
  <c r="J66" i="35"/>
  <c r="J65" i="35"/>
  <c r="Y42" i="35"/>
  <c r="J28" i="35"/>
  <c r="Z27" i="35"/>
  <c r="P27" i="35"/>
  <c r="C42" i="37"/>
  <c r="C22" i="38"/>
  <c r="C32" i="37"/>
  <c r="J27" i="35"/>
  <c r="Y28" i="35"/>
  <c r="V27" i="35"/>
  <c r="V79" i="35"/>
  <c r="W27" i="35"/>
  <c r="Y79" i="35"/>
  <c r="V17" i="35"/>
  <c r="Z80" i="35"/>
  <c r="P69" i="35"/>
  <c r="C23" i="38"/>
  <c r="X69" i="35"/>
  <c r="V25" i="35"/>
  <c r="P80" i="35"/>
  <c r="P41" i="35"/>
  <c r="J42" i="35"/>
  <c r="Z59" i="35"/>
  <c r="Q65" i="35"/>
  <c r="Y25" i="35"/>
  <c r="Y55" i="35"/>
  <c r="P55" i="35"/>
  <c r="W65" i="35"/>
  <c r="X65" i="35" s="1"/>
  <c r="W55" i="35"/>
  <c r="Y69" i="35"/>
  <c r="P18" i="35"/>
  <c r="Z65" i="35"/>
  <c r="D33" i="37"/>
  <c r="D18" i="37"/>
  <c r="P30" i="35"/>
  <c r="Y60" i="35"/>
  <c r="Q46" i="35"/>
  <c r="D28" i="37" s="1"/>
  <c r="P29" i="35"/>
  <c r="J18" i="35"/>
  <c r="J17" i="35"/>
  <c r="P45" i="35"/>
  <c r="J26" i="35"/>
  <c r="Z70" i="35"/>
  <c r="Q66" i="35"/>
  <c r="J25" i="35"/>
  <c r="Y26" i="35"/>
  <c r="V65" i="35"/>
  <c r="P56" i="35"/>
  <c r="P65" i="35"/>
  <c r="Z26" i="35"/>
  <c r="Z17" i="35"/>
  <c r="V55" i="35"/>
  <c r="Z66" i="35"/>
  <c r="W25" i="35"/>
  <c r="E43" i="37"/>
  <c r="D39" i="37"/>
  <c r="J29" i="35"/>
  <c r="C36" i="38"/>
  <c r="Q70" i="35"/>
  <c r="P46" i="35"/>
  <c r="Q45" i="35"/>
  <c r="C28" i="37" s="1"/>
  <c r="Q21" i="35"/>
  <c r="Y18" i="35"/>
  <c r="X17" i="35"/>
  <c r="J55" i="35"/>
  <c r="Y66" i="35"/>
  <c r="Q69" i="35"/>
  <c r="C40" i="37" s="1"/>
  <c r="X25" i="35"/>
  <c r="C17" i="38" s="1"/>
  <c r="W69" i="35"/>
  <c r="V67" i="35"/>
  <c r="P26" i="35"/>
  <c r="J69" i="35"/>
  <c r="Z69" i="35"/>
  <c r="Y56" i="35"/>
  <c r="X33" i="35"/>
  <c r="Q55" i="35"/>
  <c r="C33" i="37" s="1"/>
  <c r="P25" i="35"/>
  <c r="X55" i="35"/>
  <c r="C32" i="38" s="1"/>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AJ19" i="29" s="1"/>
  <c r="Q41" i="35"/>
  <c r="Z42" i="35"/>
  <c r="Z41" i="35"/>
  <c r="P13" i="35"/>
  <c r="P42" i="35"/>
  <c r="X67" i="35"/>
  <c r="C38" i="38" s="1"/>
  <c r="Z68" i="35"/>
  <c r="P32" i="35"/>
  <c r="X31" i="35"/>
  <c r="C20" i="38" s="1"/>
  <c r="Z31" i="35"/>
  <c r="Z32" i="35"/>
  <c r="X51" i="35"/>
  <c r="C30" i="38" s="1"/>
  <c r="J67" i="35"/>
  <c r="P67" i="35"/>
  <c r="Z67" i="35"/>
  <c r="Q67" i="35"/>
  <c r="Y24" i="35"/>
  <c r="P47" i="35"/>
  <c r="J68" i="35"/>
  <c r="Y68" i="35"/>
  <c r="Z16" i="35"/>
  <c r="J51" i="35"/>
  <c r="X15" i="35"/>
  <c r="Q15" i="35"/>
  <c r="W67" i="35"/>
  <c r="P68" i="35"/>
  <c r="AJ34" i="29"/>
  <c r="Y67" i="35"/>
  <c r="P48" i="35"/>
  <c r="Q23" i="35"/>
  <c r="J23" i="35"/>
  <c r="J47" i="35"/>
  <c r="AJ20" i="29"/>
  <c r="D29" i="37"/>
  <c r="V51" i="35"/>
  <c r="Q51" i="35"/>
  <c r="C31" i="37" s="1"/>
  <c r="J15" i="35"/>
  <c r="Q16" i="35"/>
  <c r="D13" i="37" s="1"/>
  <c r="Z15" i="35"/>
  <c r="J33" i="35"/>
  <c r="P23" i="35"/>
  <c r="Q24" i="35"/>
  <c r="D17" i="37" s="1"/>
  <c r="Z24" i="35"/>
  <c r="Z47" i="35"/>
  <c r="X47" i="35"/>
  <c r="AJ22" i="29" s="1"/>
  <c r="V47" i="35"/>
  <c r="Q52" i="35"/>
  <c r="D31" i="37" s="1"/>
  <c r="P15" i="35"/>
  <c r="V23" i="35"/>
  <c r="Z23" i="35"/>
  <c r="Y47" i="35"/>
  <c r="W47" i="35"/>
  <c r="AJ25" i="29"/>
  <c r="Y52" i="35"/>
  <c r="W15" i="35"/>
  <c r="V15" i="35"/>
  <c r="Z33" i="35"/>
  <c r="W23" i="35"/>
  <c r="J24" i="35"/>
  <c r="X23" i="35"/>
  <c r="AJ10" i="29" s="1"/>
  <c r="Q47" i="35"/>
  <c r="Z48" i="35"/>
  <c r="J48" i="35"/>
  <c r="W33" i="35"/>
  <c r="Z29" i="35"/>
  <c r="Z60" i="35"/>
  <c r="W19" i="35"/>
  <c r="X19" i="35"/>
  <c r="AJ8" i="29" s="1"/>
  <c r="Z20" i="35"/>
  <c r="Y34" i="35"/>
  <c r="AJ29" i="29"/>
  <c r="Z34" i="35"/>
  <c r="V33" i="35"/>
  <c r="Q34" i="35"/>
  <c r="D22" i="37" s="1"/>
  <c r="AJ35" i="29"/>
  <c r="E23" i="37"/>
  <c r="V29" i="35"/>
  <c r="X29" i="35"/>
  <c r="C19" i="38" s="1"/>
  <c r="J59" i="35"/>
  <c r="J60" i="35"/>
  <c r="J20" i="35"/>
  <c r="Q29" i="35"/>
  <c r="C20" i="37" s="1"/>
  <c r="Q19" i="35"/>
  <c r="Z19" i="35"/>
  <c r="P34" i="35"/>
  <c r="P33" i="35"/>
  <c r="Q33" i="35"/>
  <c r="J34" i="35"/>
  <c r="AJ4" i="29"/>
  <c r="E32" i="37"/>
  <c r="C23" i="37"/>
  <c r="Q30" i="35"/>
  <c r="Y51" i="35"/>
  <c r="P51" i="35"/>
  <c r="Z51" i="35"/>
  <c r="W51" i="35"/>
  <c r="Y29" i="35"/>
  <c r="Z52" i="35"/>
  <c r="Y30" i="35"/>
  <c r="V59" i="35"/>
  <c r="J52" i="35"/>
  <c r="Y59" i="35"/>
  <c r="P59" i="35"/>
  <c r="Q60" i="35"/>
  <c r="Q59" i="35"/>
  <c r="C35" i="37" s="1"/>
  <c r="Z30" i="35"/>
  <c r="E42" i="37"/>
  <c r="Z39" i="35"/>
  <c r="P14" i="35"/>
  <c r="V13" i="35"/>
  <c r="J13" i="35"/>
  <c r="Q22" i="35"/>
  <c r="D16" i="37" s="1"/>
  <c r="X21" i="35"/>
  <c r="J21" i="35"/>
  <c r="V21" i="35"/>
  <c r="Z40" i="35"/>
  <c r="J14" i="35"/>
  <c r="Y39" i="35"/>
  <c r="P21" i="35"/>
  <c r="Y22" i="35"/>
  <c r="J22" i="35"/>
  <c r="Y40" i="35"/>
  <c r="V39" i="35"/>
  <c r="X39" i="35"/>
  <c r="C24" i="38" s="1"/>
  <c r="Q40" i="35"/>
  <c r="D25" i="37" s="1"/>
  <c r="Y14" i="35"/>
  <c r="W13" i="35"/>
  <c r="X13" i="35" s="1"/>
  <c r="Q13" i="35"/>
  <c r="W21" i="35"/>
  <c r="Z22" i="35"/>
  <c r="Z21" i="35"/>
  <c r="J49" i="35"/>
  <c r="V49" i="35"/>
  <c r="W49" i="35"/>
  <c r="J50" i="35"/>
  <c r="P50" i="35"/>
  <c r="Q49" i="35"/>
  <c r="P49" i="35"/>
  <c r="X49" i="35"/>
  <c r="Q50" i="35"/>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S22" i="29"/>
  <c r="S11" i="29"/>
  <c r="S26" i="29"/>
  <c r="P27" i="29"/>
  <c r="D28" i="29"/>
  <c r="E28" i="29"/>
  <c r="X28" i="29"/>
  <c r="G28" i="29"/>
  <c r="AF4" i="29"/>
  <c r="H28" i="29"/>
  <c r="U28" i="29"/>
  <c r="W28" i="29"/>
  <c r="I28" i="29"/>
  <c r="P24" i="29"/>
  <c r="I6" i="51" l="1"/>
  <c r="H62" i="51"/>
  <c r="G41" i="51"/>
  <c r="H58" i="51"/>
  <c r="H65" i="51"/>
  <c r="H55" i="51"/>
  <c r="H52" i="51"/>
  <c r="H54" i="51"/>
  <c r="H51" i="51"/>
  <c r="H64" i="51"/>
  <c r="H60" i="51"/>
  <c r="H61" i="51"/>
  <c r="H56" i="51"/>
  <c r="H63" i="51"/>
  <c r="H59" i="51"/>
  <c r="H50" i="51"/>
  <c r="H57" i="51"/>
  <c r="H53" i="51"/>
  <c r="D38" i="37"/>
  <c r="C27" i="38"/>
  <c r="C26" i="38"/>
  <c r="Z14" i="35"/>
  <c r="C39" i="38"/>
  <c r="C25" i="38"/>
  <c r="D40" i="37"/>
  <c r="C18" i="38"/>
  <c r="C27" i="37"/>
  <c r="E18" i="37"/>
  <c r="C13" i="38"/>
  <c r="E24" i="37"/>
  <c r="AK30" i="29"/>
  <c r="C18" i="37"/>
  <c r="AJ33" i="29"/>
  <c r="AJ7" i="29"/>
  <c r="C26" i="37"/>
  <c r="C37" i="38"/>
  <c r="D20" i="37"/>
  <c r="C28" i="38"/>
  <c r="C21" i="37"/>
  <c r="C16" i="37"/>
  <c r="Y45" i="35"/>
  <c r="C16" i="38"/>
  <c r="C38" i="37"/>
  <c r="E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9"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H29" i="29"/>
  <c r="C27" i="29"/>
  <c r="O26" i="29"/>
  <c r="C13" i="29"/>
  <c r="S29" i="29"/>
  <c r="Q29" i="29"/>
  <c r="Y29" i="29"/>
  <c r="C4" i="29"/>
  <c r="AE29" i="29"/>
  <c r="V29" i="29"/>
  <c r="Q22" i="29"/>
  <c r="O29" i="29"/>
  <c r="C29" i="29"/>
  <c r="C21" i="29"/>
  <c r="C24" i="29"/>
  <c r="F29" i="29"/>
  <c r="C9" i="29"/>
  <c r="AH29" i="29"/>
  <c r="U29" i="29"/>
  <c r="T29" i="29"/>
  <c r="Q20" i="29"/>
  <c r="AE11" i="29"/>
  <c r="C12" i="29"/>
  <c r="AF29" i="29"/>
  <c r="W29" i="29"/>
  <c r="X29" i="29"/>
  <c r="R22" i="29"/>
  <c r="E29" i="29"/>
  <c r="R11" i="29"/>
  <c r="Q11" i="29"/>
  <c r="G29" i="29"/>
  <c r="D29" i="29"/>
  <c r="Q8" i="29"/>
  <c r="C15" i="29"/>
  <c r="R20" i="29"/>
  <c r="I29" i="29"/>
  <c r="C10" i="29"/>
  <c r="C18" i="29"/>
  <c r="AG29" i="29"/>
  <c r="R29" i="29"/>
  <c r="R8" i="29"/>
  <c r="C6" i="29"/>
  <c r="K51" i="51" l="1"/>
  <c r="I50" i="51"/>
  <c r="I54" i="51"/>
  <c r="I60" i="51"/>
  <c r="I53" i="51"/>
  <c r="K54" i="51"/>
  <c r="I63" i="51"/>
  <c r="I64" i="51"/>
  <c r="I55" i="51"/>
  <c r="K63" i="51"/>
  <c r="I62" i="51"/>
  <c r="I61" i="51"/>
  <c r="I58" i="51"/>
  <c r="K60" i="51"/>
  <c r="I59" i="51"/>
  <c r="I52" i="51"/>
  <c r="I57" i="51"/>
  <c r="K57" i="51"/>
  <c r="I56" i="51"/>
  <c r="L57" i="51" s="1"/>
  <c r="I51" i="51"/>
  <c r="I65" i="51"/>
  <c r="L65" i="51" s="1"/>
  <c r="K65" i="51"/>
  <c r="J6" i="51"/>
  <c r="K6" i="51" s="1"/>
  <c r="K41" i="51" s="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Q27" i="29"/>
  <c r="T21" i="29"/>
  <c r="F6" i="29"/>
  <c r="T17" i="29"/>
  <c r="T30" i="29"/>
  <c r="F9" i="29"/>
  <c r="X30" i="29"/>
  <c r="Y30" i="29"/>
  <c r="Q26" i="29"/>
  <c r="W30" i="29"/>
  <c r="T15" i="29"/>
  <c r="E30" i="29"/>
  <c r="U30" i="29"/>
  <c r="AE26" i="29"/>
  <c r="C30" i="29"/>
  <c r="F5" i="29"/>
  <c r="T8" i="29"/>
  <c r="F30" i="29"/>
  <c r="G30" i="29"/>
  <c r="F10" i="29"/>
  <c r="F28" i="29"/>
  <c r="Y26" i="29"/>
  <c r="D16" i="29"/>
  <c r="AE22" i="29"/>
  <c r="D30" i="29"/>
  <c r="I30" i="29"/>
  <c r="T13" i="29"/>
  <c r="H30" i="29"/>
  <c r="T4" i="29"/>
  <c r="V30" i="29"/>
  <c r="L60" i="51" l="1"/>
  <c r="L51" i="51"/>
  <c r="L63" i="51"/>
  <c r="L54" i="51"/>
  <c r="Z13" i="35"/>
  <c r="D54" i="37"/>
  <c r="D53" i="37"/>
  <c r="D48" i="37"/>
  <c r="AL27" i="29"/>
  <c r="AL33" i="29"/>
  <c r="G49" i="37"/>
  <c r="G48" i="37"/>
  <c r="AM23" i="29"/>
  <c r="D52" i="37"/>
  <c r="G55" i="37"/>
  <c r="D50" i="37"/>
  <c r="A58" i="37"/>
  <c r="D49" i="37"/>
  <c r="G52" i="37"/>
  <c r="D51" i="37"/>
  <c r="G50" i="37"/>
  <c r="G54" i="37"/>
  <c r="G51" i="37"/>
  <c r="D55" i="37"/>
  <c r="G53" i="37"/>
  <c r="AL32" i="29"/>
  <c r="P29" i="29"/>
  <c r="Q13" i="29"/>
  <c r="T10" i="29"/>
  <c r="E32" i="29"/>
  <c r="AG32" i="29"/>
  <c r="O4" i="29"/>
  <c r="AF30" i="29"/>
  <c r="R26" i="29"/>
  <c r="V8" i="29"/>
  <c r="W31" i="29"/>
  <c r="S32" i="29"/>
  <c r="V11" i="29"/>
  <c r="I31" i="29"/>
  <c r="S20" i="29"/>
  <c r="F31" i="29"/>
  <c r="P31" i="29"/>
  <c r="Y32" i="29"/>
  <c r="D32" i="29"/>
  <c r="Q15" i="29"/>
  <c r="S21" i="29"/>
  <c r="V31" i="29"/>
  <c r="I32" i="29"/>
  <c r="F32" i="29"/>
  <c r="P9" i="29"/>
  <c r="AE32" i="29"/>
  <c r="T24" i="29"/>
  <c r="H31" i="29"/>
  <c r="O6" i="29"/>
  <c r="S8" i="29"/>
  <c r="Q9" i="29"/>
  <c r="R27" i="29"/>
  <c r="X31" i="29"/>
  <c r="AH32" i="29"/>
  <c r="T9" i="29"/>
  <c r="G31" i="29"/>
  <c r="R7" i="29"/>
  <c r="O13" i="29"/>
  <c r="T25" i="29"/>
  <c r="AH22" i="29"/>
  <c r="AG22" i="29"/>
  <c r="U31" i="29"/>
  <c r="C31" i="29"/>
  <c r="S13" i="29"/>
  <c r="F14" i="29"/>
  <c r="T32" i="29"/>
  <c r="G32" i="29"/>
  <c r="Q10" i="29"/>
  <c r="O16" i="29"/>
  <c r="V20" i="29"/>
  <c r="V32" i="29"/>
  <c r="O15" i="29"/>
  <c r="P6" i="29"/>
  <c r="O24" i="29"/>
  <c r="Q21" i="29"/>
  <c r="V22" i="29"/>
  <c r="T5" i="29"/>
  <c r="Q7" i="29"/>
  <c r="P30" i="29"/>
  <c r="T31" i="29"/>
  <c r="O18" i="29"/>
  <c r="S15" i="29"/>
  <c r="O12" i="29"/>
  <c r="T28" i="29"/>
  <c r="Q12" i="29"/>
  <c r="Y31" i="29"/>
  <c r="F7" i="29"/>
  <c r="Y17" i="29"/>
  <c r="O21" i="29"/>
  <c r="AF32" i="29"/>
  <c r="Q4" i="29"/>
  <c r="P5" i="29"/>
  <c r="O9" i="29"/>
  <c r="P28" i="29"/>
  <c r="U32" i="29"/>
  <c r="P10" i="29"/>
  <c r="O27" i="29"/>
  <c r="D31" i="29"/>
  <c r="H32" i="29"/>
  <c r="E31" i="29"/>
  <c r="O10" i="29"/>
  <c r="X32" i="29"/>
  <c r="AF20" i="29"/>
  <c r="Q24" i="29"/>
  <c r="Q18" i="29"/>
  <c r="W32" i="29"/>
  <c r="AM22" i="29" l="1"/>
  <c r="AL22" i="29"/>
  <c r="AH33" i="29"/>
  <c r="V28" i="29"/>
  <c r="D34" i="29"/>
  <c r="V15" i="29"/>
  <c r="AE33" i="29"/>
  <c r="S28" i="29"/>
  <c r="AF12" i="29"/>
  <c r="C34" i="29"/>
  <c r="R15" i="29"/>
  <c r="S25" i="29"/>
  <c r="V34" i="29"/>
  <c r="AE15" i="29"/>
  <c r="AG33" i="29"/>
  <c r="R4" i="29"/>
  <c r="AF34" i="29"/>
  <c r="V27" i="29"/>
  <c r="R33" i="29"/>
  <c r="S24" i="29"/>
  <c r="I33" i="29"/>
  <c r="R21" i="29"/>
  <c r="AF22" i="29"/>
  <c r="P34" i="29"/>
  <c r="O34" i="29"/>
  <c r="AF25" i="29"/>
  <c r="S12" i="29"/>
  <c r="Q30" i="29"/>
  <c r="AF19" i="29"/>
  <c r="I34" i="29"/>
  <c r="AF5" i="29"/>
  <c r="R9" i="29"/>
  <c r="W34" i="29"/>
  <c r="P33" i="29"/>
  <c r="E33" i="29"/>
  <c r="Y34" i="29"/>
  <c r="AE34" i="29"/>
  <c r="P14" i="29"/>
  <c r="P7" i="29"/>
  <c r="S30" i="29"/>
  <c r="S31" i="29"/>
  <c r="U33" i="29"/>
  <c r="V25" i="29"/>
  <c r="R16" i="29"/>
  <c r="V13" i="29"/>
  <c r="U34" i="29"/>
  <c r="O31" i="29"/>
  <c r="AF9" i="29"/>
  <c r="S10" i="29"/>
  <c r="S27" i="29"/>
  <c r="AE8" i="29"/>
  <c r="C33" i="29"/>
  <c r="F33" i="29"/>
  <c r="S9" i="29"/>
  <c r="AF18" i="29"/>
  <c r="V33" i="29"/>
  <c r="W33" i="29"/>
  <c r="X33" i="29"/>
  <c r="Q6" i="29"/>
  <c r="S18" i="29"/>
  <c r="AF27" i="29"/>
  <c r="O33" i="29"/>
  <c r="G33" i="29"/>
  <c r="AG26" i="29"/>
  <c r="V19" i="29"/>
  <c r="D33" i="29"/>
  <c r="V26" i="29"/>
  <c r="Q16" i="29"/>
  <c r="T33" i="29"/>
  <c r="S19" i="29"/>
  <c r="R6" i="29"/>
  <c r="S4" i="29"/>
  <c r="R24" i="29"/>
  <c r="H33" i="29"/>
  <c r="AF33" i="29"/>
  <c r="AE13" i="29"/>
  <c r="Q33" i="29"/>
  <c r="S34" i="29"/>
  <c r="X34" i="29"/>
  <c r="AG20" i="29"/>
  <c r="G34" i="29"/>
  <c r="R10" i="29"/>
  <c r="R12" i="29"/>
  <c r="H34" i="29"/>
  <c r="T34" i="29"/>
  <c r="S17" i="29"/>
  <c r="Y33" i="29"/>
  <c r="S33" i="29"/>
  <c r="AG34" i="29"/>
  <c r="AF31" i="29"/>
  <c r="V21" i="29"/>
  <c r="AE21" i="29"/>
  <c r="AE20" i="29"/>
  <c r="R18" i="29"/>
  <c r="O30" i="29"/>
  <c r="V5" i="29"/>
  <c r="V12" i="29"/>
  <c r="F34" i="29"/>
  <c r="V18" i="29"/>
  <c r="Q34" i="29"/>
  <c r="E34" i="29"/>
  <c r="V10" i="29"/>
  <c r="P32" i="29"/>
  <c r="R34" i="29"/>
  <c r="V17" i="29"/>
  <c r="V9" i="29"/>
  <c r="AH34" i="29"/>
  <c r="S5" i="29"/>
  <c r="R13" i="29"/>
  <c r="AM20" i="29" l="1"/>
  <c r="AL26" i="29"/>
  <c r="U35" i="29"/>
  <c r="I35" i="29"/>
  <c r="AF35" i="29"/>
  <c r="R30" i="29"/>
  <c r="C35" i="29"/>
  <c r="AE35" i="29"/>
  <c r="AH26" i="29"/>
  <c r="AF26" i="29"/>
  <c r="AE18" i="29"/>
  <c r="E35" i="29"/>
  <c r="F35" i="29"/>
  <c r="V35" i="29"/>
  <c r="AE27" i="29"/>
  <c r="AH20" i="29"/>
  <c r="S35" i="29"/>
  <c r="Q35" i="29"/>
  <c r="T35" i="29"/>
  <c r="X35" i="29"/>
  <c r="P35" i="29"/>
  <c r="W35" i="29"/>
  <c r="Y35" i="29"/>
  <c r="H35" i="29"/>
  <c r="R35" i="29"/>
  <c r="O35" i="29"/>
  <c r="AG35" i="29"/>
  <c r="D35" i="29"/>
  <c r="AH35" i="29"/>
  <c r="Q31" i="29"/>
  <c r="G35" i="29"/>
  <c r="AF17" i="29"/>
  <c r="AL20" i="29" l="1"/>
  <c r="AM26" i="29"/>
  <c r="G36" i="29"/>
  <c r="D36" i="29"/>
  <c r="T36" i="29"/>
  <c r="O36" i="29"/>
  <c r="X36" i="29"/>
  <c r="AE10" i="29"/>
  <c r="P36" i="29"/>
  <c r="C36" i="29"/>
  <c r="AF36" i="29"/>
  <c r="AE24" i="29"/>
  <c r="R31" i="29"/>
  <c r="AG18" i="29"/>
  <c r="AG27" i="29"/>
  <c r="AE31" i="29"/>
  <c r="F36" i="29"/>
  <c r="AG12" i="29"/>
  <c r="AE9" i="29"/>
  <c r="AE12" i="29"/>
  <c r="U36" i="29"/>
  <c r="W36" i="29"/>
  <c r="Q36" i="29"/>
  <c r="S36" i="29"/>
  <c r="E36" i="29"/>
  <c r="R36" i="29"/>
  <c r="H36" i="29"/>
  <c r="V36" i="29"/>
  <c r="AE30" i="29"/>
  <c r="AE36" i="29"/>
  <c r="AE4" i="29"/>
  <c r="I36" i="29"/>
  <c r="AG36" i="29"/>
  <c r="AH36" i="29"/>
  <c r="AG9" i="29"/>
  <c r="Y36" i="29"/>
  <c r="AL12" i="29" l="1"/>
  <c r="D37" i="29"/>
  <c r="S37" i="29"/>
  <c r="AG31" i="29"/>
  <c r="C37" i="29"/>
  <c r="T37" i="29"/>
  <c r="Q37" i="29"/>
  <c r="AG37" i="29"/>
  <c r="AG24" i="29"/>
  <c r="P37" i="29"/>
  <c r="V37" i="29"/>
  <c r="O37" i="29"/>
  <c r="I37" i="29"/>
  <c r="X37" i="29"/>
  <c r="G37" i="29"/>
  <c r="AF37" i="29"/>
  <c r="AG4" i="29"/>
  <c r="AH18" i="29"/>
  <c r="Y37" i="29"/>
  <c r="AH37" i="29"/>
  <c r="H37" i="29"/>
  <c r="W37" i="29"/>
  <c r="AE37" i="29"/>
  <c r="AH9" i="29"/>
  <c r="F37" i="29"/>
  <c r="AG30" i="29"/>
  <c r="AH27" i="29"/>
  <c r="U37" i="29"/>
  <c r="E37" i="29"/>
  <c r="R37" i="29"/>
  <c r="AH12" i="29"/>
  <c r="AM12" i="29" l="1"/>
  <c r="AM9" i="29"/>
  <c r="AL9" i="29"/>
  <c r="AL18" i="29"/>
  <c r="AM18" i="29"/>
  <c r="U38" i="29"/>
  <c r="AH4" i="29"/>
  <c r="T38" i="29"/>
  <c r="AG38" i="29"/>
  <c r="I38" i="29"/>
  <c r="F38" i="29"/>
  <c r="H38" i="29"/>
  <c r="X38" i="29"/>
  <c r="AH30" i="29"/>
  <c r="R38" i="29"/>
  <c r="Q38" i="29"/>
  <c r="AF38" i="29"/>
  <c r="E38" i="29"/>
  <c r="W38" i="29"/>
  <c r="AH38" i="29"/>
  <c r="AH31" i="29"/>
  <c r="D38" i="29"/>
  <c r="O38" i="29"/>
  <c r="P38" i="29"/>
  <c r="AE38" i="29"/>
  <c r="Y38" i="29"/>
  <c r="S38" i="29"/>
  <c r="G38" i="29"/>
  <c r="V38" i="29"/>
  <c r="C38" i="29"/>
  <c r="AH24" i="29"/>
  <c r="AL31" i="29" l="1"/>
  <c r="AM31" i="29"/>
  <c r="AM24" i="29"/>
  <c r="AL24" i="29"/>
  <c r="AL4" i="29"/>
  <c r="AM4" i="29"/>
  <c r="R5" i="29"/>
  <c r="AG17" i="29"/>
  <c r="O19" i="29"/>
  <c r="AE28" i="29"/>
  <c r="O17" i="29"/>
  <c r="C25" i="29"/>
  <c r="C19" i="29"/>
  <c r="C14" i="29"/>
  <c r="C28" i="29"/>
  <c r="R25" i="29"/>
  <c r="AH17" i="29"/>
  <c r="AE17" i="29"/>
  <c r="O32" i="29"/>
  <c r="O5" i="29"/>
  <c r="C5" i="29"/>
  <c r="C17" i="29"/>
  <c r="Q25" i="29"/>
  <c r="Q5" i="29"/>
  <c r="Q19" i="29"/>
  <c r="R28" i="29"/>
  <c r="O28" i="29"/>
  <c r="Q17" i="29"/>
  <c r="AG25" i="29"/>
  <c r="AH5" i="29"/>
  <c r="O23" i="29"/>
  <c r="R23" i="29"/>
  <c r="R14" i="29"/>
  <c r="O25" i="29"/>
  <c r="AE25" i="29"/>
  <c r="Q23" i="29"/>
  <c r="AH25" i="29"/>
  <c r="AE5" i="29"/>
  <c r="R17" i="29"/>
  <c r="R32" i="29"/>
  <c r="Q28" i="29"/>
  <c r="Q32" i="29"/>
  <c r="AG5" i="29"/>
  <c r="AE19" i="29"/>
  <c r="Q14" i="29"/>
  <c r="O14" i="29"/>
  <c r="C32" i="29"/>
  <c r="C23" i="29"/>
  <c r="AG19" i="29"/>
  <c r="AL5" i="29" l="1"/>
  <c r="AM25" i="29"/>
  <c r="AL25" i="29"/>
  <c r="AM17" i="29"/>
  <c r="AL17" i="29"/>
  <c r="AH19" i="29"/>
  <c r="R19" i="29"/>
  <c r="AM5" i="29" l="1"/>
  <c r="AG13" i="29"/>
  <c r="Y15" i="29"/>
  <c r="AF13" i="29"/>
  <c r="AF21" i="29"/>
  <c r="Y11" i="29"/>
  <c r="Y10" i="29"/>
  <c r="Y28" i="29"/>
  <c r="Y21" i="29"/>
  <c r="AF15" i="29"/>
  <c r="Y8" i="29"/>
  <c r="AF8" i="29"/>
  <c r="AF28" i="29"/>
  <c r="AF10" i="29"/>
  <c r="AG10" i="29"/>
  <c r="AG28" i="29"/>
  <c r="AF11" i="29"/>
  <c r="Y13" i="29"/>
  <c r="AM10" i="29" l="1"/>
  <c r="AL28" i="29"/>
  <c r="AM13" i="29"/>
  <c r="AH13" i="29"/>
  <c r="AG8" i="29"/>
  <c r="AG21" i="29"/>
  <c r="AG11" i="29"/>
  <c r="AH28" i="29"/>
  <c r="AG15" i="29"/>
  <c r="AH10" i="29"/>
  <c r="AL10" i="29" l="1"/>
  <c r="AM28" i="29"/>
  <c r="AL13" i="29"/>
  <c r="AH21" i="29"/>
  <c r="AH8" i="29"/>
  <c r="AH11" i="29"/>
  <c r="AH15"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<sst xmlns="http://schemas.openxmlformats.org/spreadsheetml/2006/main" count="1401" uniqueCount="184">
  <si>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</si>
  <si>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</si>
  <si>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</si>
  <si>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</si>
  <si>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</si>
  <si>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</si>
  <si>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</si>
  <si>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</si>
  <si>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</si>
  <si>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</si>
  <si>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</si>
  <si>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</si>
  <si>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</si>
  <si>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</si>
  <si>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</si>
  <si>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</si>
  <si>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</si>
  <si>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</si>
  <si>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</si>
  <si>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</si>
  <si>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</si>
  <si>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</si>
  <si>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</si>
  <si>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</si>
  <si>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</si>
  <si>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</si>
  <si>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</si>
  <si>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</si>
  <si>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</si>
  <si>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</si>
  <si>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</si>
  <si>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</si>
  <si>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</si>
  <si>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</si>
  <si>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</si>
  <si>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</si>
  <si>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</si>
  <si>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</si>
  <si>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</si>
  <si>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</si>
  <si>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</si>
  <si>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</si>
  <si>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</si>
  <si>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</si>
  <si>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</si>
  <si>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</si>
  <si>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</si>
  <si>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</si>
  <si>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</si>
  <si>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</si>
  <si>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</si>
  <si>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</si>
  <si>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</si>
  <si>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</si>
  <si>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</si>
  <si>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</si>
  <si>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</si>
  <si>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</si>
  <si>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</si>
  <si>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</si>
  <si>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</si>
  <si>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</si>
  <si>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</si>
  <si>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</si>
  <si>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</si>
  <si>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</si>
  <si>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</si>
  <si>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</si>
  <si>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</si>
  <si>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</si>
  <si>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</si>
  <si>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</si>
  <si>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</si>
  <si>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</si>
  <si>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</si>
  <si>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</si>
  <si>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</si>
  <si>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</si>
  <si>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</si>
  <si>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</si>
  <si>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</si>
  <si>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</si>
  <si>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</si>
  <si>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</si>
  <si>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</si>
  <si>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</si>
  <si>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</si>
  <si>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</si>
  <si>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</si>
  <si>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</si>
  <si>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</si>
  <si>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</si>
  <si>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</si>
  <si>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</si>
  <si>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</si>
  <si>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</si>
  <si>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</si>
  <si>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</si>
  <si>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</si>
  <si>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</si>
  <si>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</si>
  <si>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</si>
  <si>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</si>
  <si>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</si>
  <si>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</si>
  <si>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</si>
  <si>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</si>
  <si>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</si>
  <si>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</si>
  <si>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</si>
  <si>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</si>
  <si>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</si>
  <si>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</si>
  <si>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</si>
  <si>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</si>
  <si>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</si>
  <si>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</si>
  <si>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</si>
  <si>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</si>
  <si>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</si>
  <si>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</si>
  <si>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</si>
  <si>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</si>
  <si>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</si>
  <si>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</si>
  <si>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</si>
  <si>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</si>
  <si>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</si>
  <si>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</si>
  <si>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</si>
  <si>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</si>
  <si>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</si>
  <si>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</si>
  <si>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</si>
  <si>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</si>
  <si>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</si>
  <si>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</si>
  <si>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</si>
  <si>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</si>
  <si>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</si>
  <si>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</si>
  <si>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</si>
  <si>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</si>
  <si>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</si>
  <si>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</si>
  <si>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</si>
  <si>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2016/17</t>
  </si>
  <si>
    <t>FOS/BOS Kempten</t>
  </si>
  <si>
    <t>alte SchO Jahresende</t>
  </si>
  <si>
    <t>mü</t>
  </si>
  <si>
    <t>Ø</t>
  </si>
  <si>
    <t>HJ</t>
  </si>
  <si>
    <t>HJZ</t>
  </si>
  <si>
    <t>Ex</t>
  </si>
  <si>
    <t>SA1</t>
  </si>
  <si>
    <t>SA2</t>
  </si>
  <si>
    <t>Jahr</t>
  </si>
  <si>
    <t>FRef</t>
  </si>
  <si>
    <t>Ø sL</t>
  </si>
  <si>
    <t>Ø SA</t>
  </si>
  <si>
    <t>Gew</t>
  </si>
  <si>
    <t>Zeugnis</t>
  </si>
  <si>
    <t>1:1</t>
  </si>
  <si>
    <t>zulässige alte Modi</t>
  </si>
  <si>
    <t>alte Regelung mündliche 2.HJ ohne FR</t>
  </si>
  <si>
    <t>ohne SA</t>
  </si>
  <si>
    <t>2:1</t>
  </si>
  <si>
    <t>vorliegende Noten Halbjahr 1</t>
  </si>
  <si>
    <t>EX1</t>
  </si>
  <si>
    <t>Ex2</t>
  </si>
  <si>
    <t>Ex4</t>
  </si>
  <si>
    <t>mdl1</t>
  </si>
  <si>
    <t>mdl2</t>
  </si>
  <si>
    <t>mdl3</t>
  </si>
  <si>
    <t>vorliegende Noten Halbjahr 2</t>
  </si>
  <si>
    <t>eingebrachte Halbjahre</t>
  </si>
  <si>
    <t>Fachnote</t>
  </si>
  <si>
    <t>Abitur 2017</t>
  </si>
  <si>
    <t>Abschlussprüfung 2017</t>
  </si>
  <si>
    <t>Schulordnung:</t>
  </si>
  <si>
    <t>Neue</t>
  </si>
  <si>
    <t>Schulart:</t>
  </si>
  <si>
    <t>FOS</t>
  </si>
  <si>
    <t>alte SchO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</si>
</sst>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2" x14ac:knownFonts="1">
    <font>
      <sz val="10"/>
      <name val="Arial"/>
    </font>
    <font>
      <sz val="10"/>
      <name val="Arial"/>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ont>
    <font>
      <sz val="11"/>
      <name val="Arial"/>
    </font>
    <font>
      <sz val="9"/>
      <name val="Arial"/>
    </font>
    <font>
      <b/>
      <sz val="11"/>
      <name val="Arial"/>
      <family val="2"/>
    </font>
    <font>
      <sz val="1"/>
      <color indexed="9"/>
      <name val="Arial"/>
    </font>
    <font>
      <b/>
      <sz val="14"/>
      <name val="Arial"/>
      <family val="2"/>
    </font>
    <font>
      <sz val="10"/>
      <color indexed="10"/>
      <name val="Arial"/>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19">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601">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2" fontId="0" fillId="0" borderId="6" xfId="0" applyNumberFormat="1" applyBorder="1" applyAlignment="1" applyProtection="1">
      <alignment horizontal="center"/>
      <protection hidden="1"/>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1" fontId="6" fillId="10" borderId="6" xfId="2" applyNumberFormat="1" applyFill="1" applyBorder="1" applyAlignment="1" applyProtection="1">
      <alignment horizontal="center"/>
      <protection hidden="1"/>
    </xf>
    <xf numFmtId="0" fontId="6" fillId="0" borderId="0" xfId="2" applyProtection="1"/>
    <xf numFmtId="0" fontId="11" fillId="0" borderId="0" xfId="2" applyFont="1" applyProtection="1"/>
    <xf numFmtId="0" fontId="6" fillId="0" borderId="6" xfId="2" applyFill="1" applyBorder="1" applyProtection="1">
      <protection hidden="1"/>
    </xf>
    <xf numFmtId="0" fontId="6" fillId="10" borderId="6" xfId="2" applyFill="1" applyBorder="1" applyAlignment="1" applyProtection="1">
      <alignment horizontal="center"/>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02" xfId="0" applyFont="1" applyFill="1" applyBorder="1" applyProtection="1">
      <protection hidden="1"/>
    </xf>
    <xf numFmtId="0" fontId="7" fillId="2" borderId="5" xfId="0" applyFont="1" applyFill="1" applyBorder="1" applyProtection="1">
      <protection hidden="1"/>
    </xf>
    <xf numFmtId="0" fontId="7" fillId="2" borderId="13" xfId="0" applyFont="1" applyFill="1" applyBorder="1" applyProtection="1">
      <protection hidden="1"/>
    </xf>
    <xf numFmtId="0" fontId="7" fillId="2" borderId="10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105"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0" fontId="7" fillId="11" borderId="51" xfId="0" applyFont="1" applyFill="1" applyBorder="1" applyAlignment="1" applyProtection="1">
      <alignment horizontal="center" vertical="center"/>
      <protection hidden="1"/>
    </xf>
    <xf numFmtId="1" fontId="7" fillId="2" borderId="108" xfId="0" applyNumberFormat="1" applyFont="1" applyFill="1" applyBorder="1" applyAlignment="1" applyProtection="1">
      <alignment vertical="center"/>
      <protection hidden="1"/>
    </xf>
    <xf numFmtId="2" fontId="7" fillId="11" borderId="51" xfId="0" applyNumberFormat="1" applyFont="1" applyFill="1" applyBorder="1" applyAlignment="1" applyProtection="1">
      <alignment vertical="center"/>
      <protection hidden="1"/>
    </xf>
    <xf numFmtId="0" fontId="7" fillId="11" borderId="32" xfId="0" applyFont="1" applyFill="1" applyBorder="1" applyAlignment="1" applyProtection="1">
      <alignment horizontal="center" vertical="center"/>
      <protection hidden="1"/>
    </xf>
    <xf numFmtId="0" fontId="3" fillId="3" borderId="32" xfId="0" applyFont="1" applyFill="1" applyBorder="1" applyAlignment="1" applyProtection="1">
      <alignment horizontal="center" vertical="center"/>
      <protection locked="0" hidden="1"/>
    </xf>
    <xf numFmtId="0" fontId="7" fillId="2" borderId="102" xfId="0" applyFont="1" applyFill="1" applyBorder="1" applyAlignment="1" applyProtection="1">
      <alignment vertical="center"/>
      <protection hidden="1"/>
    </xf>
    <xf numFmtId="2" fontId="7" fillId="2" borderId="58" xfId="0" applyNumberFormat="1" applyFont="1" applyFill="1" applyBorder="1" applyAlignment="1" applyProtection="1">
      <alignment vertical="center"/>
      <protection hidden="1"/>
    </xf>
    <xf numFmtId="2" fontId="7" fillId="2" borderId="6" xfId="0" applyNumberFormat="1" applyFont="1" applyFill="1" applyBorder="1" applyAlignment="1" applyProtection="1">
      <alignment vertical="center"/>
      <protection hidden="1"/>
    </xf>
    <xf numFmtId="0" fontId="7" fillId="8" borderId="6" xfId="0" applyFont="1" applyFill="1" applyBorder="1" applyAlignment="1" applyProtection="1">
      <alignment vertical="center"/>
      <protection locked="0" hidden="1"/>
    </xf>
    <xf numFmtId="2" fontId="7" fillId="2" borderId="6" xfId="0" applyNumberFormat="1" applyFont="1" applyFill="1" applyBorder="1" applyAlignment="1" applyProtection="1">
      <alignment horizontal="center" vertical="center"/>
      <protection hidden="1"/>
    </xf>
    <xf numFmtId="0" fontId="7" fillId="2" borderId="105" xfId="0" applyFont="1" applyFill="1" applyBorder="1" applyAlignment="1" applyProtection="1">
      <alignment horizontal="center" vertical="center"/>
      <protection hidden="1"/>
    </xf>
    <xf numFmtId="0" fontId="7" fillId="2" borderId="58" xfId="0" applyFont="1" applyFill="1" applyBorder="1" applyAlignment="1" applyProtection="1">
      <alignment vertical="center"/>
      <protection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0" fontId="7" fillId="11" borderId="105" xfId="0" applyFont="1" applyFill="1" applyBorder="1" applyAlignment="1" applyProtection="1">
      <alignment horizontal="center" vertical="center"/>
      <protection hidden="1"/>
    </xf>
    <xf numFmtId="1" fontId="7" fillId="2" borderId="112" xfId="0" applyNumberFormat="1" applyFont="1" applyFill="1" applyBorder="1" applyAlignment="1" applyProtection="1">
      <alignment vertical="center"/>
      <protection hidden="1"/>
    </xf>
    <xf numFmtId="2" fontId="7" fillId="11" borderId="105" xfId="0" applyNumberFormat="1" applyFont="1" applyFill="1" applyBorder="1" applyAlignment="1" applyProtection="1">
      <alignment vertical="center"/>
      <protection hidden="1"/>
    </xf>
    <xf numFmtId="0" fontId="7" fillId="11" borderId="102" xfId="0" applyFont="1" applyFill="1" applyBorder="1" applyAlignment="1" applyProtection="1">
      <alignment horizontal="center"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2" fontId="7" fillId="2" borderId="65" xfId="0" applyNumberFormat="1" applyFont="1" applyFill="1" applyBorder="1" applyAlignment="1" applyProtection="1">
      <alignment vertical="center"/>
      <protection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0" fontId="7" fillId="11" borderId="113" xfId="0" applyFont="1" applyFill="1" applyBorder="1" applyAlignment="1" applyProtection="1">
      <alignment horizontal="center" vertical="center"/>
      <protection hidden="1"/>
    </xf>
    <xf numFmtId="1" fontId="7" fillId="2" borderId="116" xfId="0" applyNumberFormat="1" applyFont="1" applyFill="1" applyBorder="1" applyAlignment="1" applyProtection="1">
      <alignment vertical="center"/>
      <protection hidden="1"/>
    </xf>
    <xf numFmtId="2" fontId="7" fillId="11" borderId="113" xfId="0" applyNumberFormat="1" applyFont="1" applyFill="1" applyBorder="1" applyAlignment="1" applyProtection="1">
      <alignment vertical="center"/>
      <protection hidden="1"/>
    </xf>
    <xf numFmtId="0" fontId="7" fillId="11" borderId="117" xfId="0" applyFont="1" applyFill="1" applyBorder="1" applyAlignment="1" applyProtection="1">
      <alignment horizontal="center" vertical="center"/>
      <protection hidden="1"/>
    </xf>
    <xf numFmtId="0" fontId="3" fillId="3" borderId="117" xfId="0" applyFont="1" applyFill="1" applyBorder="1" applyAlignment="1" applyProtection="1">
      <alignment horizontal="center" vertical="center"/>
      <protection locked="0" hidden="1"/>
    </xf>
    <xf numFmtId="0" fontId="7" fillId="8" borderId="65" xfId="0" applyFont="1" applyFill="1" applyBorder="1" applyAlignment="1" applyProtection="1">
      <alignment vertical="center"/>
      <protection locked="0" hidden="1"/>
    </xf>
    <xf numFmtId="2" fontId="7" fillId="2" borderId="65" xfId="0" applyNumberFormat="1" applyFont="1" applyFill="1" applyBorder="1" applyAlignment="1" applyProtection="1">
      <alignment horizontal="center" vertical="center"/>
      <protection hidden="1"/>
    </xf>
    <xf numFmtId="0" fontId="7" fillId="2" borderId="113" xfId="0" applyFont="1" applyFill="1" applyBorder="1" applyAlignment="1" applyProtection="1">
      <alignment horizontal="center" vertical="center"/>
      <protection hidden="1"/>
    </xf>
    <xf numFmtId="0" fontId="20" fillId="2" borderId="65" xfId="0" applyFont="1" applyFill="1" applyBorder="1" applyAlignment="1" applyProtection="1">
      <alignment horizontal="center" vertical="center"/>
      <protection hidden="1"/>
    </xf>
    <xf numFmtId="0" fontId="21" fillId="3" borderId="65" xfId="0" applyNumberFormat="1" applyFont="1" applyFill="1" applyBorder="1" applyAlignment="1" applyProtection="1">
      <alignment horizontal="center" vertical="center" textRotation="180"/>
      <protection locked="0"/>
    </xf>
    <xf numFmtId="0" fontId="7" fillId="2" borderId="113" xfId="0" applyFont="1" applyFill="1" applyBorder="1" applyProtection="1">
      <protection hidden="1"/>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0" fillId="0" borderId="95" xfId="0" applyBorder="1" applyAlignment="1" applyProtection="1">
      <alignment horizontal="center"/>
      <protection hidden="1"/>
    </xf>
    <xf numFmtId="2" fontId="0" fillId="0" borderId="109" xfId="0" applyNumberFormat="1" applyBorder="1" applyAlignment="1" applyProtection="1">
      <alignment horizontal="center"/>
      <protection hidden="1"/>
    </xf>
    <xf numFmtId="1" fontId="0" fillId="0" borderId="105" xfId="0" applyNumberFormat="1" applyBorder="1" applyAlignment="1" applyProtection="1">
      <alignment horizontal="center"/>
      <protection hidden="1"/>
    </xf>
    <xf numFmtId="2" fontId="0" fillId="0" borderId="65" xfId="0" applyNumberFormat="1" applyBorder="1" applyAlignment="1" applyProtection="1">
      <alignment horizontal="center"/>
      <protection hidden="1"/>
    </xf>
    <xf numFmtId="1" fontId="0" fillId="0" borderId="113" xfId="0" applyNumberFormat="1" applyBorder="1" applyAlignment="1" applyProtection="1">
      <alignment horizontal="center"/>
      <protection hidden="1"/>
    </xf>
    <xf numFmtId="4" fontId="0" fillId="0" borderId="13" xfId="0" applyNumberFormat="1" applyBorder="1" applyAlignment="1" applyProtection="1">
      <alignment horizontal="center"/>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2" fontId="7" fillId="2" borderId="26" xfId="0" applyNumberFormat="1" applyFont="1" applyFill="1" applyBorder="1" applyAlignment="1" applyProtection="1">
      <alignment vertical="center"/>
      <protection hidden="1"/>
    </xf>
    <xf numFmtId="0" fontId="7" fillId="2" borderId="118" xfId="0" applyFont="1" applyFill="1" applyBorder="1" applyProtection="1">
      <protection hidden="1"/>
    </xf>
    <xf numFmtId="2" fontId="7" fillId="2" borderId="27" xfId="0" applyNumberFormat="1" applyFont="1" applyFill="1" applyBorder="1" applyAlignment="1" applyProtection="1">
      <alignment vertical="center"/>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0" fontId="6" fillId="0" borderId="6" xfId="2" applyBorder="1" applyProtection="1"/>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0" xfId="0" applyAlignment="1" applyProtection="1">
      <alignment horizontal="center"/>
      <protection hidden="1"/>
    </xf>
    <xf numFmtId="0" fontId="5" fillId="0" borderId="0"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96" xfId="0" applyBorder="1" applyAlignment="1" applyProtection="1">
      <alignment horizontal="center"/>
      <protection hidden="1"/>
    </xf>
    <xf numFmtId="0" fontId="0" fillId="0" borderId="103"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27"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1" fontId="17" fillId="0" borderId="19" xfId="0" applyNumberFormat="1" applyFont="1" applyBorder="1" applyAlignment="1" applyProtection="1">
      <alignment horizontal="center" vertical="center"/>
      <protection locked="0"/>
    </xf>
    <xf numFmtId="1" fontId="17" fillId="0" borderId="25" xfId="0" applyNumberFormat="1" applyFont="1" applyBorder="1" applyAlignment="1" applyProtection="1">
      <alignment horizontal="center" vertical="center"/>
      <protection locked="0"/>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16"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34" xfId="0" applyFont="1" applyFill="1" applyBorder="1" applyAlignment="1" applyProtection="1">
      <alignment horizontal="center" vertical="center"/>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170" fontId="0" fillId="0" borderId="0" xfId="0" applyNumberFormat="1" applyBorder="1" applyAlignment="1">
      <alignment horizontal="left"/>
    </xf>
  </cellXfs>
  <cellStyles count="3">
    <cellStyle name="Prozent" xfId="1" builtinId="5"/>
    <cellStyle name="Standard" xfId="0" builtinId="0"/>
    <cellStyle name="Standard 2" xfId="2"/>
  </cellStyles>
  <dxfs count="68">
    <dxf>
      <fill>
        <patternFill>
          <bgColor rgb="FFFFFF99"/>
        </patternFill>
      </fill>
    </dxf>
    <dxf>
      <fill>
        <patternFill patternType="none">
          <bgColor auto="1"/>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1" t="str">
        <f ca="1">INDIRECT(ADDRESS(3+$A4*2,C$2,,,"Notenbogen"))</f>
        <v/>
      </c>
      <c r="D4" s="141" t="str">
        <f t="shared" ref="D4:E19" ca="1" si="0">INDIRECT(ADDRESS(3+$A4*2,D$2,,,"Notenbogen"))</f>
        <v/>
      </c>
      <c r="E4" s="141">
        <f t="shared" ca="1" si="0"/>
        <v>0</v>
      </c>
      <c r="F4" s="142" t="str">
        <f t="shared" ref="F4:I19" ca="1" si="1">IF(INDIRECT(ADDRESS(4+$A4*2,F$2,,,"Notenbogen"))="","",INDIRECT(ADDRESS(4+$A4*2,F$2,,,"Notenbogen")))</f>
        <v/>
      </c>
      <c r="G4" s="142" t="str">
        <f t="shared" ca="1" si="1"/>
        <v/>
      </c>
      <c r="H4" s="142" t="str">
        <f t="shared" ca="1" si="1"/>
        <v/>
      </c>
      <c r="I4" s="142" t="str">
        <f t="shared" ca="1" si="1"/>
        <v/>
      </c>
      <c r="J4" s="143" t="str">
        <f t="shared" ref="J4:Q19" ca="1" si="2">IF(INDIRECT(ADDRESS(4+$A4*2,J$2,,,"Notenbogen"))="","",INDIRECT(ADDRESS(4+$A4*2,J$2,,,"Notenbogen")))</f>
        <v/>
      </c>
      <c r="K4" s="143" t="str">
        <f t="shared" ca="1" si="2"/>
        <v/>
      </c>
      <c r="L4" s="143" t="str">
        <f t="shared" ca="1" si="2"/>
        <v/>
      </c>
      <c r="M4" s="144" t="str">
        <f t="shared" ca="1" si="2"/>
        <v/>
      </c>
      <c r="N4" s="143" t="str">
        <f t="shared" ca="1" si="2"/>
        <v/>
      </c>
      <c r="O4" s="145" t="str">
        <f t="shared" ca="1" si="2"/>
        <v/>
      </c>
      <c r="P4" s="145" t="str">
        <f t="shared" ca="1" si="2"/>
        <v/>
      </c>
      <c r="Q4" s="145" t="str">
        <f t="shared" ca="1" si="2"/>
        <v/>
      </c>
      <c r="R4" s="145" t="str">
        <f t="shared" ref="R4:S19" ca="1" si="3">INDIRECT(ADDRESS(3+$A4*2,R$2,,,"Notenbogen"))</f>
        <v/>
      </c>
      <c r="S4" s="141" t="str">
        <f ca="1">INDIRECT(ADDRESS(3+$A4*2,S$2,,,"Notenbogen"))</f>
        <v/>
      </c>
      <c r="T4" s="141">
        <f t="shared" ref="T4:U19" ca="1" si="4">INDIRECT(ADDRESS(3+$A4*2,T$2,,,"Notenbogen"))</f>
        <v>0</v>
      </c>
      <c r="U4" s="141">
        <f t="shared" ca="1" si="4"/>
        <v>0</v>
      </c>
      <c r="V4" s="142" t="str">
        <f t="shared" ref="V4:AG9" ca="1" si="5">IF(INDIRECT(ADDRESS(4+$A4*2,V$2,,,"Notenbogen"))="","",INDIRECT(ADDRESS(4+$A4*2,V$2,,,"Notenbogen")))</f>
        <v/>
      </c>
      <c r="W4" s="142" t="str">
        <f t="shared" ca="1" si="5"/>
        <v/>
      </c>
      <c r="X4" s="142" t="str">
        <f t="shared" ca="1" si="5"/>
        <v/>
      </c>
      <c r="Y4" s="142" t="str">
        <f t="shared" ca="1" si="5"/>
        <v/>
      </c>
      <c r="Z4" s="143" t="str">
        <f t="shared" ca="1" si="5"/>
        <v/>
      </c>
      <c r="AA4" s="143" t="str">
        <f t="shared" ca="1" si="5"/>
        <v/>
      </c>
      <c r="AB4" s="143" t="str">
        <f t="shared" ca="1" si="5"/>
        <v/>
      </c>
      <c r="AC4" s="143" t="str">
        <f t="shared" ca="1" si="5"/>
        <v/>
      </c>
      <c r="AD4" s="143" t="str">
        <f t="shared" ca="1" si="5"/>
        <v/>
      </c>
      <c r="AE4" s="145" t="str">
        <f t="shared" ca="1" si="5"/>
        <v/>
      </c>
      <c r="AF4" s="145" t="str">
        <f t="shared" ca="1" si="5"/>
        <v/>
      </c>
      <c r="AG4" s="145" t="str">
        <f t="shared" ca="1" si="5"/>
        <v/>
      </c>
      <c r="AH4" s="145">
        <f t="shared" ref="AH4:AH38" ca="1" si="6">INDIRECT(ADDRESS(3+$A4*2,AH$2,,,"Notenbogen"))</f>
        <v>0</v>
      </c>
      <c r="AI4" s="146" t="e">
        <f>#REF!</f>
        <v>#REF!</v>
      </c>
      <c r="AJ4" s="146" t="e">
        <f>IF(#REF!="","",#REF!)</f>
        <v>#REF!</v>
      </c>
      <c r="AK4" s="146" t="e">
        <f>#REF!</f>
        <v>#REF!</v>
      </c>
      <c r="AL4" s="146" t="e">
        <f>#REF!</f>
        <v>#REF!</v>
      </c>
      <c r="AM4" s="146" t="e">
        <f>#REF!</f>
        <v>#REF!</v>
      </c>
    </row>
    <row r="5" spans="1:39" x14ac:dyDescent="0.2">
      <c r="A5" s="1">
        <v>2</v>
      </c>
      <c r="B5" s="2" t="str">
        <f t="shared" ref="B5:B38" ca="1" si="7">INDIRECT(ADDRESS(3+A5*2,2,,,"Notenbogen"))&amp;", "&amp;TRIM(INDIRECT(ADDRESS(4+A5*2,2,,,"Notenbogen")))</f>
        <v xml:space="preserve">, </v>
      </c>
      <c r="C5" s="141" t="str">
        <f t="shared" ref="C5:E38" ca="1" si="8">INDIRECT(ADDRESS(3+$A5*2,C$2,,,"Notenbogen"))</f>
        <v/>
      </c>
      <c r="D5" s="141" t="str">
        <f t="shared" ca="1" si="0"/>
        <v/>
      </c>
      <c r="E5" s="141">
        <f t="shared" ca="1" si="0"/>
        <v>0</v>
      </c>
      <c r="F5" s="142" t="str">
        <f t="shared" ca="1" si="1"/>
        <v/>
      </c>
      <c r="G5" s="142" t="str">
        <f t="shared" ca="1" si="1"/>
        <v/>
      </c>
      <c r="H5" s="142" t="str">
        <f t="shared" ca="1" si="1"/>
        <v/>
      </c>
      <c r="I5" s="142" t="str">
        <f t="shared" ca="1" si="1"/>
        <v/>
      </c>
      <c r="J5" s="143" t="str">
        <f t="shared" ca="1" si="2"/>
        <v/>
      </c>
      <c r="K5" s="143" t="str">
        <f t="shared" ca="1" si="2"/>
        <v/>
      </c>
      <c r="L5" s="143" t="str">
        <f t="shared" ca="1" si="2"/>
        <v/>
      </c>
      <c r="M5" s="144" t="str">
        <f t="shared" ca="1" si="2"/>
        <v/>
      </c>
      <c r="N5" s="143" t="str">
        <f t="shared" ca="1" si="2"/>
        <v/>
      </c>
      <c r="O5" s="145" t="str">
        <f t="shared" ca="1" si="2"/>
        <v/>
      </c>
      <c r="P5" s="145" t="str">
        <f t="shared" ca="1" si="2"/>
        <v/>
      </c>
      <c r="Q5" s="145" t="str">
        <f t="shared" ca="1" si="2"/>
        <v/>
      </c>
      <c r="R5" s="145" t="str">
        <f t="shared" ca="1" si="3"/>
        <v/>
      </c>
      <c r="S5" s="141" t="str">
        <f t="shared" ca="1" si="3"/>
        <v/>
      </c>
      <c r="T5" s="141">
        <f t="shared" ca="1" si="4"/>
        <v>0</v>
      </c>
      <c r="U5" s="141">
        <f t="shared" ca="1" si="4"/>
        <v>0</v>
      </c>
      <c r="V5" s="142" t="str">
        <f t="shared" ca="1" si="5"/>
        <v/>
      </c>
      <c r="W5" s="142" t="str">
        <f t="shared" ca="1" si="5"/>
        <v/>
      </c>
      <c r="X5" s="142" t="str">
        <f t="shared" ca="1" si="5"/>
        <v/>
      </c>
      <c r="Y5" s="142" t="str">
        <f t="shared" ca="1" si="5"/>
        <v/>
      </c>
      <c r="Z5" s="143" t="str">
        <f t="shared" ca="1" si="5"/>
        <v/>
      </c>
      <c r="AA5" s="143" t="str">
        <f t="shared" ca="1" si="5"/>
        <v/>
      </c>
      <c r="AB5" s="143" t="str">
        <f t="shared" ca="1" si="5"/>
        <v/>
      </c>
      <c r="AC5" s="143" t="str">
        <f t="shared" ca="1" si="5"/>
        <v/>
      </c>
      <c r="AD5" s="143" t="str">
        <f t="shared" ca="1" si="5"/>
        <v/>
      </c>
      <c r="AE5" s="145" t="str">
        <f t="shared" ca="1" si="5"/>
        <v/>
      </c>
      <c r="AF5" s="145" t="str">
        <f t="shared" ca="1" si="5"/>
        <v/>
      </c>
      <c r="AG5" s="145" t="str">
        <f t="shared" ca="1" si="5"/>
        <v/>
      </c>
      <c r="AH5" s="145">
        <f t="shared" ca="1" si="6"/>
        <v>0</v>
      </c>
      <c r="AI5" s="146" t="e">
        <f>#REF!</f>
        <v>#REF!</v>
      </c>
      <c r="AJ5" s="146" t="e">
        <f>IF(#REF!="","",#REF!)</f>
        <v>#REF!</v>
      </c>
      <c r="AK5" s="146" t="e">
        <f>#REF!</f>
        <v>#REF!</v>
      </c>
      <c r="AL5" s="146" t="e">
        <f>#REF!</f>
        <v>#REF!</v>
      </c>
      <c r="AM5" s="146" t="e">
        <f>#REF!</f>
        <v>#REF!</v>
      </c>
    </row>
    <row r="6" spans="1:39" x14ac:dyDescent="0.2">
      <c r="A6" s="1">
        <v>3</v>
      </c>
      <c r="B6" s="2" t="str">
        <f t="shared" ca="1" si="7"/>
        <v xml:space="preserve">, </v>
      </c>
      <c r="C6" s="141" t="str">
        <f t="shared" ca="1" si="8"/>
        <v/>
      </c>
      <c r="D6" s="141" t="str">
        <f t="shared" ca="1" si="0"/>
        <v/>
      </c>
      <c r="E6" s="141">
        <f t="shared" ca="1" si="0"/>
        <v>0</v>
      </c>
      <c r="F6" s="142" t="str">
        <f t="shared" ca="1" si="1"/>
        <v/>
      </c>
      <c r="G6" s="142" t="str">
        <f t="shared" ca="1" si="1"/>
        <v/>
      </c>
      <c r="H6" s="142" t="str">
        <f t="shared" ca="1" si="1"/>
        <v/>
      </c>
      <c r="I6" s="142" t="str">
        <f t="shared" ca="1" si="1"/>
        <v/>
      </c>
      <c r="J6" s="143" t="str">
        <f t="shared" ca="1" si="2"/>
        <v/>
      </c>
      <c r="K6" s="143" t="str">
        <f t="shared" ca="1" si="2"/>
        <v/>
      </c>
      <c r="L6" s="143" t="str">
        <f t="shared" ca="1" si="2"/>
        <v/>
      </c>
      <c r="M6" s="144" t="str">
        <f t="shared" ca="1" si="2"/>
        <v/>
      </c>
      <c r="N6" s="143" t="str">
        <f t="shared" ca="1" si="2"/>
        <v/>
      </c>
      <c r="O6" s="145" t="str">
        <f t="shared" ca="1" si="2"/>
        <v/>
      </c>
      <c r="P6" s="145" t="str">
        <f t="shared" ca="1" si="2"/>
        <v/>
      </c>
      <c r="Q6" s="145" t="str">
        <f t="shared" ca="1" si="2"/>
        <v/>
      </c>
      <c r="R6" s="145" t="str">
        <f t="shared" ca="1" si="3"/>
        <v/>
      </c>
      <c r="S6" s="141" t="str">
        <f t="shared" ca="1" si="3"/>
        <v/>
      </c>
      <c r="T6" s="141">
        <f t="shared" ca="1" si="4"/>
        <v>0</v>
      </c>
      <c r="U6" s="141">
        <f t="shared" ca="1" si="4"/>
        <v>0</v>
      </c>
      <c r="V6" s="142" t="str">
        <f t="shared" ca="1" si="5"/>
        <v/>
      </c>
      <c r="W6" s="142" t="str">
        <f t="shared" ca="1" si="5"/>
        <v/>
      </c>
      <c r="X6" s="142" t="str">
        <f t="shared" ca="1" si="5"/>
        <v/>
      </c>
      <c r="Y6" s="142" t="str">
        <f t="shared" ca="1" si="5"/>
        <v/>
      </c>
      <c r="Z6" s="143" t="str">
        <f t="shared" ca="1" si="5"/>
        <v/>
      </c>
      <c r="AA6" s="143" t="str">
        <f t="shared" ca="1" si="5"/>
        <v/>
      </c>
      <c r="AB6" s="143" t="str">
        <f t="shared" ca="1" si="5"/>
        <v/>
      </c>
      <c r="AC6" s="143" t="str">
        <f t="shared" ca="1" si="5"/>
        <v/>
      </c>
      <c r="AD6" s="143" t="str">
        <f t="shared" ca="1" si="5"/>
        <v/>
      </c>
      <c r="AE6" s="145" t="str">
        <f t="shared" ca="1" si="5"/>
        <v/>
      </c>
      <c r="AF6" s="145" t="str">
        <f t="shared" ca="1" si="5"/>
        <v/>
      </c>
      <c r="AG6" s="145" t="str">
        <f t="shared" ca="1" si="5"/>
        <v/>
      </c>
      <c r="AH6" s="145">
        <f t="shared" ca="1" si="6"/>
        <v>0</v>
      </c>
      <c r="AI6" s="146" t="e">
        <f>#REF!</f>
        <v>#REF!</v>
      </c>
      <c r="AJ6" s="146" t="e">
        <f>IF(#REF!="","",#REF!)</f>
        <v>#REF!</v>
      </c>
      <c r="AK6" s="146" t="e">
        <f>#REF!</f>
        <v>#REF!</v>
      </c>
      <c r="AL6" s="146" t="e">
        <f>#REF!</f>
        <v>#REF!</v>
      </c>
      <c r="AM6" s="146" t="e">
        <f>#REF!</f>
        <v>#REF!</v>
      </c>
    </row>
    <row r="7" spans="1:39" x14ac:dyDescent="0.2">
      <c r="A7" s="1">
        <v>4</v>
      </c>
      <c r="B7" s="2" t="str">
        <f t="shared" ca="1" si="7"/>
        <v xml:space="preserve">, </v>
      </c>
      <c r="C7" s="141" t="str">
        <f ca="1">INDIRECT(ADDRESS(3+$A7*2,C$2,,,"Notenbogen"))</f>
        <v/>
      </c>
      <c r="D7" s="141" t="str">
        <f t="shared" ca="1" si="0"/>
        <v/>
      </c>
      <c r="E7" s="141">
        <f t="shared" ca="1" si="0"/>
        <v>0</v>
      </c>
      <c r="F7" s="142" t="str">
        <f t="shared" ca="1" si="1"/>
        <v/>
      </c>
      <c r="G7" s="142" t="str">
        <f t="shared" ca="1" si="1"/>
        <v/>
      </c>
      <c r="H7" s="142" t="str">
        <f t="shared" ca="1" si="1"/>
        <v/>
      </c>
      <c r="I7" s="142" t="str">
        <f t="shared" ca="1" si="1"/>
        <v/>
      </c>
      <c r="J7" s="143" t="str">
        <f t="shared" ca="1" si="2"/>
        <v/>
      </c>
      <c r="K7" s="143" t="str">
        <f t="shared" ca="1" si="2"/>
        <v/>
      </c>
      <c r="L7" s="143" t="str">
        <f t="shared" ca="1" si="2"/>
        <v/>
      </c>
      <c r="M7" s="144" t="str">
        <f t="shared" ca="1" si="2"/>
        <v/>
      </c>
      <c r="N7" s="143" t="str">
        <f t="shared" ca="1" si="2"/>
        <v/>
      </c>
      <c r="O7" s="145" t="str">
        <f t="shared" ca="1" si="2"/>
        <v/>
      </c>
      <c r="P7" s="145" t="str">
        <f t="shared" ca="1" si="2"/>
        <v/>
      </c>
      <c r="Q7" s="145" t="str">
        <f t="shared" ca="1" si="2"/>
        <v/>
      </c>
      <c r="R7" s="145" t="str">
        <f t="shared" ca="1" si="3"/>
        <v/>
      </c>
      <c r="S7" s="141" t="str">
        <f t="shared" ca="1" si="3"/>
        <v/>
      </c>
      <c r="T7" s="141">
        <f t="shared" ca="1" si="4"/>
        <v>0</v>
      </c>
      <c r="U7" s="141">
        <f t="shared" ca="1" si="4"/>
        <v>0</v>
      </c>
      <c r="V7" s="142" t="str">
        <f t="shared" ca="1" si="5"/>
        <v/>
      </c>
      <c r="W7" s="142" t="str">
        <f t="shared" ca="1" si="5"/>
        <v/>
      </c>
      <c r="X7" s="142" t="str">
        <f t="shared" ca="1" si="5"/>
        <v/>
      </c>
      <c r="Y7" s="142" t="str">
        <f t="shared" ca="1" si="5"/>
        <v/>
      </c>
      <c r="Z7" s="143" t="str">
        <f t="shared" ca="1" si="5"/>
        <v/>
      </c>
      <c r="AA7" s="143" t="str">
        <f t="shared" ca="1" si="5"/>
        <v/>
      </c>
      <c r="AB7" s="143" t="str">
        <f t="shared" ca="1" si="5"/>
        <v/>
      </c>
      <c r="AC7" s="143" t="str">
        <f t="shared" ca="1" si="5"/>
        <v/>
      </c>
      <c r="AD7" s="143" t="str">
        <f t="shared" ca="1" si="5"/>
        <v/>
      </c>
      <c r="AE7" s="145" t="str">
        <f t="shared" ca="1" si="5"/>
        <v/>
      </c>
      <c r="AF7" s="145" t="str">
        <f t="shared" ca="1" si="5"/>
        <v/>
      </c>
      <c r="AG7" s="145" t="str">
        <f t="shared" ca="1" si="5"/>
        <v/>
      </c>
      <c r="AH7" s="145">
        <f t="shared" ca="1" si="6"/>
        <v>0</v>
      </c>
      <c r="AI7" s="146" t="e">
        <f>#REF!</f>
        <v>#REF!</v>
      </c>
      <c r="AJ7" s="146" t="e">
        <f>IF(#REF!="","",#REF!)</f>
        <v>#REF!</v>
      </c>
      <c r="AK7" s="146" t="e">
        <f>#REF!</f>
        <v>#REF!</v>
      </c>
      <c r="AL7" s="146" t="e">
        <f>#REF!</f>
        <v>#REF!</v>
      </c>
      <c r="AM7" s="146" t="e">
        <f>#REF!</f>
        <v>#REF!</v>
      </c>
    </row>
    <row r="8" spans="1:39" x14ac:dyDescent="0.2">
      <c r="A8" s="1">
        <v>5</v>
      </c>
      <c r="B8" s="2" t="str">
        <f t="shared" ca="1" si="7"/>
        <v xml:space="preserve">, </v>
      </c>
      <c r="C8" s="141" t="str">
        <f t="shared" ca="1" si="8"/>
        <v/>
      </c>
      <c r="D8" s="141" t="str">
        <f t="shared" ca="1" si="0"/>
        <v/>
      </c>
      <c r="E8" s="141">
        <f t="shared" ca="1" si="0"/>
        <v>0</v>
      </c>
      <c r="F8" s="142" t="str">
        <f t="shared" ca="1" si="1"/>
        <v/>
      </c>
      <c r="G8" s="142" t="str">
        <f t="shared" ca="1" si="1"/>
        <v/>
      </c>
      <c r="H8" s="142" t="str">
        <f t="shared" ca="1" si="1"/>
        <v/>
      </c>
      <c r="I8" s="142" t="str">
        <f t="shared" ca="1" si="1"/>
        <v/>
      </c>
      <c r="J8" s="143" t="str">
        <f t="shared" ca="1" si="2"/>
        <v/>
      </c>
      <c r="K8" s="143" t="str">
        <f t="shared" ca="1" si="2"/>
        <v/>
      </c>
      <c r="L8" s="143" t="str">
        <f t="shared" ca="1" si="2"/>
        <v/>
      </c>
      <c r="M8" s="144" t="str">
        <f t="shared" ca="1" si="2"/>
        <v/>
      </c>
      <c r="N8" s="143" t="str">
        <f t="shared" ca="1" si="2"/>
        <v/>
      </c>
      <c r="O8" s="145" t="str">
        <f t="shared" ca="1" si="2"/>
        <v/>
      </c>
      <c r="P8" s="145" t="str">
        <f t="shared" ca="1" si="2"/>
        <v/>
      </c>
      <c r="Q8" s="145" t="str">
        <f t="shared" ca="1" si="2"/>
        <v/>
      </c>
      <c r="R8" s="145" t="str">
        <f t="shared" ca="1" si="3"/>
        <v/>
      </c>
      <c r="S8" s="141" t="str">
        <f t="shared" ca="1" si="3"/>
        <v/>
      </c>
      <c r="T8" s="141">
        <f t="shared" ca="1" si="4"/>
        <v>0</v>
      </c>
      <c r="U8" s="141">
        <f t="shared" ca="1" si="4"/>
        <v>0</v>
      </c>
      <c r="V8" s="142" t="str">
        <f t="shared" ca="1" si="5"/>
        <v/>
      </c>
      <c r="W8" s="142" t="str">
        <f t="shared" ca="1" si="5"/>
        <v/>
      </c>
      <c r="X8" s="142" t="str">
        <f t="shared" ca="1" si="5"/>
        <v/>
      </c>
      <c r="Y8" s="142" t="str">
        <f t="shared" ca="1" si="5"/>
        <v/>
      </c>
      <c r="Z8" s="143" t="str">
        <f t="shared" ca="1" si="5"/>
        <v/>
      </c>
      <c r="AA8" s="143" t="str">
        <f t="shared" ca="1" si="5"/>
        <v/>
      </c>
      <c r="AB8" s="143" t="str">
        <f t="shared" ca="1" si="5"/>
        <v/>
      </c>
      <c r="AC8" s="143" t="str">
        <f t="shared" ca="1" si="5"/>
        <v/>
      </c>
      <c r="AD8" s="143" t="str">
        <f t="shared" ca="1" si="5"/>
        <v/>
      </c>
      <c r="AE8" s="145" t="str">
        <f t="shared" ca="1" si="5"/>
        <v/>
      </c>
      <c r="AF8" s="145" t="str">
        <f t="shared" ca="1" si="5"/>
        <v/>
      </c>
      <c r="AG8" s="145" t="str">
        <f t="shared" ca="1" si="5"/>
        <v/>
      </c>
      <c r="AH8" s="145">
        <f t="shared" ca="1" si="6"/>
        <v>0</v>
      </c>
      <c r="AI8" s="146" t="e">
        <f>#REF!</f>
        <v>#REF!</v>
      </c>
      <c r="AJ8" s="146" t="e">
        <f>IF(#REF!="","",#REF!)</f>
        <v>#REF!</v>
      </c>
      <c r="AK8" s="146" t="e">
        <f>#REF!</f>
        <v>#REF!</v>
      </c>
      <c r="AL8" s="146" t="e">
        <f>#REF!</f>
        <v>#REF!</v>
      </c>
      <c r="AM8" s="146" t="e">
        <f>#REF!</f>
        <v>#REF!</v>
      </c>
    </row>
    <row r="9" spans="1:39" x14ac:dyDescent="0.2">
      <c r="A9" s="1">
        <v>6</v>
      </c>
      <c r="B9" s="2" t="str">
        <f t="shared" ca="1" si="7"/>
        <v xml:space="preserve">, </v>
      </c>
      <c r="C9" s="141" t="str">
        <f t="shared" ca="1" si="8"/>
        <v/>
      </c>
      <c r="D9" s="141" t="str">
        <f t="shared" ca="1" si="0"/>
        <v/>
      </c>
      <c r="E9" s="141">
        <f t="shared" ca="1" si="0"/>
        <v>0</v>
      </c>
      <c r="F9" s="142" t="str">
        <f t="shared" ca="1" si="1"/>
        <v/>
      </c>
      <c r="G9" s="142" t="str">
        <f t="shared" ca="1" si="1"/>
        <v/>
      </c>
      <c r="H9" s="142" t="str">
        <f t="shared" ca="1" si="1"/>
        <v/>
      </c>
      <c r="I9" s="142" t="str">
        <f t="shared" ca="1" si="1"/>
        <v/>
      </c>
      <c r="J9" s="143" t="str">
        <f t="shared" ca="1" si="2"/>
        <v/>
      </c>
      <c r="K9" s="143" t="str">
        <f t="shared" ca="1" si="2"/>
        <v/>
      </c>
      <c r="L9" s="143" t="str">
        <f t="shared" ca="1" si="2"/>
        <v/>
      </c>
      <c r="M9" s="144" t="str">
        <f t="shared" ca="1" si="2"/>
        <v/>
      </c>
      <c r="N9" s="143" t="str">
        <f t="shared" ca="1" si="2"/>
        <v/>
      </c>
      <c r="O9" s="145" t="str">
        <f t="shared" ca="1" si="2"/>
        <v/>
      </c>
      <c r="P9" s="145" t="str">
        <f t="shared" ca="1" si="2"/>
        <v/>
      </c>
      <c r="Q9" s="145" t="str">
        <f t="shared" ca="1" si="2"/>
        <v/>
      </c>
      <c r="R9" s="145" t="str">
        <f t="shared" ca="1" si="3"/>
        <v/>
      </c>
      <c r="S9" s="141" t="str">
        <f t="shared" ca="1" si="3"/>
        <v/>
      </c>
      <c r="T9" s="141">
        <f t="shared" ca="1" si="4"/>
        <v>0</v>
      </c>
      <c r="U9" s="141">
        <f t="shared" ca="1" si="4"/>
        <v>0</v>
      </c>
      <c r="V9" s="142" t="str">
        <f t="shared" ca="1" si="5"/>
        <v/>
      </c>
      <c r="W9" s="142" t="str">
        <f t="shared" ca="1" si="5"/>
        <v/>
      </c>
      <c r="X9" s="142" t="str">
        <f t="shared" ca="1" si="5"/>
        <v/>
      </c>
      <c r="Y9" s="142" t="str">
        <f t="shared" ca="1" si="5"/>
        <v/>
      </c>
      <c r="Z9" s="143" t="str">
        <f t="shared" ca="1" si="5"/>
        <v/>
      </c>
      <c r="AA9" s="143" t="str">
        <f t="shared" ca="1" si="5"/>
        <v/>
      </c>
      <c r="AB9" s="143" t="str">
        <f t="shared" ca="1" si="5"/>
        <v/>
      </c>
      <c r="AC9" s="143" t="str">
        <f t="shared" ca="1" si="5"/>
        <v/>
      </c>
      <c r="AD9" s="143" t="str">
        <f t="shared" ca="1" si="5"/>
        <v/>
      </c>
      <c r="AE9" s="145" t="str">
        <f t="shared" ca="1" si="5"/>
        <v/>
      </c>
      <c r="AF9" s="145" t="str">
        <f t="shared" ca="1" si="5"/>
        <v/>
      </c>
      <c r="AG9" s="145" t="str">
        <f t="shared" ca="1" si="5"/>
        <v/>
      </c>
      <c r="AH9" s="145">
        <f t="shared" ca="1" si="6"/>
        <v>0</v>
      </c>
      <c r="AI9" s="146" t="e">
        <f>#REF!</f>
        <v>#REF!</v>
      </c>
      <c r="AJ9" s="146" t="e">
        <f>IF(#REF!="","",#REF!)</f>
        <v>#REF!</v>
      </c>
      <c r="AK9" s="146" t="e">
        <f>#REF!</f>
        <v>#REF!</v>
      </c>
      <c r="AL9" s="146" t="e">
        <f>#REF!</f>
        <v>#REF!</v>
      </c>
      <c r="AM9" s="146" t="e">
        <f>#REF!</f>
        <v>#REF!</v>
      </c>
    </row>
    <row r="10" spans="1:39" x14ac:dyDescent="0.2">
      <c r="A10" s="1">
        <v>7</v>
      </c>
      <c r="B10" s="2" t="str">
        <f t="shared" ca="1" si="7"/>
        <v xml:space="preserve">, </v>
      </c>
      <c r="C10" s="141" t="str">
        <f t="shared" ca="1" si="8"/>
        <v/>
      </c>
      <c r="D10" s="141" t="str">
        <f t="shared" ca="1" si="0"/>
        <v/>
      </c>
      <c r="E10" s="141">
        <f t="shared" ca="1" si="0"/>
        <v>0</v>
      </c>
      <c r="F10" s="142" t="str">
        <f t="shared" ca="1" si="1"/>
        <v/>
      </c>
      <c r="G10" s="142" t="str">
        <f t="shared" ca="1" si="1"/>
        <v/>
      </c>
      <c r="H10" s="142" t="str">
        <f t="shared" ca="1" si="1"/>
        <v/>
      </c>
      <c r="I10" s="142" t="str">
        <f t="shared" ca="1" si="1"/>
        <v/>
      </c>
      <c r="J10" s="143" t="str">
        <f t="shared" ca="1" si="2"/>
        <v/>
      </c>
      <c r="K10" s="143" t="str">
        <f t="shared" ca="1" si="2"/>
        <v/>
      </c>
      <c r="L10" s="143" t="str">
        <f t="shared" ca="1" si="2"/>
        <v/>
      </c>
      <c r="M10" s="144" t="str">
        <f t="shared" ca="1" si="2"/>
        <v/>
      </c>
      <c r="N10" s="143" t="str">
        <f t="shared" ca="1" si="2"/>
        <v/>
      </c>
      <c r="O10" s="145" t="str">
        <f t="shared" ca="1" si="2"/>
        <v/>
      </c>
      <c r="P10" s="145" t="str">
        <f t="shared" ca="1" si="2"/>
        <v/>
      </c>
      <c r="Q10" s="145" t="str">
        <f t="shared" ca="1" si="2"/>
        <v/>
      </c>
      <c r="R10" s="145" t="str">
        <f t="shared" ca="1" si="3"/>
        <v/>
      </c>
      <c r="S10" s="141" t="str">
        <f t="shared" ca="1" si="3"/>
        <v/>
      </c>
      <c r="T10" s="141">
        <f t="shared" ca="1" si="4"/>
        <v>0</v>
      </c>
      <c r="U10" s="141">
        <f t="shared" ca="1" si="4"/>
        <v>0</v>
      </c>
      <c r="V10" s="142" t="str">
        <f ca="1">IF(INDIRECT(ADDRESS(4+$A10*2,V$2,,,"Notenbogen"))="","",INDIRECT(ADDRESS(4+$A10*2,V$2,,,"Notenbogen")))</f>
        <v/>
      </c>
      <c r="W10" s="142" t="str">
        <f ca="1">IF(INDIRECT(ADDRESS(4+$A10*2,W$2,,,"Notenbogen"))="","",INDIRECT(ADDRESS(4+$A10*2,W$2,,,"Notenbogen")))</f>
        <v/>
      </c>
      <c r="X10" s="142" t="str">
        <f ca="1">IF(INDIRECT(ADDRESS(4+$A10*2,X$2,,,"Notenbogen"))="","",INDIRECT(ADDRESS(4+$A10*2,X$2,,,"Notenbogen")))</f>
        <v/>
      </c>
      <c r="Y10" s="142" t="str">
        <f t="shared" ref="V10:AG31" ca="1" si="9">IF(INDIRECT(ADDRESS(4+$A10*2,Y$2,,,"Notenbogen"))="","",INDIRECT(ADDRESS(4+$A10*2,Y$2,,,"Notenbogen")))</f>
        <v/>
      </c>
      <c r="Z10" s="143" t="str">
        <f t="shared" ca="1" si="9"/>
        <v/>
      </c>
      <c r="AA10" s="143" t="str">
        <f t="shared" ca="1" si="9"/>
        <v/>
      </c>
      <c r="AB10" s="143" t="str">
        <f t="shared" ca="1" si="9"/>
        <v/>
      </c>
      <c r="AC10" s="143" t="str">
        <f t="shared" ca="1" si="9"/>
        <v/>
      </c>
      <c r="AD10" s="143" t="str">
        <f t="shared" ca="1" si="9"/>
        <v/>
      </c>
      <c r="AE10" s="145" t="str">
        <f t="shared" ca="1" si="9"/>
        <v/>
      </c>
      <c r="AF10" s="145" t="str">
        <f t="shared" ca="1" si="9"/>
        <v/>
      </c>
      <c r="AG10" s="145" t="str">
        <f t="shared" ca="1" si="9"/>
        <v/>
      </c>
      <c r="AH10" s="145">
        <f t="shared" ca="1" si="6"/>
        <v>0</v>
      </c>
      <c r="AI10" s="146" t="e">
        <f>#REF!</f>
        <v>#REF!</v>
      </c>
      <c r="AJ10" s="146" t="e">
        <f>IF(#REF!="","",#REF!)</f>
        <v>#REF!</v>
      </c>
      <c r="AK10" s="146" t="e">
        <f>#REF!</f>
        <v>#REF!</v>
      </c>
      <c r="AL10" s="146" t="e">
        <f>#REF!</f>
        <v>#REF!</v>
      </c>
      <c r="AM10" s="146" t="e">
        <f>#REF!</f>
        <v>#REF!</v>
      </c>
    </row>
    <row r="11" spans="1:39" x14ac:dyDescent="0.2">
      <c r="A11" s="1">
        <v>8</v>
      </c>
      <c r="B11" s="2" t="str">
        <f t="shared" ca="1" si="7"/>
        <v xml:space="preserve">, </v>
      </c>
      <c r="C11" s="141" t="str">
        <f t="shared" ca="1" si="8"/>
        <v/>
      </c>
      <c r="D11" s="141" t="str">
        <f t="shared" ca="1" si="0"/>
        <v/>
      </c>
      <c r="E11" s="141">
        <f t="shared" ca="1" si="0"/>
        <v>0</v>
      </c>
      <c r="F11" s="142" t="str">
        <f t="shared" ca="1" si="1"/>
        <v/>
      </c>
      <c r="G11" s="142" t="str">
        <f t="shared" ca="1" si="1"/>
        <v/>
      </c>
      <c r="H11" s="142" t="str">
        <f t="shared" ca="1" si="1"/>
        <v/>
      </c>
      <c r="I11" s="142" t="str">
        <f t="shared" ca="1" si="1"/>
        <v/>
      </c>
      <c r="J11" s="143" t="str">
        <f t="shared" ca="1" si="2"/>
        <v/>
      </c>
      <c r="K11" s="143" t="str">
        <f t="shared" ca="1" si="2"/>
        <v/>
      </c>
      <c r="L11" s="143" t="str">
        <f t="shared" ca="1" si="2"/>
        <v/>
      </c>
      <c r="M11" s="144" t="str">
        <f t="shared" ca="1" si="2"/>
        <v/>
      </c>
      <c r="N11" s="143" t="str">
        <f t="shared" ca="1" si="2"/>
        <v/>
      </c>
      <c r="O11" s="145" t="str">
        <f t="shared" ca="1" si="2"/>
        <v/>
      </c>
      <c r="P11" s="145" t="str">
        <f t="shared" ca="1" si="2"/>
        <v/>
      </c>
      <c r="Q11" s="145" t="str">
        <f t="shared" ca="1" si="2"/>
        <v/>
      </c>
      <c r="R11" s="145" t="str">
        <f t="shared" ca="1" si="3"/>
        <v/>
      </c>
      <c r="S11" s="141" t="str">
        <f t="shared" ca="1" si="3"/>
        <v/>
      </c>
      <c r="T11" s="141">
        <f t="shared" ca="1" si="4"/>
        <v>0</v>
      </c>
      <c r="U11" s="141">
        <f t="shared" ca="1" si="4"/>
        <v>0</v>
      </c>
      <c r="V11" s="142" t="str">
        <f t="shared" ca="1" si="9"/>
        <v/>
      </c>
      <c r="W11" s="142" t="str">
        <f t="shared" ca="1" si="9"/>
        <v/>
      </c>
      <c r="X11" s="142" t="str">
        <f t="shared" ca="1" si="9"/>
        <v/>
      </c>
      <c r="Y11" s="142" t="str">
        <f t="shared" ca="1" si="9"/>
        <v/>
      </c>
      <c r="Z11" s="143" t="str">
        <f t="shared" ca="1" si="9"/>
        <v/>
      </c>
      <c r="AA11" s="143" t="str">
        <f t="shared" ca="1" si="9"/>
        <v/>
      </c>
      <c r="AB11" s="143" t="str">
        <f t="shared" ca="1" si="9"/>
        <v/>
      </c>
      <c r="AC11" s="143" t="str">
        <f t="shared" ca="1" si="9"/>
        <v/>
      </c>
      <c r="AD11" s="143" t="str">
        <f t="shared" ca="1" si="9"/>
        <v/>
      </c>
      <c r="AE11" s="145" t="str">
        <f t="shared" ca="1" si="9"/>
        <v/>
      </c>
      <c r="AF11" s="145" t="str">
        <f t="shared" ca="1" si="9"/>
        <v/>
      </c>
      <c r="AG11" s="145" t="str">
        <f t="shared" ca="1" si="9"/>
        <v/>
      </c>
      <c r="AH11" s="145">
        <f t="shared" ca="1" si="6"/>
        <v>0</v>
      </c>
      <c r="AI11" s="146" t="e">
        <f>#REF!</f>
        <v>#REF!</v>
      </c>
      <c r="AJ11" s="146" t="e">
        <f>IF(#REF!="","",#REF!)</f>
        <v>#REF!</v>
      </c>
      <c r="AK11" s="146" t="e">
        <f>#REF!</f>
        <v>#REF!</v>
      </c>
      <c r="AL11" s="146" t="e">
        <f>#REF!</f>
        <v>#REF!</v>
      </c>
      <c r="AM11" s="146" t="e">
        <f>#REF!</f>
        <v>#REF!</v>
      </c>
    </row>
    <row r="12" spans="1:39" x14ac:dyDescent="0.2">
      <c r="A12" s="1">
        <v>9</v>
      </c>
      <c r="B12" s="2" t="str">
        <f t="shared" ca="1" si="7"/>
        <v xml:space="preserve">, </v>
      </c>
      <c r="C12" s="141" t="str">
        <f t="shared" ca="1" si="8"/>
        <v/>
      </c>
      <c r="D12" s="141" t="str">
        <f t="shared" ca="1" si="0"/>
        <v/>
      </c>
      <c r="E12" s="141">
        <f t="shared" ca="1" si="0"/>
        <v>0</v>
      </c>
      <c r="F12" s="142" t="str">
        <f t="shared" ca="1" si="1"/>
        <v/>
      </c>
      <c r="G12" s="142" t="str">
        <f t="shared" ca="1" si="1"/>
        <v/>
      </c>
      <c r="H12" s="142" t="str">
        <f t="shared" ca="1" si="1"/>
        <v/>
      </c>
      <c r="I12" s="142" t="str">
        <f t="shared" ca="1" si="1"/>
        <v/>
      </c>
      <c r="J12" s="143" t="str">
        <f t="shared" ca="1" si="2"/>
        <v/>
      </c>
      <c r="K12" s="143" t="str">
        <f t="shared" ca="1" si="2"/>
        <v/>
      </c>
      <c r="L12" s="143" t="str">
        <f t="shared" ca="1" si="2"/>
        <v/>
      </c>
      <c r="M12" s="144" t="str">
        <f t="shared" ca="1" si="2"/>
        <v/>
      </c>
      <c r="N12" s="143" t="str">
        <f t="shared" ca="1" si="2"/>
        <v/>
      </c>
      <c r="O12" s="145" t="str">
        <f t="shared" ca="1" si="2"/>
        <v/>
      </c>
      <c r="P12" s="145" t="str">
        <f t="shared" ca="1" si="2"/>
        <v/>
      </c>
      <c r="Q12" s="145" t="str">
        <f t="shared" ca="1" si="2"/>
        <v/>
      </c>
      <c r="R12" s="145" t="str">
        <f t="shared" ca="1" si="3"/>
        <v/>
      </c>
      <c r="S12" s="141" t="str">
        <f t="shared" ca="1" si="3"/>
        <v/>
      </c>
      <c r="T12" s="141">
        <f t="shared" ca="1" si="4"/>
        <v>0</v>
      </c>
      <c r="U12" s="141">
        <f t="shared" ca="1" si="4"/>
        <v>0</v>
      </c>
      <c r="V12" s="142" t="str">
        <f t="shared" ca="1" si="9"/>
        <v/>
      </c>
      <c r="W12" s="142" t="str">
        <f t="shared" ca="1" si="9"/>
        <v/>
      </c>
      <c r="X12" s="142" t="str">
        <f t="shared" ca="1" si="9"/>
        <v/>
      </c>
      <c r="Y12" s="142" t="str">
        <f t="shared" ca="1" si="9"/>
        <v/>
      </c>
      <c r="Z12" s="143" t="str">
        <f t="shared" ca="1" si="9"/>
        <v/>
      </c>
      <c r="AA12" s="143" t="str">
        <f t="shared" ca="1" si="9"/>
        <v/>
      </c>
      <c r="AB12" s="143" t="str">
        <f t="shared" ca="1" si="9"/>
        <v/>
      </c>
      <c r="AC12" s="143" t="str">
        <f t="shared" ca="1" si="9"/>
        <v/>
      </c>
      <c r="AD12" s="143" t="str">
        <f t="shared" ca="1" si="9"/>
        <v/>
      </c>
      <c r="AE12" s="145" t="str">
        <f t="shared" ca="1" si="9"/>
        <v/>
      </c>
      <c r="AF12" s="145" t="str">
        <f t="shared" ca="1" si="9"/>
        <v/>
      </c>
      <c r="AG12" s="145" t="str">
        <f t="shared" ca="1" si="9"/>
        <v/>
      </c>
      <c r="AH12" s="145">
        <f t="shared" ca="1" si="6"/>
        <v>0</v>
      </c>
      <c r="AI12" s="146" t="e">
        <f>#REF!</f>
        <v>#REF!</v>
      </c>
      <c r="AJ12" s="146" t="e">
        <f>IF(#REF!="","",#REF!)</f>
        <v>#REF!</v>
      </c>
      <c r="AK12" s="146" t="e">
        <f>#REF!</f>
        <v>#REF!</v>
      </c>
      <c r="AL12" s="146" t="e">
        <f>#REF!</f>
        <v>#REF!</v>
      </c>
      <c r="AM12" s="146" t="e">
        <f>#REF!</f>
        <v>#REF!</v>
      </c>
    </row>
    <row r="13" spans="1:39" x14ac:dyDescent="0.2">
      <c r="A13" s="1">
        <v>10</v>
      </c>
      <c r="B13" s="2" t="str">
        <f t="shared" ca="1" si="7"/>
        <v xml:space="preserve">, </v>
      </c>
      <c r="C13" s="141" t="str">
        <f t="shared" ca="1" si="8"/>
        <v/>
      </c>
      <c r="D13" s="141" t="str">
        <f t="shared" ca="1" si="0"/>
        <v/>
      </c>
      <c r="E13" s="141">
        <f t="shared" ca="1" si="0"/>
        <v>0</v>
      </c>
      <c r="F13" s="142" t="str">
        <f t="shared" ca="1" si="1"/>
        <v/>
      </c>
      <c r="G13" s="142" t="str">
        <f t="shared" ca="1" si="1"/>
        <v/>
      </c>
      <c r="H13" s="142" t="str">
        <f t="shared" ca="1" si="1"/>
        <v/>
      </c>
      <c r="I13" s="142" t="str">
        <f t="shared" ca="1" si="1"/>
        <v/>
      </c>
      <c r="J13" s="143" t="str">
        <f t="shared" ca="1" si="2"/>
        <v/>
      </c>
      <c r="K13" s="143" t="str">
        <f t="shared" ca="1" si="2"/>
        <v/>
      </c>
      <c r="L13" s="143" t="str">
        <f t="shared" ca="1" si="2"/>
        <v/>
      </c>
      <c r="M13" s="144" t="str">
        <f t="shared" ca="1" si="2"/>
        <v/>
      </c>
      <c r="N13" s="143" t="str">
        <f t="shared" ca="1" si="2"/>
        <v/>
      </c>
      <c r="O13" s="145" t="str">
        <f t="shared" ca="1" si="2"/>
        <v/>
      </c>
      <c r="P13" s="145" t="str">
        <f t="shared" ca="1" si="2"/>
        <v/>
      </c>
      <c r="Q13" s="145" t="str">
        <f t="shared" ca="1" si="2"/>
        <v/>
      </c>
      <c r="R13" s="145" t="str">
        <f t="shared" ca="1" si="3"/>
        <v/>
      </c>
      <c r="S13" s="141" t="str">
        <f t="shared" ca="1" si="3"/>
        <v/>
      </c>
      <c r="T13" s="141">
        <f t="shared" ca="1" si="4"/>
        <v>0</v>
      </c>
      <c r="U13" s="141">
        <f t="shared" ca="1" si="4"/>
        <v>0</v>
      </c>
      <c r="V13" s="142" t="str">
        <f t="shared" ca="1" si="9"/>
        <v/>
      </c>
      <c r="W13" s="142" t="str">
        <f t="shared" ca="1" si="9"/>
        <v/>
      </c>
      <c r="X13" s="142" t="str">
        <f t="shared" ca="1" si="9"/>
        <v/>
      </c>
      <c r="Y13" s="142" t="str">
        <f t="shared" ca="1" si="9"/>
        <v/>
      </c>
      <c r="Z13" s="143" t="str">
        <f t="shared" ca="1" si="9"/>
        <v/>
      </c>
      <c r="AA13" s="143" t="str">
        <f t="shared" ca="1" si="9"/>
        <v/>
      </c>
      <c r="AB13" s="143" t="str">
        <f t="shared" ca="1" si="9"/>
        <v/>
      </c>
      <c r="AC13" s="143" t="str">
        <f t="shared" ca="1" si="9"/>
        <v/>
      </c>
      <c r="AD13" s="143" t="str">
        <f t="shared" ca="1" si="9"/>
        <v/>
      </c>
      <c r="AE13" s="145" t="str">
        <f t="shared" ca="1" si="9"/>
        <v/>
      </c>
      <c r="AF13" s="145" t="str">
        <f t="shared" ca="1" si="9"/>
        <v/>
      </c>
      <c r="AG13" s="145" t="str">
        <f t="shared" ca="1" si="9"/>
        <v/>
      </c>
      <c r="AH13" s="145">
        <f t="shared" ca="1" si="6"/>
        <v>0</v>
      </c>
      <c r="AI13" s="146" t="e">
        <f>#REF!</f>
        <v>#REF!</v>
      </c>
      <c r="AJ13" s="146" t="e">
        <f>IF(#REF!="","",#REF!)</f>
        <v>#REF!</v>
      </c>
      <c r="AK13" s="146" t="e">
        <f>#REF!</f>
        <v>#REF!</v>
      </c>
      <c r="AL13" s="146" t="e">
        <f>#REF!</f>
        <v>#REF!</v>
      </c>
      <c r="AM13" s="146" t="e">
        <f>#REF!</f>
        <v>#REF!</v>
      </c>
    </row>
    <row r="14" spans="1:39" x14ac:dyDescent="0.2">
      <c r="A14" s="1">
        <v>11</v>
      </c>
      <c r="B14" s="2" t="str">
        <f t="shared" ca="1" si="7"/>
        <v xml:space="preserve">, </v>
      </c>
      <c r="C14" s="141" t="str">
        <f t="shared" ca="1" si="8"/>
        <v/>
      </c>
      <c r="D14" s="141" t="str">
        <f t="shared" ca="1" si="0"/>
        <v/>
      </c>
      <c r="E14" s="141">
        <f t="shared" ca="1" si="0"/>
        <v>0</v>
      </c>
      <c r="F14" s="142" t="str">
        <f t="shared" ca="1" si="1"/>
        <v/>
      </c>
      <c r="G14" s="142" t="str">
        <f t="shared" ca="1" si="1"/>
        <v/>
      </c>
      <c r="H14" s="142" t="str">
        <f t="shared" ca="1" si="1"/>
        <v/>
      </c>
      <c r="I14" s="142" t="str">
        <f t="shared" ca="1" si="1"/>
        <v/>
      </c>
      <c r="J14" s="143" t="str">
        <f t="shared" ca="1" si="2"/>
        <v/>
      </c>
      <c r="K14" s="143" t="str">
        <f t="shared" ca="1" si="2"/>
        <v/>
      </c>
      <c r="L14" s="143" t="str">
        <f t="shared" ca="1" si="2"/>
        <v/>
      </c>
      <c r="M14" s="144" t="str">
        <f t="shared" ca="1" si="2"/>
        <v/>
      </c>
      <c r="N14" s="143" t="str">
        <f t="shared" ca="1" si="2"/>
        <v/>
      </c>
      <c r="O14" s="145" t="str">
        <f t="shared" ca="1" si="2"/>
        <v/>
      </c>
      <c r="P14" s="145" t="str">
        <f t="shared" ca="1" si="2"/>
        <v/>
      </c>
      <c r="Q14" s="145" t="str">
        <f t="shared" ca="1" si="2"/>
        <v/>
      </c>
      <c r="R14" s="145" t="str">
        <f t="shared" ca="1" si="3"/>
        <v/>
      </c>
      <c r="S14" s="141" t="str">
        <f t="shared" ca="1" si="3"/>
        <v/>
      </c>
      <c r="T14" s="141">
        <f t="shared" ca="1" si="4"/>
        <v>0</v>
      </c>
      <c r="U14" s="141">
        <f t="shared" ca="1" si="4"/>
        <v>0</v>
      </c>
      <c r="V14" s="142" t="str">
        <f t="shared" ca="1" si="9"/>
        <v/>
      </c>
      <c r="W14" s="142" t="str">
        <f t="shared" ca="1" si="9"/>
        <v/>
      </c>
      <c r="X14" s="142" t="str">
        <f t="shared" ca="1" si="9"/>
        <v/>
      </c>
      <c r="Y14" s="142" t="str">
        <f t="shared" ca="1" si="9"/>
        <v/>
      </c>
      <c r="Z14" s="143" t="str">
        <f t="shared" ca="1" si="9"/>
        <v/>
      </c>
      <c r="AA14" s="143" t="str">
        <f t="shared" ca="1" si="9"/>
        <v/>
      </c>
      <c r="AB14" s="143" t="str">
        <f t="shared" ca="1" si="9"/>
        <v/>
      </c>
      <c r="AC14" s="143" t="str">
        <f t="shared" ca="1" si="9"/>
        <v/>
      </c>
      <c r="AD14" s="143" t="str">
        <f t="shared" ca="1" si="9"/>
        <v/>
      </c>
      <c r="AE14" s="145" t="str">
        <f t="shared" ca="1" si="9"/>
        <v/>
      </c>
      <c r="AF14" s="145" t="str">
        <f t="shared" ca="1" si="9"/>
        <v/>
      </c>
      <c r="AG14" s="145" t="str">
        <f t="shared" ca="1" si="9"/>
        <v/>
      </c>
      <c r="AH14" s="145">
        <f t="shared" ca="1" si="6"/>
        <v>0</v>
      </c>
      <c r="AI14" s="146" t="e">
        <f>#REF!</f>
        <v>#REF!</v>
      </c>
      <c r="AJ14" s="146" t="e">
        <f>IF(#REF!="","",#REF!)</f>
        <v>#REF!</v>
      </c>
      <c r="AK14" s="146" t="e">
        <f>#REF!</f>
        <v>#REF!</v>
      </c>
      <c r="AL14" s="146" t="e">
        <f>#REF!</f>
        <v>#REF!</v>
      </c>
      <c r="AM14" s="146" t="e">
        <f>#REF!</f>
        <v>#REF!</v>
      </c>
    </row>
    <row r="15" spans="1:39" x14ac:dyDescent="0.2">
      <c r="A15" s="1">
        <v>12</v>
      </c>
      <c r="B15" s="2" t="str">
        <f t="shared" ca="1" si="7"/>
        <v xml:space="preserve">, </v>
      </c>
      <c r="C15" s="141" t="str">
        <f t="shared" ca="1" si="8"/>
        <v/>
      </c>
      <c r="D15" s="141" t="str">
        <f t="shared" ca="1" si="0"/>
        <v/>
      </c>
      <c r="E15" s="141">
        <f t="shared" ca="1" si="0"/>
        <v>0</v>
      </c>
      <c r="F15" s="142" t="str">
        <f t="shared" ca="1" si="1"/>
        <v/>
      </c>
      <c r="G15" s="142" t="str">
        <f t="shared" ca="1" si="1"/>
        <v/>
      </c>
      <c r="H15" s="142" t="str">
        <f t="shared" ca="1" si="1"/>
        <v/>
      </c>
      <c r="I15" s="142" t="str">
        <f t="shared" ca="1" si="1"/>
        <v/>
      </c>
      <c r="J15" s="143" t="str">
        <f t="shared" ca="1" si="2"/>
        <v/>
      </c>
      <c r="K15" s="143" t="str">
        <f t="shared" ca="1" si="2"/>
        <v/>
      </c>
      <c r="L15" s="143" t="str">
        <f t="shared" ca="1" si="2"/>
        <v/>
      </c>
      <c r="M15" s="144" t="str">
        <f t="shared" ca="1" si="2"/>
        <v/>
      </c>
      <c r="N15" s="143" t="str">
        <f t="shared" ca="1" si="2"/>
        <v/>
      </c>
      <c r="O15" s="145" t="str">
        <f t="shared" ca="1" si="2"/>
        <v/>
      </c>
      <c r="P15" s="145" t="str">
        <f t="shared" ca="1" si="2"/>
        <v/>
      </c>
      <c r="Q15" s="145" t="str">
        <f t="shared" ca="1" si="2"/>
        <v/>
      </c>
      <c r="R15" s="145" t="str">
        <f t="shared" ca="1" si="3"/>
        <v/>
      </c>
      <c r="S15" s="141" t="str">
        <f t="shared" ca="1" si="3"/>
        <v/>
      </c>
      <c r="T15" s="141">
        <f t="shared" ca="1" si="4"/>
        <v>0</v>
      </c>
      <c r="U15" s="141">
        <f t="shared" ca="1" si="4"/>
        <v>0</v>
      </c>
      <c r="V15" s="142" t="str">
        <f t="shared" ca="1" si="9"/>
        <v/>
      </c>
      <c r="W15" s="142" t="str">
        <f t="shared" ca="1" si="9"/>
        <v/>
      </c>
      <c r="X15" s="142" t="str">
        <f t="shared" ca="1" si="9"/>
        <v/>
      </c>
      <c r="Y15" s="142" t="str">
        <f t="shared" ca="1" si="9"/>
        <v/>
      </c>
      <c r="Z15" s="143" t="str">
        <f t="shared" ca="1" si="9"/>
        <v/>
      </c>
      <c r="AA15" s="143" t="str">
        <f t="shared" ca="1" si="9"/>
        <v/>
      </c>
      <c r="AB15" s="143" t="str">
        <f t="shared" ca="1" si="9"/>
        <v/>
      </c>
      <c r="AC15" s="143" t="str">
        <f t="shared" ca="1" si="9"/>
        <v/>
      </c>
      <c r="AD15" s="143" t="str">
        <f t="shared" ca="1" si="9"/>
        <v/>
      </c>
      <c r="AE15" s="145" t="str">
        <f t="shared" ca="1" si="9"/>
        <v/>
      </c>
      <c r="AF15" s="145" t="str">
        <f t="shared" ca="1" si="9"/>
        <v/>
      </c>
      <c r="AG15" s="145" t="str">
        <f t="shared" ca="1" si="9"/>
        <v/>
      </c>
      <c r="AH15" s="145">
        <f t="shared" ca="1" si="6"/>
        <v>0</v>
      </c>
      <c r="AI15" s="146" t="e">
        <f>#REF!</f>
        <v>#REF!</v>
      </c>
      <c r="AJ15" s="146" t="e">
        <f>IF(#REF!="","",#REF!)</f>
        <v>#REF!</v>
      </c>
      <c r="AK15" s="146" t="e">
        <f>#REF!</f>
        <v>#REF!</v>
      </c>
      <c r="AL15" s="146" t="e">
        <f>#REF!</f>
        <v>#REF!</v>
      </c>
      <c r="AM15" s="146" t="e">
        <f>#REF!</f>
        <v>#REF!</v>
      </c>
    </row>
    <row r="16" spans="1:39" x14ac:dyDescent="0.2">
      <c r="A16" s="1">
        <v>13</v>
      </c>
      <c r="B16" s="2" t="str">
        <f t="shared" ca="1" si="7"/>
        <v xml:space="preserve">, </v>
      </c>
      <c r="C16" s="141" t="str">
        <f t="shared" ca="1" si="8"/>
        <v/>
      </c>
      <c r="D16" s="141" t="str">
        <f t="shared" ca="1" si="0"/>
        <v/>
      </c>
      <c r="E16" s="141">
        <f t="shared" ca="1" si="0"/>
        <v>0</v>
      </c>
      <c r="F16" s="142" t="str">
        <f t="shared" ca="1" si="1"/>
        <v/>
      </c>
      <c r="G16" s="142" t="str">
        <f t="shared" ca="1" si="1"/>
        <v/>
      </c>
      <c r="H16" s="142" t="str">
        <f t="shared" ca="1" si="1"/>
        <v/>
      </c>
      <c r="I16" s="142" t="str">
        <f t="shared" ca="1" si="1"/>
        <v/>
      </c>
      <c r="J16" s="143" t="str">
        <f t="shared" ca="1" si="2"/>
        <v/>
      </c>
      <c r="K16" s="143" t="str">
        <f t="shared" ca="1" si="2"/>
        <v/>
      </c>
      <c r="L16" s="143" t="str">
        <f t="shared" ca="1" si="2"/>
        <v/>
      </c>
      <c r="M16" s="144" t="str">
        <f t="shared" ca="1" si="2"/>
        <v/>
      </c>
      <c r="N16" s="143" t="str">
        <f t="shared" ca="1" si="2"/>
        <v/>
      </c>
      <c r="O16" s="145" t="str">
        <f t="shared" ca="1" si="2"/>
        <v/>
      </c>
      <c r="P16" s="145" t="str">
        <f t="shared" ca="1" si="2"/>
        <v/>
      </c>
      <c r="Q16" s="145" t="str">
        <f t="shared" ca="1" si="2"/>
        <v/>
      </c>
      <c r="R16" s="145" t="str">
        <f t="shared" ca="1" si="3"/>
        <v/>
      </c>
      <c r="S16" s="141" t="str">
        <f t="shared" ca="1" si="3"/>
        <v/>
      </c>
      <c r="T16" s="141">
        <f t="shared" ca="1" si="4"/>
        <v>0</v>
      </c>
      <c r="U16" s="141">
        <f t="shared" ca="1" si="4"/>
        <v>0</v>
      </c>
      <c r="V16" s="142" t="str">
        <f t="shared" ca="1" si="9"/>
        <v/>
      </c>
      <c r="W16" s="142" t="str">
        <f t="shared" ca="1" si="9"/>
        <v/>
      </c>
      <c r="X16" s="142" t="str">
        <f t="shared" ca="1" si="9"/>
        <v/>
      </c>
      <c r="Y16" s="142" t="str">
        <f t="shared" ca="1" si="9"/>
        <v/>
      </c>
      <c r="Z16" s="143" t="str">
        <f t="shared" ca="1" si="9"/>
        <v/>
      </c>
      <c r="AA16" s="143" t="str">
        <f t="shared" ca="1" si="9"/>
        <v/>
      </c>
      <c r="AB16" s="143" t="str">
        <f t="shared" ca="1" si="9"/>
        <v/>
      </c>
      <c r="AC16" s="143" t="str">
        <f t="shared" ca="1" si="9"/>
        <v/>
      </c>
      <c r="AD16" s="143" t="str">
        <f t="shared" ca="1" si="9"/>
        <v/>
      </c>
      <c r="AE16" s="145" t="str">
        <f t="shared" ca="1" si="9"/>
        <v/>
      </c>
      <c r="AF16" s="145" t="str">
        <f t="shared" ca="1" si="9"/>
        <v/>
      </c>
      <c r="AG16" s="145" t="str">
        <f t="shared" ca="1" si="9"/>
        <v/>
      </c>
      <c r="AH16" s="145">
        <f t="shared" ca="1" si="6"/>
        <v>0</v>
      </c>
      <c r="AI16" s="146" t="e">
        <f>#REF!</f>
        <v>#REF!</v>
      </c>
      <c r="AJ16" s="146" t="e">
        <f>IF(#REF!="","",#REF!)</f>
        <v>#REF!</v>
      </c>
      <c r="AK16" s="146" t="e">
        <f>#REF!</f>
        <v>#REF!</v>
      </c>
      <c r="AL16" s="146" t="e">
        <f>#REF!</f>
        <v>#REF!</v>
      </c>
      <c r="AM16" s="146" t="e">
        <f>#REF!</f>
        <v>#REF!</v>
      </c>
    </row>
    <row r="17" spans="1:39" x14ac:dyDescent="0.2">
      <c r="A17" s="1">
        <v>14</v>
      </c>
      <c r="B17" s="2" t="str">
        <f t="shared" ca="1" si="7"/>
        <v xml:space="preserve">, </v>
      </c>
      <c r="C17" s="141" t="str">
        <f t="shared" ca="1" si="8"/>
        <v/>
      </c>
      <c r="D17" s="141" t="str">
        <f t="shared" ca="1" si="0"/>
        <v/>
      </c>
      <c r="E17" s="141">
        <f t="shared" ca="1" si="0"/>
        <v>0</v>
      </c>
      <c r="F17" s="142" t="str">
        <f t="shared" ca="1" si="1"/>
        <v/>
      </c>
      <c r="G17" s="142" t="str">
        <f t="shared" ca="1" si="1"/>
        <v/>
      </c>
      <c r="H17" s="142" t="str">
        <f t="shared" ca="1" si="1"/>
        <v/>
      </c>
      <c r="I17" s="142" t="str">
        <f t="shared" ca="1" si="1"/>
        <v/>
      </c>
      <c r="J17" s="143" t="str">
        <f t="shared" ca="1" si="2"/>
        <v/>
      </c>
      <c r="K17" s="143" t="str">
        <f t="shared" ca="1" si="2"/>
        <v/>
      </c>
      <c r="L17" s="143" t="str">
        <f t="shared" ca="1" si="2"/>
        <v/>
      </c>
      <c r="M17" s="144" t="str">
        <f t="shared" ca="1" si="2"/>
        <v/>
      </c>
      <c r="N17" s="143" t="str">
        <f t="shared" ca="1" si="2"/>
        <v/>
      </c>
      <c r="O17" s="145" t="str">
        <f t="shared" ca="1" si="2"/>
        <v/>
      </c>
      <c r="P17" s="145" t="str">
        <f t="shared" ca="1" si="2"/>
        <v/>
      </c>
      <c r="Q17" s="145" t="str">
        <f t="shared" ca="1" si="2"/>
        <v/>
      </c>
      <c r="R17" s="145" t="str">
        <f t="shared" ca="1" si="3"/>
        <v/>
      </c>
      <c r="S17" s="141" t="str">
        <f t="shared" ca="1" si="3"/>
        <v/>
      </c>
      <c r="T17" s="141">
        <f t="shared" ca="1" si="4"/>
        <v>0</v>
      </c>
      <c r="U17" s="141">
        <f t="shared" ca="1" si="4"/>
        <v>0</v>
      </c>
      <c r="V17" s="142" t="str">
        <f t="shared" ca="1" si="9"/>
        <v/>
      </c>
      <c r="W17" s="142" t="str">
        <f t="shared" ca="1" si="9"/>
        <v/>
      </c>
      <c r="X17" s="142" t="str">
        <f t="shared" ca="1" si="9"/>
        <v/>
      </c>
      <c r="Y17" s="142" t="str">
        <f t="shared" ca="1" si="9"/>
        <v/>
      </c>
      <c r="Z17" s="143" t="str">
        <f t="shared" ca="1" si="9"/>
        <v/>
      </c>
      <c r="AA17" s="143" t="str">
        <f t="shared" ca="1" si="9"/>
        <v/>
      </c>
      <c r="AB17" s="143" t="str">
        <f t="shared" ca="1" si="9"/>
        <v/>
      </c>
      <c r="AC17" s="143" t="str">
        <f t="shared" ca="1" si="9"/>
        <v/>
      </c>
      <c r="AD17" s="143" t="str">
        <f t="shared" ca="1" si="9"/>
        <v/>
      </c>
      <c r="AE17" s="145" t="str">
        <f t="shared" ca="1" si="9"/>
        <v/>
      </c>
      <c r="AF17" s="145" t="str">
        <f t="shared" ca="1" si="9"/>
        <v/>
      </c>
      <c r="AG17" s="145" t="str">
        <f t="shared" ca="1" si="9"/>
        <v/>
      </c>
      <c r="AH17" s="145">
        <f t="shared" ca="1" si="6"/>
        <v>0</v>
      </c>
      <c r="AI17" s="146" t="e">
        <f>#REF!</f>
        <v>#REF!</v>
      </c>
      <c r="AJ17" s="146" t="e">
        <f>IF(#REF!="","",#REF!)</f>
        <v>#REF!</v>
      </c>
      <c r="AK17" s="146" t="e">
        <f>#REF!</f>
        <v>#REF!</v>
      </c>
      <c r="AL17" s="146" t="e">
        <f>#REF!</f>
        <v>#REF!</v>
      </c>
      <c r="AM17" s="146" t="e">
        <f>#REF!</f>
        <v>#REF!</v>
      </c>
    </row>
    <row r="18" spans="1:39" x14ac:dyDescent="0.2">
      <c r="A18" s="1">
        <v>15</v>
      </c>
      <c r="B18" s="2" t="str">
        <f t="shared" ca="1" si="7"/>
        <v xml:space="preserve">, </v>
      </c>
      <c r="C18" s="141" t="str">
        <f t="shared" ca="1" si="8"/>
        <v/>
      </c>
      <c r="D18" s="141" t="str">
        <f t="shared" ca="1" si="0"/>
        <v/>
      </c>
      <c r="E18" s="141">
        <f t="shared" ca="1" si="0"/>
        <v>0</v>
      </c>
      <c r="F18" s="142" t="str">
        <f t="shared" ca="1" si="1"/>
        <v/>
      </c>
      <c r="G18" s="142" t="str">
        <f t="shared" ca="1" si="1"/>
        <v/>
      </c>
      <c r="H18" s="142" t="str">
        <f t="shared" ca="1" si="1"/>
        <v/>
      </c>
      <c r="I18" s="142" t="str">
        <f t="shared" ca="1" si="1"/>
        <v/>
      </c>
      <c r="J18" s="143" t="str">
        <f t="shared" ca="1" si="2"/>
        <v/>
      </c>
      <c r="K18" s="143" t="str">
        <f t="shared" ca="1" si="2"/>
        <v/>
      </c>
      <c r="L18" s="143" t="str">
        <f t="shared" ca="1" si="2"/>
        <v/>
      </c>
      <c r="M18" s="144" t="str">
        <f t="shared" ca="1" si="2"/>
        <v/>
      </c>
      <c r="N18" s="143" t="str">
        <f t="shared" ca="1" si="2"/>
        <v/>
      </c>
      <c r="O18" s="145" t="str">
        <f t="shared" ca="1" si="2"/>
        <v/>
      </c>
      <c r="P18" s="145" t="str">
        <f t="shared" ca="1" si="2"/>
        <v/>
      </c>
      <c r="Q18" s="145" t="str">
        <f t="shared" ca="1" si="2"/>
        <v/>
      </c>
      <c r="R18" s="145" t="str">
        <f t="shared" ca="1" si="3"/>
        <v/>
      </c>
      <c r="S18" s="141" t="str">
        <f t="shared" ca="1" si="3"/>
        <v/>
      </c>
      <c r="T18" s="141">
        <f t="shared" ca="1" si="4"/>
        <v>0</v>
      </c>
      <c r="U18" s="141">
        <f t="shared" ca="1" si="4"/>
        <v>0</v>
      </c>
      <c r="V18" s="142" t="str">
        <f t="shared" ca="1" si="9"/>
        <v/>
      </c>
      <c r="W18" s="142" t="str">
        <f t="shared" ca="1" si="9"/>
        <v/>
      </c>
      <c r="X18" s="142" t="str">
        <f t="shared" ca="1" si="9"/>
        <v/>
      </c>
      <c r="Y18" s="142" t="str">
        <f t="shared" ca="1" si="9"/>
        <v/>
      </c>
      <c r="Z18" s="143" t="str">
        <f t="shared" ca="1" si="9"/>
        <v/>
      </c>
      <c r="AA18" s="143" t="str">
        <f t="shared" ca="1" si="9"/>
        <v/>
      </c>
      <c r="AB18" s="143" t="str">
        <f t="shared" ca="1" si="9"/>
        <v/>
      </c>
      <c r="AC18" s="143" t="str">
        <f t="shared" ca="1" si="9"/>
        <v/>
      </c>
      <c r="AD18" s="143" t="str">
        <f t="shared" ca="1" si="9"/>
        <v/>
      </c>
      <c r="AE18" s="145" t="str">
        <f t="shared" ca="1" si="9"/>
        <v/>
      </c>
      <c r="AF18" s="145" t="str">
        <f t="shared" ca="1" si="9"/>
        <v/>
      </c>
      <c r="AG18" s="145" t="str">
        <f t="shared" ca="1" si="9"/>
        <v/>
      </c>
      <c r="AH18" s="145">
        <f t="shared" ca="1" si="6"/>
        <v>0</v>
      </c>
      <c r="AI18" s="146" t="e">
        <f>#REF!</f>
        <v>#REF!</v>
      </c>
      <c r="AJ18" s="146" t="e">
        <f>IF(#REF!="","",#REF!)</f>
        <v>#REF!</v>
      </c>
      <c r="AK18" s="146" t="e">
        <f>#REF!</f>
        <v>#REF!</v>
      </c>
      <c r="AL18" s="146" t="e">
        <f>#REF!</f>
        <v>#REF!</v>
      </c>
      <c r="AM18" s="146" t="e">
        <f>#REF!</f>
        <v>#REF!</v>
      </c>
    </row>
    <row r="19" spans="1:39" x14ac:dyDescent="0.2">
      <c r="A19" s="1">
        <v>16</v>
      </c>
      <c r="B19" s="2" t="str">
        <f t="shared" ca="1" si="7"/>
        <v xml:space="preserve">, </v>
      </c>
      <c r="C19" s="141" t="str">
        <f t="shared" ca="1" si="8"/>
        <v/>
      </c>
      <c r="D19" s="141" t="str">
        <f t="shared" ca="1" si="0"/>
        <v/>
      </c>
      <c r="E19" s="141">
        <f t="shared" ca="1" si="0"/>
        <v>0</v>
      </c>
      <c r="F19" s="142" t="str">
        <f t="shared" ca="1" si="1"/>
        <v/>
      </c>
      <c r="G19" s="142" t="str">
        <f t="shared" ca="1" si="1"/>
        <v/>
      </c>
      <c r="H19" s="142" t="str">
        <f t="shared" ca="1" si="1"/>
        <v/>
      </c>
      <c r="I19" s="142" t="str">
        <f t="shared" ca="1" si="1"/>
        <v/>
      </c>
      <c r="J19" s="143" t="str">
        <f t="shared" ca="1" si="2"/>
        <v/>
      </c>
      <c r="K19" s="143" t="str">
        <f t="shared" ca="1" si="2"/>
        <v/>
      </c>
      <c r="L19" s="143" t="str">
        <f t="shared" ca="1" si="2"/>
        <v/>
      </c>
      <c r="M19" s="144" t="str">
        <f t="shared" ca="1" si="2"/>
        <v/>
      </c>
      <c r="N19" s="143" t="str">
        <f t="shared" ca="1" si="2"/>
        <v/>
      </c>
      <c r="O19" s="145" t="str">
        <f t="shared" ca="1" si="2"/>
        <v/>
      </c>
      <c r="P19" s="145" t="str">
        <f t="shared" ca="1" si="2"/>
        <v/>
      </c>
      <c r="Q19" s="145" t="str">
        <f t="shared" ca="1" si="2"/>
        <v/>
      </c>
      <c r="R19" s="145" t="str">
        <f t="shared" ca="1" si="3"/>
        <v/>
      </c>
      <c r="S19" s="141" t="str">
        <f t="shared" ca="1" si="3"/>
        <v/>
      </c>
      <c r="T19" s="141">
        <f t="shared" ca="1" si="4"/>
        <v>0</v>
      </c>
      <c r="U19" s="141">
        <f t="shared" ca="1" si="4"/>
        <v>0</v>
      </c>
      <c r="V19" s="142" t="str">
        <f t="shared" ca="1" si="9"/>
        <v/>
      </c>
      <c r="W19" s="142" t="str">
        <f t="shared" ca="1" si="9"/>
        <v/>
      </c>
      <c r="X19" s="142" t="str">
        <f t="shared" ca="1" si="9"/>
        <v/>
      </c>
      <c r="Y19" s="142" t="str">
        <f t="shared" ca="1" si="9"/>
        <v/>
      </c>
      <c r="Z19" s="143" t="str">
        <f t="shared" ca="1" si="9"/>
        <v/>
      </c>
      <c r="AA19" s="143" t="str">
        <f t="shared" ca="1" si="9"/>
        <v/>
      </c>
      <c r="AB19" s="143" t="str">
        <f t="shared" ca="1" si="9"/>
        <v/>
      </c>
      <c r="AC19" s="143" t="str">
        <f t="shared" ca="1" si="9"/>
        <v/>
      </c>
      <c r="AD19" s="143" t="str">
        <f t="shared" ca="1" si="9"/>
        <v/>
      </c>
      <c r="AE19" s="145" t="str">
        <f t="shared" ca="1" si="9"/>
        <v/>
      </c>
      <c r="AF19" s="145" t="str">
        <f t="shared" ca="1" si="9"/>
        <v/>
      </c>
      <c r="AG19" s="145" t="str">
        <f t="shared" ca="1" si="9"/>
        <v/>
      </c>
      <c r="AH19" s="145">
        <f t="shared" ca="1" si="6"/>
        <v>0</v>
      </c>
      <c r="AI19" s="146" t="e">
        <f>#REF!</f>
        <v>#REF!</v>
      </c>
      <c r="AJ19" s="146" t="e">
        <f>IF(#REF!="","",#REF!)</f>
        <v>#REF!</v>
      </c>
      <c r="AK19" s="146" t="e">
        <f>#REF!</f>
        <v>#REF!</v>
      </c>
      <c r="AL19" s="146" t="e">
        <f>#REF!</f>
        <v>#REF!</v>
      </c>
      <c r="AM19" s="146" t="e">
        <f>#REF!</f>
        <v>#REF!</v>
      </c>
    </row>
    <row r="20" spans="1:39" x14ac:dyDescent="0.2">
      <c r="A20" s="1">
        <v>17</v>
      </c>
      <c r="B20" s="2" t="str">
        <f t="shared" ca="1" si="7"/>
        <v xml:space="preserve">, </v>
      </c>
      <c r="C20" s="141" t="str">
        <f t="shared" ca="1" si="8"/>
        <v/>
      </c>
      <c r="D20" s="141" t="str">
        <f t="shared" ca="1" si="8"/>
        <v/>
      </c>
      <c r="E20" s="141">
        <f t="shared" ca="1" si="8"/>
        <v>0</v>
      </c>
      <c r="F20" s="142" t="str">
        <f t="shared" ref="F20:Q38" ca="1" si="10">IF(INDIRECT(ADDRESS(4+$A20*2,F$2,,,"Notenbogen"))="","",INDIRECT(ADDRESS(4+$A20*2,F$2,,,"Notenbogen")))</f>
        <v/>
      </c>
      <c r="G20" s="142" t="str">
        <f t="shared" ca="1" si="10"/>
        <v/>
      </c>
      <c r="H20" s="142" t="str">
        <f t="shared" ca="1" si="10"/>
        <v/>
      </c>
      <c r="I20" s="142" t="str">
        <f t="shared" ca="1" si="10"/>
        <v/>
      </c>
      <c r="J20" s="143" t="str">
        <f t="shared" ca="1" si="10"/>
        <v/>
      </c>
      <c r="K20" s="143" t="str">
        <f t="shared" ca="1" si="10"/>
        <v/>
      </c>
      <c r="L20" s="143" t="str">
        <f t="shared" ca="1" si="10"/>
        <v/>
      </c>
      <c r="M20" s="144" t="str">
        <f t="shared" ca="1" si="10"/>
        <v/>
      </c>
      <c r="N20" s="143" t="str">
        <f t="shared" ca="1" si="10"/>
        <v/>
      </c>
      <c r="O20" s="145" t="str">
        <f t="shared" ca="1" si="10"/>
        <v/>
      </c>
      <c r="P20" s="145" t="str">
        <f t="shared" ca="1" si="10"/>
        <v/>
      </c>
      <c r="Q20" s="145" t="str">
        <f t="shared" ca="1" si="10"/>
        <v/>
      </c>
      <c r="R20" s="145" t="str">
        <f t="shared" ref="R20:U38" ca="1" si="11">INDIRECT(ADDRESS(3+$A20*2,R$2,,,"Notenbogen"))</f>
        <v/>
      </c>
      <c r="S20" s="141" t="str">
        <f t="shared" ca="1" si="11"/>
        <v/>
      </c>
      <c r="T20" s="141">
        <f t="shared" ca="1" si="11"/>
        <v>0</v>
      </c>
      <c r="U20" s="141">
        <f t="shared" ca="1" si="11"/>
        <v>0</v>
      </c>
      <c r="V20" s="142" t="str">
        <f t="shared" ca="1" si="9"/>
        <v/>
      </c>
      <c r="W20" s="142" t="str">
        <f t="shared" ca="1" si="9"/>
        <v/>
      </c>
      <c r="X20" s="142" t="str">
        <f t="shared" ca="1" si="9"/>
        <v/>
      </c>
      <c r="Y20" s="142" t="str">
        <f t="shared" ca="1" si="9"/>
        <v/>
      </c>
      <c r="Z20" s="143" t="str">
        <f t="shared" ca="1" si="9"/>
        <v/>
      </c>
      <c r="AA20" s="143" t="str">
        <f t="shared" ca="1" si="9"/>
        <v/>
      </c>
      <c r="AB20" s="143" t="str">
        <f t="shared" ca="1" si="9"/>
        <v/>
      </c>
      <c r="AC20" s="143" t="str">
        <f t="shared" ca="1" si="9"/>
        <v/>
      </c>
      <c r="AD20" s="143" t="str">
        <f t="shared" ca="1" si="9"/>
        <v/>
      </c>
      <c r="AE20" s="145" t="str">
        <f t="shared" ca="1" si="9"/>
        <v/>
      </c>
      <c r="AF20" s="145" t="str">
        <f t="shared" ca="1" si="9"/>
        <v/>
      </c>
      <c r="AG20" s="145" t="str">
        <f t="shared" ca="1" si="9"/>
        <v/>
      </c>
      <c r="AH20" s="145">
        <f t="shared" ca="1" si="6"/>
        <v>0</v>
      </c>
      <c r="AI20" s="146" t="e">
        <f>#REF!</f>
        <v>#REF!</v>
      </c>
      <c r="AJ20" s="146" t="e">
        <f>IF(#REF!="","",#REF!)</f>
        <v>#REF!</v>
      </c>
      <c r="AK20" s="146" t="e">
        <f>#REF!</f>
        <v>#REF!</v>
      </c>
      <c r="AL20" s="146" t="e">
        <f>#REF!</f>
        <v>#REF!</v>
      </c>
      <c r="AM20" s="146" t="e">
        <f>#REF!</f>
        <v>#REF!</v>
      </c>
    </row>
    <row r="21" spans="1:39" x14ac:dyDescent="0.2">
      <c r="A21" s="1">
        <v>18</v>
      </c>
      <c r="B21" s="2" t="str">
        <f t="shared" ca="1" si="7"/>
        <v xml:space="preserve">Gewichte, </v>
      </c>
      <c r="C21" s="141">
        <f t="shared" ca="1" si="8"/>
        <v>1</v>
      </c>
      <c r="D21" s="141">
        <f t="shared" ca="1" si="8"/>
        <v>1</v>
      </c>
      <c r="E21" s="141">
        <f t="shared" ca="1" si="8"/>
        <v>1</v>
      </c>
      <c r="F21" s="142" t="str">
        <f t="shared" ca="1" si="10"/>
        <v/>
      </c>
      <c r="G21" s="142" t="str">
        <f t="shared" ca="1" si="10"/>
        <v/>
      </c>
      <c r="H21" s="142" t="str">
        <f t="shared" ca="1" si="10"/>
        <v/>
      </c>
      <c r="I21" s="142" t="str">
        <f t="shared" ca="1" si="10"/>
        <v/>
      </c>
      <c r="J21" s="143" t="str">
        <f t="shared" ca="1" si="10"/>
        <v/>
      </c>
      <c r="K21" s="143" t="str">
        <f t="shared" ca="1" si="10"/>
        <v/>
      </c>
      <c r="L21" s="143" t="str">
        <f t="shared" ca="1" si="10"/>
        <v/>
      </c>
      <c r="M21" s="144" t="str">
        <f t="shared" ca="1" si="10"/>
        <v/>
      </c>
      <c r="N21" s="143" t="str">
        <f t="shared" ca="1" si="10"/>
        <v/>
      </c>
      <c r="O21" s="145" t="str">
        <f t="shared" ca="1" si="10"/>
        <v/>
      </c>
      <c r="P21" s="145" t="str">
        <f t="shared" ca="1" si="10"/>
        <v/>
      </c>
      <c r="Q21" s="145" t="str">
        <f t="shared" ca="1" si="10"/>
        <v/>
      </c>
      <c r="R21" s="145">
        <f t="shared" ca="1" si="11"/>
        <v>1</v>
      </c>
      <c r="S21" s="141">
        <f t="shared" ca="1" si="11"/>
        <v>1</v>
      </c>
      <c r="T21" s="141">
        <f t="shared" ca="1" si="11"/>
        <v>1</v>
      </c>
      <c r="U21" s="141">
        <f t="shared" ca="1" si="11"/>
        <v>1</v>
      </c>
      <c r="V21" s="142" t="str">
        <f t="shared" ca="1" si="9"/>
        <v/>
      </c>
      <c r="W21" s="142" t="str">
        <f t="shared" ca="1" si="9"/>
        <v/>
      </c>
      <c r="X21" s="142" t="str">
        <f t="shared" ca="1" si="9"/>
        <v/>
      </c>
      <c r="Y21" s="142" t="str">
        <f t="shared" ca="1" si="9"/>
        <v/>
      </c>
      <c r="Z21" s="143" t="str">
        <f t="shared" ca="1" si="9"/>
        <v/>
      </c>
      <c r="AA21" s="143" t="str">
        <f t="shared" ca="1" si="9"/>
        <v/>
      </c>
      <c r="AB21" s="143" t="str">
        <f t="shared" ca="1" si="9"/>
        <v/>
      </c>
      <c r="AC21" s="143" t="str">
        <f t="shared" ca="1" si="9"/>
        <v/>
      </c>
      <c r="AD21" s="143" t="str">
        <f t="shared" ca="1" si="9"/>
        <v/>
      </c>
      <c r="AE21" s="145" t="str">
        <f t="shared" ca="1" si="9"/>
        <v/>
      </c>
      <c r="AF21" s="145" t="str">
        <f t="shared" ca="1" si="9"/>
        <v/>
      </c>
      <c r="AG21" s="145" t="str">
        <f t="shared" ca="1" si="9"/>
        <v/>
      </c>
      <c r="AH21" s="145">
        <f t="shared" ca="1" si="6"/>
        <v>0</v>
      </c>
      <c r="AI21" s="146" t="e">
        <f>#REF!</f>
        <v>#REF!</v>
      </c>
      <c r="AJ21" s="146" t="e">
        <f>IF(#REF!="","",#REF!)</f>
        <v>#REF!</v>
      </c>
      <c r="AK21" s="146" t="e">
        <f>#REF!</f>
        <v>#REF!</v>
      </c>
      <c r="AL21" s="146" t="e">
        <f>#REF!</f>
        <v>#REF!</v>
      </c>
      <c r="AM21" s="146" t="e">
        <f>#REF!</f>
        <v>#REF!</v>
      </c>
    </row>
    <row r="22" spans="1:39" x14ac:dyDescent="0.2">
      <c r="A22" s="1">
        <v>19</v>
      </c>
      <c r="B22" s="2" t="str">
        <f t="shared" ca="1" si="7"/>
        <v xml:space="preserve">, </v>
      </c>
      <c r="C22" s="141">
        <f t="shared" ca="1" si="8"/>
        <v>0</v>
      </c>
      <c r="D22" s="141">
        <f t="shared" ca="1" si="8"/>
        <v>0</v>
      </c>
      <c r="E22" s="141">
        <f t="shared" ca="1" si="8"/>
        <v>0</v>
      </c>
      <c r="F22" s="142" t="str">
        <f t="shared" ca="1" si="10"/>
        <v/>
      </c>
      <c r="G22" s="142" t="str">
        <f t="shared" ca="1" si="10"/>
        <v/>
      </c>
      <c r="H22" s="142" t="str">
        <f t="shared" ca="1" si="10"/>
        <v/>
      </c>
      <c r="I22" s="142" t="str">
        <f t="shared" ca="1" si="10"/>
        <v/>
      </c>
      <c r="J22" s="143" t="str">
        <f t="shared" ca="1" si="10"/>
        <v/>
      </c>
      <c r="K22" s="143" t="str">
        <f t="shared" ca="1" si="10"/>
        <v/>
      </c>
      <c r="L22" s="143" t="str">
        <f t="shared" ca="1" si="10"/>
        <v/>
      </c>
      <c r="M22" s="144" t="str">
        <f t="shared" ca="1" si="10"/>
        <v/>
      </c>
      <c r="N22" s="143" t="str">
        <f t="shared" ca="1" si="10"/>
        <v/>
      </c>
      <c r="O22" s="145" t="str">
        <f t="shared" ca="1" si="10"/>
        <v/>
      </c>
      <c r="P22" s="145" t="str">
        <f t="shared" ca="1" si="10"/>
        <v/>
      </c>
      <c r="Q22" s="145" t="str">
        <f t="shared" ca="1" si="10"/>
        <v/>
      </c>
      <c r="R22" s="145">
        <f t="shared" ca="1" si="11"/>
        <v>0</v>
      </c>
      <c r="S22" s="141">
        <f t="shared" ca="1" si="11"/>
        <v>0</v>
      </c>
      <c r="T22" s="141">
        <f t="shared" ca="1" si="11"/>
        <v>0</v>
      </c>
      <c r="U22" s="141">
        <f t="shared" ca="1" si="11"/>
        <v>0</v>
      </c>
      <c r="V22" s="142" t="str">
        <f t="shared" ca="1" si="9"/>
        <v/>
      </c>
      <c r="W22" s="142" t="str">
        <f t="shared" ca="1" si="9"/>
        <v/>
      </c>
      <c r="X22" s="142" t="str">
        <f t="shared" ca="1" si="9"/>
        <v/>
      </c>
      <c r="Y22" s="142" t="str">
        <f t="shared" ca="1" si="9"/>
        <v/>
      </c>
      <c r="Z22" s="143" t="str">
        <f t="shared" ca="1" si="9"/>
        <v/>
      </c>
      <c r="AA22" s="143" t="str">
        <f t="shared" ca="1" si="9"/>
        <v/>
      </c>
      <c r="AB22" s="143" t="str">
        <f t="shared" ca="1" si="9"/>
        <v/>
      </c>
      <c r="AC22" s="143" t="str">
        <f t="shared" ca="1" si="9"/>
        <v/>
      </c>
      <c r="AD22" s="143" t="str">
        <f t="shared" ca="1" si="9"/>
        <v/>
      </c>
      <c r="AE22" s="145" t="str">
        <f t="shared" ca="1" si="9"/>
        <v/>
      </c>
      <c r="AF22" s="145" t="str">
        <f t="shared" ca="1" si="9"/>
        <v/>
      </c>
      <c r="AG22" s="145" t="str">
        <f t="shared" ca="1" si="9"/>
        <v/>
      </c>
      <c r="AH22" s="145">
        <f t="shared" ca="1" si="6"/>
        <v>0</v>
      </c>
      <c r="AI22" s="146" t="e">
        <f>#REF!</f>
        <v>#REF!</v>
      </c>
      <c r="AJ22" s="146" t="e">
        <f>IF(#REF!="","",#REF!)</f>
        <v>#REF!</v>
      </c>
      <c r="AK22" s="146" t="e">
        <f>#REF!</f>
        <v>#REF!</v>
      </c>
      <c r="AL22" s="146" t="e">
        <f>#REF!</f>
        <v>#REF!</v>
      </c>
      <c r="AM22" s="146" t="e">
        <f>#REF!</f>
        <v>#REF!</v>
      </c>
    </row>
    <row r="23" spans="1:39" x14ac:dyDescent="0.2">
      <c r="A23" s="1">
        <v>20</v>
      </c>
      <c r="B23" s="2" t="str">
        <f t="shared" ca="1" si="7"/>
        <v xml:space="preserve">, </v>
      </c>
      <c r="C23" s="141">
        <f t="shared" ca="1" si="8"/>
        <v>0</v>
      </c>
      <c r="D23" s="141">
        <f t="shared" ca="1" si="8"/>
        <v>0</v>
      </c>
      <c r="E23" s="141">
        <f t="shared" ca="1" si="8"/>
        <v>0</v>
      </c>
      <c r="F23" s="142" t="str">
        <f t="shared" ca="1" si="10"/>
        <v/>
      </c>
      <c r="G23" s="142" t="str">
        <f t="shared" ca="1" si="10"/>
        <v/>
      </c>
      <c r="H23" s="142" t="str">
        <f t="shared" ca="1" si="10"/>
        <v/>
      </c>
      <c r="I23" s="142" t="str">
        <f t="shared" ca="1" si="10"/>
        <v/>
      </c>
      <c r="J23" s="143" t="str">
        <f t="shared" ca="1" si="10"/>
        <v/>
      </c>
      <c r="K23" s="143" t="str">
        <f t="shared" ca="1" si="10"/>
        <v/>
      </c>
      <c r="L23" s="143" t="str">
        <f t="shared" ca="1" si="10"/>
        <v/>
      </c>
      <c r="M23" s="144" t="str">
        <f t="shared" ca="1" si="10"/>
        <v/>
      </c>
      <c r="N23" s="143" t="str">
        <f t="shared" ca="1" si="10"/>
        <v/>
      </c>
      <c r="O23" s="145" t="str">
        <f t="shared" ca="1" si="10"/>
        <v/>
      </c>
      <c r="P23" s="145" t="str">
        <f t="shared" ca="1" si="10"/>
        <v/>
      </c>
      <c r="Q23" s="145" t="str">
        <f t="shared" ca="1" si="10"/>
        <v/>
      </c>
      <c r="R23" s="145">
        <f t="shared" ca="1" si="11"/>
        <v>0</v>
      </c>
      <c r="S23" s="141">
        <f t="shared" ca="1" si="11"/>
        <v>0</v>
      </c>
      <c r="T23" s="141">
        <f t="shared" ca="1" si="11"/>
        <v>0</v>
      </c>
      <c r="U23" s="141">
        <f t="shared" ca="1" si="11"/>
        <v>0</v>
      </c>
      <c r="V23" s="142" t="str">
        <f t="shared" ca="1" si="9"/>
        <v/>
      </c>
      <c r="W23" s="142" t="str">
        <f t="shared" ca="1" si="9"/>
        <v/>
      </c>
      <c r="X23" s="142" t="str">
        <f t="shared" ca="1" si="9"/>
        <v/>
      </c>
      <c r="Y23" s="142" t="str">
        <f t="shared" ca="1" si="9"/>
        <v/>
      </c>
      <c r="Z23" s="143" t="str">
        <f t="shared" ca="1" si="9"/>
        <v/>
      </c>
      <c r="AA23" s="143" t="str">
        <f t="shared" ca="1" si="9"/>
        <v/>
      </c>
      <c r="AB23" s="143" t="str">
        <f t="shared" ca="1" si="9"/>
        <v/>
      </c>
      <c r="AC23" s="143" t="str">
        <f t="shared" ca="1" si="9"/>
        <v/>
      </c>
      <c r="AD23" s="143" t="str">
        <f t="shared" ca="1" si="9"/>
        <v/>
      </c>
      <c r="AE23" s="145" t="str">
        <f t="shared" ca="1" si="9"/>
        <v/>
      </c>
      <c r="AF23" s="145" t="str">
        <f t="shared" ca="1" si="9"/>
        <v/>
      </c>
      <c r="AG23" s="145" t="str">
        <f t="shared" ca="1" si="9"/>
        <v/>
      </c>
      <c r="AH23" s="145">
        <f t="shared" ca="1" si="6"/>
        <v>0</v>
      </c>
      <c r="AI23" s="146" t="e">
        <f>#REF!</f>
        <v>#REF!</v>
      </c>
      <c r="AJ23" s="146" t="e">
        <f>IF(#REF!="","",#REF!)</f>
        <v>#REF!</v>
      </c>
      <c r="AK23" s="146" t="e">
        <f>#REF!</f>
        <v>#REF!</v>
      </c>
      <c r="AL23" s="146" t="e">
        <f>#REF!</f>
        <v>#REF!</v>
      </c>
      <c r="AM23" s="146" t="e">
        <f>#REF!</f>
        <v>#REF!</v>
      </c>
    </row>
    <row r="24" spans="1:39" x14ac:dyDescent="0.2">
      <c r="A24" s="1">
        <v>21</v>
      </c>
      <c r="B24" s="2" t="str">
        <f t="shared" ca="1" si="7"/>
        <v xml:space="preserve">, </v>
      </c>
      <c r="C24" s="141">
        <f t="shared" ca="1" si="8"/>
        <v>0</v>
      </c>
      <c r="D24" s="141">
        <f t="shared" ca="1" si="8"/>
        <v>0</v>
      </c>
      <c r="E24" s="141">
        <f t="shared" ca="1" si="8"/>
        <v>0</v>
      </c>
      <c r="F24" s="142" t="str">
        <f t="shared" ca="1" si="10"/>
        <v/>
      </c>
      <c r="G24" s="142" t="str">
        <f t="shared" ca="1" si="10"/>
        <v/>
      </c>
      <c r="H24" s="142" t="str">
        <f t="shared" ca="1" si="10"/>
        <v/>
      </c>
      <c r="I24" s="142" t="str">
        <f t="shared" ca="1" si="10"/>
        <v/>
      </c>
      <c r="J24" s="143" t="str">
        <f t="shared" ca="1" si="10"/>
        <v/>
      </c>
      <c r="K24" s="143" t="str">
        <f t="shared" ca="1" si="10"/>
        <v/>
      </c>
      <c r="L24" s="143" t="str">
        <f t="shared" ca="1" si="10"/>
        <v/>
      </c>
      <c r="M24" s="144" t="str">
        <f t="shared" ca="1" si="10"/>
        <v/>
      </c>
      <c r="N24" s="143" t="str">
        <f t="shared" ca="1" si="10"/>
        <v/>
      </c>
      <c r="O24" s="145" t="str">
        <f t="shared" ca="1" si="10"/>
        <v/>
      </c>
      <c r="P24" s="145" t="str">
        <f t="shared" ca="1" si="10"/>
        <v/>
      </c>
      <c r="Q24" s="145" t="str">
        <f t="shared" ca="1" si="10"/>
        <v/>
      </c>
      <c r="R24" s="145">
        <f t="shared" ca="1" si="11"/>
        <v>0</v>
      </c>
      <c r="S24" s="141">
        <f t="shared" ca="1" si="11"/>
        <v>0</v>
      </c>
      <c r="T24" s="141">
        <f t="shared" ca="1" si="11"/>
        <v>0</v>
      </c>
      <c r="U24" s="141">
        <f t="shared" ca="1" si="11"/>
        <v>0</v>
      </c>
      <c r="V24" s="142" t="str">
        <f t="shared" ca="1" si="9"/>
        <v/>
      </c>
      <c r="W24" s="142" t="str">
        <f t="shared" ca="1" si="9"/>
        <v/>
      </c>
      <c r="X24" s="142" t="str">
        <f t="shared" ca="1" si="9"/>
        <v/>
      </c>
      <c r="Y24" s="142" t="str">
        <f t="shared" ca="1" si="9"/>
        <v/>
      </c>
      <c r="Z24" s="143" t="str">
        <f t="shared" ca="1" si="9"/>
        <v/>
      </c>
      <c r="AA24" s="143" t="str">
        <f t="shared" ca="1" si="9"/>
        <v/>
      </c>
      <c r="AB24" s="143" t="str">
        <f t="shared" ca="1" si="9"/>
        <v/>
      </c>
      <c r="AC24" s="143" t="str">
        <f t="shared" ca="1" si="9"/>
        <v/>
      </c>
      <c r="AD24" s="143" t="str">
        <f t="shared" ca="1" si="9"/>
        <v/>
      </c>
      <c r="AE24" s="145" t="str">
        <f t="shared" ca="1" si="9"/>
        <v/>
      </c>
      <c r="AF24" s="145" t="str">
        <f t="shared" ca="1" si="9"/>
        <v/>
      </c>
      <c r="AG24" s="145" t="str">
        <f t="shared" ca="1" si="9"/>
        <v/>
      </c>
      <c r="AH24" s="145">
        <f t="shared" ca="1" si="6"/>
        <v>0</v>
      </c>
      <c r="AI24" s="146" t="e">
        <f>#REF!</f>
        <v>#REF!</v>
      </c>
      <c r="AJ24" s="146" t="e">
        <f>IF(#REF!="","",#REF!)</f>
        <v>#REF!</v>
      </c>
      <c r="AK24" s="146" t="e">
        <f>#REF!</f>
        <v>#REF!</v>
      </c>
      <c r="AL24" s="146" t="e">
        <f>#REF!</f>
        <v>#REF!</v>
      </c>
      <c r="AM24" s="146" t="e">
        <f>#REF!</f>
        <v>#REF!</v>
      </c>
    </row>
    <row r="25" spans="1:39" x14ac:dyDescent="0.2">
      <c r="A25" s="1">
        <v>22</v>
      </c>
      <c r="B25" s="2" t="str">
        <f t="shared" ca="1" si="7"/>
        <v xml:space="preserve">, </v>
      </c>
      <c r="C25" s="141">
        <f t="shared" ca="1" si="8"/>
        <v>0</v>
      </c>
      <c r="D25" s="141">
        <f t="shared" ca="1" si="8"/>
        <v>0</v>
      </c>
      <c r="E25" s="141">
        <f t="shared" ca="1" si="8"/>
        <v>0</v>
      </c>
      <c r="F25" s="142" t="str">
        <f t="shared" ca="1" si="10"/>
        <v/>
      </c>
      <c r="G25" s="142" t="str">
        <f t="shared" ca="1" si="10"/>
        <v/>
      </c>
      <c r="H25" s="142" t="str">
        <f t="shared" ca="1" si="10"/>
        <v/>
      </c>
      <c r="I25" s="142" t="str">
        <f t="shared" ca="1" si="10"/>
        <v/>
      </c>
      <c r="J25" s="143" t="str">
        <f t="shared" ca="1" si="10"/>
        <v/>
      </c>
      <c r="K25" s="143" t="str">
        <f t="shared" ca="1" si="10"/>
        <v/>
      </c>
      <c r="L25" s="143" t="str">
        <f t="shared" ca="1" si="10"/>
        <v/>
      </c>
      <c r="M25" s="144" t="str">
        <f t="shared" ca="1" si="10"/>
        <v/>
      </c>
      <c r="N25" s="143" t="str">
        <f t="shared" ca="1" si="10"/>
        <v/>
      </c>
      <c r="O25" s="145" t="str">
        <f t="shared" ca="1" si="10"/>
        <v/>
      </c>
      <c r="P25" s="145" t="str">
        <f t="shared" ca="1" si="10"/>
        <v/>
      </c>
      <c r="Q25" s="145" t="str">
        <f t="shared" ca="1" si="10"/>
        <v/>
      </c>
      <c r="R25" s="145">
        <f t="shared" ca="1" si="11"/>
        <v>0</v>
      </c>
      <c r="S25" s="141">
        <f t="shared" ca="1" si="11"/>
        <v>0</v>
      </c>
      <c r="T25" s="141">
        <f t="shared" ca="1" si="11"/>
        <v>0</v>
      </c>
      <c r="U25" s="141">
        <f t="shared" ca="1" si="11"/>
        <v>0</v>
      </c>
      <c r="V25" s="142" t="str">
        <f t="shared" ca="1" si="9"/>
        <v/>
      </c>
      <c r="W25" s="142" t="str">
        <f t="shared" ca="1" si="9"/>
        <v/>
      </c>
      <c r="X25" s="142" t="str">
        <f t="shared" ca="1" si="9"/>
        <v/>
      </c>
      <c r="Y25" s="142" t="str">
        <f t="shared" ca="1" si="9"/>
        <v/>
      </c>
      <c r="Z25" s="143" t="str">
        <f t="shared" ca="1" si="9"/>
        <v/>
      </c>
      <c r="AA25" s="143" t="str">
        <f t="shared" ca="1" si="9"/>
        <v/>
      </c>
      <c r="AB25" s="143" t="str">
        <f t="shared" ca="1" si="9"/>
        <v/>
      </c>
      <c r="AC25" s="143" t="str">
        <f t="shared" ca="1" si="9"/>
        <v/>
      </c>
      <c r="AD25" s="143" t="str">
        <f t="shared" ca="1" si="9"/>
        <v/>
      </c>
      <c r="AE25" s="145" t="str">
        <f t="shared" ca="1" si="9"/>
        <v/>
      </c>
      <c r="AF25" s="145" t="str">
        <f t="shared" ca="1" si="9"/>
        <v/>
      </c>
      <c r="AG25" s="145" t="str">
        <f t="shared" ca="1" si="9"/>
        <v/>
      </c>
      <c r="AH25" s="145">
        <f t="shared" ca="1" si="6"/>
        <v>0</v>
      </c>
      <c r="AI25" s="146" t="e">
        <f>#REF!</f>
        <v>#REF!</v>
      </c>
      <c r="AJ25" s="146" t="e">
        <f>IF(#REF!="","",#REF!)</f>
        <v>#REF!</v>
      </c>
      <c r="AK25" s="146" t="e">
        <f>#REF!</f>
        <v>#REF!</v>
      </c>
      <c r="AL25" s="146" t="e">
        <f>#REF!</f>
        <v>#REF!</v>
      </c>
      <c r="AM25" s="146" t="e">
        <f>#REF!</f>
        <v>#REF!</v>
      </c>
    </row>
    <row r="26" spans="1:39" x14ac:dyDescent="0.2">
      <c r="A26" s="1">
        <v>23</v>
      </c>
      <c r="B26" s="2" t="str">
        <f t="shared" ca="1" si="7"/>
        <v xml:space="preserve">, </v>
      </c>
      <c r="C26" s="141">
        <f t="shared" ca="1" si="8"/>
        <v>0</v>
      </c>
      <c r="D26" s="141">
        <f t="shared" ca="1" si="8"/>
        <v>0</v>
      </c>
      <c r="E26" s="141">
        <f t="shared" ca="1" si="8"/>
        <v>0</v>
      </c>
      <c r="F26" s="142" t="str">
        <f t="shared" ca="1" si="10"/>
        <v/>
      </c>
      <c r="G26" s="142" t="str">
        <f t="shared" ca="1" si="10"/>
        <v/>
      </c>
      <c r="H26" s="142" t="str">
        <f t="shared" ca="1" si="10"/>
        <v/>
      </c>
      <c r="I26" s="142" t="str">
        <f t="shared" ca="1" si="10"/>
        <v/>
      </c>
      <c r="J26" s="143" t="str">
        <f t="shared" ca="1" si="10"/>
        <v/>
      </c>
      <c r="K26" s="143" t="str">
        <f t="shared" ca="1" si="10"/>
        <v/>
      </c>
      <c r="L26" s="143" t="str">
        <f t="shared" ca="1" si="10"/>
        <v/>
      </c>
      <c r="M26" s="144" t="str">
        <f t="shared" ca="1" si="10"/>
        <v/>
      </c>
      <c r="N26" s="143" t="str">
        <f t="shared" ca="1" si="10"/>
        <v/>
      </c>
      <c r="O26" s="145" t="str">
        <f t="shared" ca="1" si="10"/>
        <v/>
      </c>
      <c r="P26" s="145" t="str">
        <f t="shared" ca="1" si="10"/>
        <v/>
      </c>
      <c r="Q26" s="145" t="str">
        <f t="shared" ca="1" si="10"/>
        <v/>
      </c>
      <c r="R26" s="145">
        <f t="shared" ca="1" si="11"/>
        <v>0</v>
      </c>
      <c r="S26" s="141">
        <f t="shared" ca="1" si="11"/>
        <v>0</v>
      </c>
      <c r="T26" s="141">
        <f t="shared" ca="1" si="11"/>
        <v>0</v>
      </c>
      <c r="U26" s="141">
        <f t="shared" ca="1" si="11"/>
        <v>0</v>
      </c>
      <c r="V26" s="142" t="str">
        <f t="shared" ca="1" si="9"/>
        <v/>
      </c>
      <c r="W26" s="142" t="str">
        <f t="shared" ca="1" si="9"/>
        <v/>
      </c>
      <c r="X26" s="142" t="str">
        <f t="shared" ca="1" si="9"/>
        <v/>
      </c>
      <c r="Y26" s="142" t="str">
        <f t="shared" ca="1" si="9"/>
        <v/>
      </c>
      <c r="Z26" s="143" t="str">
        <f t="shared" ca="1" si="9"/>
        <v/>
      </c>
      <c r="AA26" s="143" t="str">
        <f t="shared" ca="1" si="9"/>
        <v/>
      </c>
      <c r="AB26" s="143" t="str">
        <f t="shared" ca="1" si="9"/>
        <v/>
      </c>
      <c r="AC26" s="143" t="str">
        <f t="shared" ca="1" si="9"/>
        <v/>
      </c>
      <c r="AD26" s="143" t="str">
        <f t="shared" ca="1" si="9"/>
        <v/>
      </c>
      <c r="AE26" s="145" t="str">
        <f t="shared" ca="1" si="9"/>
        <v/>
      </c>
      <c r="AF26" s="145" t="str">
        <f t="shared" ca="1" si="9"/>
        <v/>
      </c>
      <c r="AG26" s="145" t="str">
        <f t="shared" ca="1" si="9"/>
        <v/>
      </c>
      <c r="AH26" s="145">
        <f t="shared" ca="1" si="6"/>
        <v>0</v>
      </c>
      <c r="AI26" s="146" t="e">
        <f>#REF!</f>
        <v>#REF!</v>
      </c>
      <c r="AJ26" s="146" t="e">
        <f>IF(#REF!="","",#REF!)</f>
        <v>#REF!</v>
      </c>
      <c r="AK26" s="146" t="e">
        <f>#REF!</f>
        <v>#REF!</v>
      </c>
      <c r="AL26" s="146" t="e">
        <f>#REF!</f>
        <v>#REF!</v>
      </c>
      <c r="AM26" s="146" t="e">
        <f>#REF!</f>
        <v>#REF!</v>
      </c>
    </row>
    <row r="27" spans="1:39" x14ac:dyDescent="0.2">
      <c r="A27" s="1">
        <v>24</v>
      </c>
      <c r="B27" s="2" t="str">
        <f t="shared" ca="1" si="7"/>
        <v xml:space="preserve">, </v>
      </c>
      <c r="C27" s="141">
        <f t="shared" ca="1" si="8"/>
        <v>0</v>
      </c>
      <c r="D27" s="141">
        <f t="shared" ca="1" si="8"/>
        <v>0</v>
      </c>
      <c r="E27" s="141">
        <f t="shared" ca="1" si="8"/>
        <v>0</v>
      </c>
      <c r="F27" s="142" t="str">
        <f t="shared" ca="1" si="10"/>
        <v/>
      </c>
      <c r="G27" s="142" t="str">
        <f t="shared" ca="1" si="10"/>
        <v/>
      </c>
      <c r="H27" s="142" t="str">
        <f t="shared" ca="1" si="10"/>
        <v/>
      </c>
      <c r="I27" s="142" t="str">
        <f t="shared" ca="1" si="10"/>
        <v/>
      </c>
      <c r="J27" s="143" t="str">
        <f t="shared" ca="1" si="10"/>
        <v/>
      </c>
      <c r="K27" s="143" t="str">
        <f t="shared" ca="1" si="10"/>
        <v/>
      </c>
      <c r="L27" s="143" t="str">
        <f t="shared" ca="1" si="10"/>
        <v/>
      </c>
      <c r="M27" s="144" t="str">
        <f t="shared" ca="1" si="10"/>
        <v/>
      </c>
      <c r="N27" s="143" t="str">
        <f t="shared" ca="1" si="10"/>
        <v/>
      </c>
      <c r="O27" s="145" t="str">
        <f t="shared" ca="1" si="10"/>
        <v/>
      </c>
      <c r="P27" s="145" t="str">
        <f t="shared" ca="1" si="10"/>
        <v/>
      </c>
      <c r="Q27" s="145" t="str">
        <f t="shared" ca="1" si="10"/>
        <v/>
      </c>
      <c r="R27" s="145">
        <f t="shared" ca="1" si="11"/>
        <v>0</v>
      </c>
      <c r="S27" s="141">
        <f t="shared" ca="1" si="11"/>
        <v>0</v>
      </c>
      <c r="T27" s="141">
        <f t="shared" ca="1" si="11"/>
        <v>0</v>
      </c>
      <c r="U27" s="141">
        <f t="shared" ca="1" si="11"/>
        <v>0</v>
      </c>
      <c r="V27" s="142" t="str">
        <f t="shared" ca="1" si="9"/>
        <v/>
      </c>
      <c r="W27" s="142" t="str">
        <f t="shared" ca="1" si="9"/>
        <v/>
      </c>
      <c r="X27" s="142" t="str">
        <f t="shared" ca="1" si="9"/>
        <v/>
      </c>
      <c r="Y27" s="142" t="str">
        <f t="shared" ca="1" si="9"/>
        <v/>
      </c>
      <c r="Z27" s="143" t="str">
        <f t="shared" ca="1" si="9"/>
        <v/>
      </c>
      <c r="AA27" s="143" t="str">
        <f t="shared" ca="1" si="9"/>
        <v/>
      </c>
      <c r="AB27" s="143" t="str">
        <f t="shared" ca="1" si="9"/>
        <v/>
      </c>
      <c r="AC27" s="143" t="str">
        <f t="shared" ca="1" si="9"/>
        <v/>
      </c>
      <c r="AD27" s="143" t="str">
        <f t="shared" ca="1" si="9"/>
        <v/>
      </c>
      <c r="AE27" s="145" t="str">
        <f t="shared" ca="1" si="9"/>
        <v/>
      </c>
      <c r="AF27" s="145" t="str">
        <f t="shared" ca="1" si="9"/>
        <v/>
      </c>
      <c r="AG27" s="145" t="str">
        <f t="shared" ca="1" si="9"/>
        <v/>
      </c>
      <c r="AH27" s="145">
        <f t="shared" ca="1" si="6"/>
        <v>0</v>
      </c>
      <c r="AI27" s="146" t="e">
        <f>#REF!</f>
        <v>#REF!</v>
      </c>
      <c r="AJ27" s="146" t="e">
        <f>IF(#REF!="","",#REF!)</f>
        <v>#REF!</v>
      </c>
      <c r="AK27" s="146" t="e">
        <f>#REF!</f>
        <v>#REF!</v>
      </c>
      <c r="AL27" s="146" t="e">
        <f>#REF!</f>
        <v>#REF!</v>
      </c>
      <c r="AM27" s="146" t="e">
        <f>#REF!</f>
        <v>#REF!</v>
      </c>
    </row>
    <row r="28" spans="1:39" x14ac:dyDescent="0.2">
      <c r="A28" s="1">
        <v>25</v>
      </c>
      <c r="B28" s="2" t="str">
        <f t="shared" ca="1" si="7"/>
        <v xml:space="preserve">, </v>
      </c>
      <c r="C28" s="141">
        <f t="shared" ca="1" si="8"/>
        <v>0</v>
      </c>
      <c r="D28" s="141">
        <f t="shared" ca="1" si="8"/>
        <v>0</v>
      </c>
      <c r="E28" s="141">
        <f t="shared" ca="1" si="8"/>
        <v>0</v>
      </c>
      <c r="F28" s="142" t="str">
        <f t="shared" ca="1" si="10"/>
        <v/>
      </c>
      <c r="G28" s="142" t="str">
        <f t="shared" ca="1" si="10"/>
        <v/>
      </c>
      <c r="H28" s="142" t="str">
        <f t="shared" ca="1" si="10"/>
        <v/>
      </c>
      <c r="I28" s="142" t="str">
        <f t="shared" ca="1" si="10"/>
        <v/>
      </c>
      <c r="J28" s="143" t="str">
        <f t="shared" ca="1" si="10"/>
        <v/>
      </c>
      <c r="K28" s="143" t="str">
        <f t="shared" ca="1" si="10"/>
        <v/>
      </c>
      <c r="L28" s="143" t="str">
        <f t="shared" ca="1" si="10"/>
        <v/>
      </c>
      <c r="M28" s="144" t="str">
        <f t="shared" ca="1" si="10"/>
        <v/>
      </c>
      <c r="N28" s="143" t="str">
        <f t="shared" ca="1" si="10"/>
        <v/>
      </c>
      <c r="O28" s="145" t="str">
        <f t="shared" ca="1" si="10"/>
        <v/>
      </c>
      <c r="P28" s="145" t="str">
        <f t="shared" ca="1" si="10"/>
        <v/>
      </c>
      <c r="Q28" s="145" t="str">
        <f t="shared" ca="1" si="10"/>
        <v/>
      </c>
      <c r="R28" s="145">
        <f t="shared" ca="1" si="11"/>
        <v>0</v>
      </c>
      <c r="S28" s="141">
        <f t="shared" ca="1" si="11"/>
        <v>0</v>
      </c>
      <c r="T28" s="141">
        <f t="shared" ca="1" si="11"/>
        <v>0</v>
      </c>
      <c r="U28" s="141">
        <f t="shared" ca="1" si="11"/>
        <v>0</v>
      </c>
      <c r="V28" s="142" t="str">
        <f t="shared" ca="1" si="9"/>
        <v/>
      </c>
      <c r="W28" s="142" t="str">
        <f t="shared" ca="1" si="9"/>
        <v/>
      </c>
      <c r="X28" s="142" t="str">
        <f t="shared" ca="1" si="9"/>
        <v/>
      </c>
      <c r="Y28" s="142" t="str">
        <f t="shared" ca="1" si="9"/>
        <v/>
      </c>
      <c r="Z28" s="143" t="str">
        <f t="shared" ca="1" si="9"/>
        <v/>
      </c>
      <c r="AA28" s="143" t="str">
        <f t="shared" ca="1" si="9"/>
        <v/>
      </c>
      <c r="AB28" s="143" t="str">
        <f t="shared" ca="1" si="9"/>
        <v/>
      </c>
      <c r="AC28" s="143" t="str">
        <f t="shared" ca="1" si="9"/>
        <v/>
      </c>
      <c r="AD28" s="143" t="str">
        <f t="shared" ca="1" si="9"/>
        <v/>
      </c>
      <c r="AE28" s="145" t="str">
        <f t="shared" ca="1" si="9"/>
        <v/>
      </c>
      <c r="AF28" s="145" t="str">
        <f t="shared" ca="1" si="9"/>
        <v/>
      </c>
      <c r="AG28" s="145" t="str">
        <f t="shared" ca="1" si="9"/>
        <v/>
      </c>
      <c r="AH28" s="145">
        <f t="shared" ca="1" si="6"/>
        <v>0</v>
      </c>
      <c r="AI28" s="146" t="e">
        <f>#REF!</f>
        <v>#REF!</v>
      </c>
      <c r="AJ28" s="146" t="e">
        <f>IF(#REF!="","",#REF!)</f>
        <v>#REF!</v>
      </c>
      <c r="AK28" s="146" t="e">
        <f>#REF!</f>
        <v>#REF!</v>
      </c>
      <c r="AL28" s="146" t="e">
        <f>#REF!</f>
        <v>#REF!</v>
      </c>
      <c r="AM28" s="146" t="e">
        <f>#REF!</f>
        <v>#REF!</v>
      </c>
    </row>
    <row r="29" spans="1:39" x14ac:dyDescent="0.2">
      <c r="A29" s="1">
        <v>26</v>
      </c>
      <c r="B29" s="2" t="str">
        <f t="shared" ca="1" si="7"/>
        <v xml:space="preserve">, </v>
      </c>
      <c r="C29" s="141">
        <f t="shared" ca="1" si="8"/>
        <v>0</v>
      </c>
      <c r="D29" s="141">
        <f t="shared" ca="1" si="8"/>
        <v>0</v>
      </c>
      <c r="E29" s="141">
        <f t="shared" ca="1" si="8"/>
        <v>0</v>
      </c>
      <c r="F29" s="142" t="str">
        <f t="shared" ca="1" si="10"/>
        <v/>
      </c>
      <c r="G29" s="142" t="str">
        <f t="shared" ca="1" si="10"/>
        <v/>
      </c>
      <c r="H29" s="142" t="str">
        <f t="shared" ca="1" si="10"/>
        <v/>
      </c>
      <c r="I29" s="142" t="str">
        <f t="shared" ca="1" si="10"/>
        <v/>
      </c>
      <c r="J29" s="143" t="str">
        <f t="shared" ca="1" si="10"/>
        <v/>
      </c>
      <c r="K29" s="143" t="str">
        <f t="shared" ca="1" si="10"/>
        <v/>
      </c>
      <c r="L29" s="143" t="str">
        <f t="shared" ca="1" si="10"/>
        <v/>
      </c>
      <c r="M29" s="144" t="str">
        <f t="shared" ca="1" si="10"/>
        <v/>
      </c>
      <c r="N29" s="143" t="str">
        <f t="shared" ca="1" si="10"/>
        <v/>
      </c>
      <c r="O29" s="145" t="str">
        <f t="shared" ca="1" si="10"/>
        <v/>
      </c>
      <c r="P29" s="145" t="str">
        <f t="shared" ca="1" si="10"/>
        <v/>
      </c>
      <c r="Q29" s="145" t="str">
        <f t="shared" ca="1" si="10"/>
        <v/>
      </c>
      <c r="R29" s="145">
        <f t="shared" ca="1" si="11"/>
        <v>0</v>
      </c>
      <c r="S29" s="141">
        <f t="shared" ca="1" si="11"/>
        <v>0</v>
      </c>
      <c r="T29" s="141">
        <f t="shared" ca="1" si="11"/>
        <v>0</v>
      </c>
      <c r="U29" s="141">
        <f t="shared" ca="1" si="11"/>
        <v>0</v>
      </c>
      <c r="V29" s="142" t="str">
        <f t="shared" ca="1" si="9"/>
        <v/>
      </c>
      <c r="W29" s="142" t="str">
        <f t="shared" ca="1" si="9"/>
        <v/>
      </c>
      <c r="X29" s="142" t="str">
        <f t="shared" ca="1" si="9"/>
        <v/>
      </c>
      <c r="Y29" s="142" t="str">
        <f t="shared" ca="1" si="9"/>
        <v/>
      </c>
      <c r="Z29" s="143" t="str">
        <f t="shared" ca="1" si="9"/>
        <v/>
      </c>
      <c r="AA29" s="143" t="str">
        <f t="shared" ca="1" si="9"/>
        <v/>
      </c>
      <c r="AB29" s="143" t="str">
        <f t="shared" ca="1" si="9"/>
        <v/>
      </c>
      <c r="AC29" s="143" t="str">
        <f t="shared" ca="1" si="9"/>
        <v/>
      </c>
      <c r="AD29" s="143" t="str">
        <f t="shared" ca="1" si="9"/>
        <v/>
      </c>
      <c r="AE29" s="145" t="str">
        <f t="shared" ca="1" si="9"/>
        <v/>
      </c>
      <c r="AF29" s="145" t="str">
        <f t="shared" ca="1" si="9"/>
        <v/>
      </c>
      <c r="AG29" s="145" t="str">
        <f t="shared" ca="1" si="9"/>
        <v/>
      </c>
      <c r="AH29" s="145">
        <f t="shared" ca="1" si="6"/>
        <v>0</v>
      </c>
      <c r="AI29" s="146" t="e">
        <f>#REF!</f>
        <v>#REF!</v>
      </c>
      <c r="AJ29" s="146" t="e">
        <f>IF(#REF!="","",#REF!)</f>
        <v>#REF!</v>
      </c>
      <c r="AK29" s="146" t="e">
        <f>#REF!</f>
        <v>#REF!</v>
      </c>
      <c r="AL29" s="146" t="e">
        <f>#REF!</f>
        <v>#REF!</v>
      </c>
      <c r="AM29" s="146" t="e">
        <f>#REF!</f>
        <v>#REF!</v>
      </c>
    </row>
    <row r="30" spans="1:39" x14ac:dyDescent="0.2">
      <c r="A30" s="1">
        <v>27</v>
      </c>
      <c r="B30" s="2" t="str">
        <f t="shared" ca="1" si="7"/>
        <v xml:space="preserve">, </v>
      </c>
      <c r="C30" s="141">
        <f t="shared" ca="1" si="8"/>
        <v>0</v>
      </c>
      <c r="D30" s="141">
        <f t="shared" ca="1" si="8"/>
        <v>0</v>
      </c>
      <c r="E30" s="141">
        <f t="shared" ca="1" si="8"/>
        <v>0</v>
      </c>
      <c r="F30" s="142" t="str">
        <f t="shared" ca="1" si="10"/>
        <v/>
      </c>
      <c r="G30" s="142" t="str">
        <f t="shared" ca="1" si="10"/>
        <v/>
      </c>
      <c r="H30" s="142" t="str">
        <f t="shared" ca="1" si="10"/>
        <v/>
      </c>
      <c r="I30" s="142" t="str">
        <f t="shared" ca="1" si="10"/>
        <v/>
      </c>
      <c r="J30" s="143" t="str">
        <f t="shared" ca="1" si="10"/>
        <v/>
      </c>
      <c r="K30" s="143" t="str">
        <f t="shared" ca="1" si="10"/>
        <v/>
      </c>
      <c r="L30" s="143" t="str">
        <f t="shared" ca="1" si="10"/>
        <v/>
      </c>
      <c r="M30" s="144" t="str">
        <f t="shared" ca="1" si="10"/>
        <v/>
      </c>
      <c r="N30" s="143" t="str">
        <f t="shared" ca="1" si="10"/>
        <v/>
      </c>
      <c r="O30" s="145" t="str">
        <f t="shared" ca="1" si="10"/>
        <v/>
      </c>
      <c r="P30" s="145" t="str">
        <f t="shared" ca="1" si="10"/>
        <v/>
      </c>
      <c r="Q30" s="145" t="str">
        <f t="shared" ca="1" si="10"/>
        <v/>
      </c>
      <c r="R30" s="145">
        <f t="shared" ca="1" si="11"/>
        <v>0</v>
      </c>
      <c r="S30" s="141">
        <f t="shared" ca="1" si="11"/>
        <v>0</v>
      </c>
      <c r="T30" s="141">
        <f t="shared" ca="1" si="11"/>
        <v>0</v>
      </c>
      <c r="U30" s="141">
        <f t="shared" ca="1" si="11"/>
        <v>0</v>
      </c>
      <c r="V30" s="142" t="str">
        <f t="shared" ca="1" si="9"/>
        <v/>
      </c>
      <c r="W30" s="142" t="str">
        <f t="shared" ca="1" si="9"/>
        <v/>
      </c>
      <c r="X30" s="142" t="str">
        <f t="shared" ca="1" si="9"/>
        <v/>
      </c>
      <c r="Y30" s="142" t="str">
        <f t="shared" ca="1" si="9"/>
        <v/>
      </c>
      <c r="Z30" s="143" t="str">
        <f t="shared" ca="1" si="9"/>
        <v/>
      </c>
      <c r="AA30" s="143" t="str">
        <f t="shared" ca="1" si="9"/>
        <v/>
      </c>
      <c r="AB30" s="143" t="str">
        <f t="shared" ca="1" si="9"/>
        <v/>
      </c>
      <c r="AC30" s="143" t="str">
        <f t="shared" ca="1" si="9"/>
        <v/>
      </c>
      <c r="AD30" s="143" t="str">
        <f t="shared" ca="1" si="9"/>
        <v/>
      </c>
      <c r="AE30" s="145" t="str">
        <f t="shared" ca="1" si="9"/>
        <v/>
      </c>
      <c r="AF30" s="145" t="str">
        <f t="shared" ca="1" si="9"/>
        <v/>
      </c>
      <c r="AG30" s="145" t="str">
        <f t="shared" ca="1" si="9"/>
        <v/>
      </c>
      <c r="AH30" s="145">
        <f t="shared" ca="1" si="6"/>
        <v>0</v>
      </c>
      <c r="AI30" s="146" t="e">
        <f>#REF!</f>
        <v>#REF!</v>
      </c>
      <c r="AJ30" s="146" t="e">
        <f>IF(#REF!="","",#REF!)</f>
        <v>#REF!</v>
      </c>
      <c r="AK30" s="146" t="e">
        <f>#REF!</f>
        <v>#REF!</v>
      </c>
      <c r="AL30" s="146" t="e">
        <f>#REF!</f>
        <v>#REF!</v>
      </c>
      <c r="AM30" s="146" t="e">
        <f>#REF!</f>
        <v>#REF!</v>
      </c>
    </row>
    <row r="31" spans="1:39" x14ac:dyDescent="0.2">
      <c r="A31" s="1">
        <v>28</v>
      </c>
      <c r="B31" s="2" t="str">
        <f t="shared" ca="1" si="7"/>
        <v xml:space="preserve">, </v>
      </c>
      <c r="C31" s="141">
        <f t="shared" ca="1" si="8"/>
        <v>0</v>
      </c>
      <c r="D31" s="141">
        <f t="shared" ca="1" si="8"/>
        <v>0</v>
      </c>
      <c r="E31" s="141">
        <f t="shared" ca="1" si="8"/>
        <v>0</v>
      </c>
      <c r="F31" s="142" t="str">
        <f t="shared" ca="1" si="10"/>
        <v/>
      </c>
      <c r="G31" s="142" t="str">
        <f t="shared" ca="1" si="10"/>
        <v/>
      </c>
      <c r="H31" s="142" t="str">
        <f t="shared" ca="1" si="10"/>
        <v/>
      </c>
      <c r="I31" s="142" t="str">
        <f t="shared" ca="1" si="10"/>
        <v/>
      </c>
      <c r="J31" s="143" t="str">
        <f t="shared" ca="1" si="10"/>
        <v/>
      </c>
      <c r="K31" s="143" t="str">
        <f t="shared" ca="1" si="10"/>
        <v/>
      </c>
      <c r="L31" s="143" t="str">
        <f t="shared" ca="1" si="10"/>
        <v/>
      </c>
      <c r="M31" s="144" t="str">
        <f t="shared" ca="1" si="10"/>
        <v/>
      </c>
      <c r="N31" s="143" t="str">
        <f t="shared" ca="1" si="10"/>
        <v/>
      </c>
      <c r="O31" s="145" t="str">
        <f t="shared" ca="1" si="10"/>
        <v/>
      </c>
      <c r="P31" s="145" t="str">
        <f t="shared" ca="1" si="10"/>
        <v/>
      </c>
      <c r="Q31" s="145" t="str">
        <f t="shared" ca="1" si="10"/>
        <v/>
      </c>
      <c r="R31" s="145">
        <f t="shared" ca="1" si="11"/>
        <v>0</v>
      </c>
      <c r="S31" s="141">
        <f t="shared" ca="1" si="11"/>
        <v>0</v>
      </c>
      <c r="T31" s="141">
        <f t="shared" ca="1" si="11"/>
        <v>0</v>
      </c>
      <c r="U31" s="141">
        <f t="shared" ca="1" si="11"/>
        <v>0</v>
      </c>
      <c r="V31" s="142" t="str">
        <f t="shared" ca="1" si="9"/>
        <v/>
      </c>
      <c r="W31" s="142" t="str">
        <f t="shared" ca="1" si="9"/>
        <v/>
      </c>
      <c r="X31" s="142" t="str">
        <f t="shared" ca="1" si="9"/>
        <v/>
      </c>
      <c r="Y31" s="142" t="str">
        <f t="shared" ca="1" si="9"/>
        <v/>
      </c>
      <c r="Z31" s="143" t="str">
        <f t="shared" ca="1" si="9"/>
        <v/>
      </c>
      <c r="AA31" s="143" t="str">
        <f t="shared" ca="1" si="9"/>
        <v/>
      </c>
      <c r="AB31" s="143" t="str">
        <f t="shared" ref="V31:AG38" ca="1" si="12">IF(INDIRECT(ADDRESS(4+$A31*2,AB$2,,,"Notenbogen"))="","",INDIRECT(ADDRESS(4+$A31*2,AB$2,,,"Notenbogen")))</f>
        <v/>
      </c>
      <c r="AC31" s="143" t="str">
        <f t="shared" ca="1" si="12"/>
        <v/>
      </c>
      <c r="AD31" s="143" t="str">
        <f t="shared" ca="1" si="12"/>
        <v/>
      </c>
      <c r="AE31" s="145" t="str">
        <f t="shared" ca="1" si="12"/>
        <v/>
      </c>
      <c r="AF31" s="145" t="str">
        <f t="shared" ca="1" si="12"/>
        <v/>
      </c>
      <c r="AG31" s="145" t="str">
        <f t="shared" ca="1" si="12"/>
        <v/>
      </c>
      <c r="AH31" s="145">
        <f t="shared" ca="1" si="6"/>
        <v>0</v>
      </c>
      <c r="AI31" s="146" t="e">
        <f>#REF!</f>
        <v>#REF!</v>
      </c>
      <c r="AJ31" s="146" t="e">
        <f>IF(#REF!="","",#REF!)</f>
        <v>#REF!</v>
      </c>
      <c r="AK31" s="146" t="e">
        <f>#REF!</f>
        <v>#REF!</v>
      </c>
      <c r="AL31" s="146" t="e">
        <f>#REF!</f>
        <v>#REF!</v>
      </c>
      <c r="AM31" s="146" t="e">
        <f>#REF!</f>
        <v>#REF!</v>
      </c>
    </row>
    <row r="32" spans="1:39" x14ac:dyDescent="0.2">
      <c r="A32" s="1">
        <v>29</v>
      </c>
      <c r="B32" s="2" t="str">
        <f t="shared" ca="1" si="7"/>
        <v xml:space="preserve">, </v>
      </c>
      <c r="C32" s="141">
        <f t="shared" ca="1" si="8"/>
        <v>0</v>
      </c>
      <c r="D32" s="141">
        <f t="shared" ca="1" si="8"/>
        <v>0</v>
      </c>
      <c r="E32" s="141">
        <f t="shared" ca="1" si="8"/>
        <v>0</v>
      </c>
      <c r="F32" s="142" t="str">
        <f t="shared" ca="1" si="10"/>
        <v/>
      </c>
      <c r="G32" s="142" t="str">
        <f t="shared" ca="1" si="10"/>
        <v/>
      </c>
      <c r="H32" s="142" t="str">
        <f t="shared" ca="1" si="10"/>
        <v/>
      </c>
      <c r="I32" s="142" t="str">
        <f t="shared" ca="1" si="10"/>
        <v/>
      </c>
      <c r="J32" s="143" t="str">
        <f t="shared" ca="1" si="10"/>
        <v/>
      </c>
      <c r="K32" s="143" t="str">
        <f t="shared" ca="1" si="10"/>
        <v/>
      </c>
      <c r="L32" s="143" t="str">
        <f t="shared" ca="1" si="10"/>
        <v/>
      </c>
      <c r="M32" s="144" t="str">
        <f t="shared" ca="1" si="10"/>
        <v/>
      </c>
      <c r="N32" s="143" t="str">
        <f t="shared" ca="1" si="10"/>
        <v/>
      </c>
      <c r="O32" s="145" t="str">
        <f t="shared" ca="1" si="10"/>
        <v/>
      </c>
      <c r="P32" s="145" t="str">
        <f t="shared" ca="1" si="10"/>
        <v/>
      </c>
      <c r="Q32" s="145" t="str">
        <f t="shared" ca="1" si="10"/>
        <v/>
      </c>
      <c r="R32" s="145">
        <f t="shared" ca="1" si="11"/>
        <v>0</v>
      </c>
      <c r="S32" s="141">
        <f t="shared" ca="1" si="11"/>
        <v>0</v>
      </c>
      <c r="T32" s="141">
        <f t="shared" ca="1" si="11"/>
        <v>0</v>
      </c>
      <c r="U32" s="141">
        <f t="shared" ca="1" si="11"/>
        <v>0</v>
      </c>
      <c r="V32" s="142" t="str">
        <f t="shared" ca="1" si="12"/>
        <v/>
      </c>
      <c r="W32" s="142" t="str">
        <f t="shared" ca="1" si="12"/>
        <v/>
      </c>
      <c r="X32" s="142" t="str">
        <f t="shared" ca="1" si="12"/>
        <v/>
      </c>
      <c r="Y32" s="142" t="str">
        <f t="shared" ca="1" si="12"/>
        <v/>
      </c>
      <c r="Z32" s="143" t="str">
        <f t="shared" ca="1" si="12"/>
        <v/>
      </c>
      <c r="AA32" s="143" t="str">
        <f t="shared" ca="1" si="12"/>
        <v/>
      </c>
      <c r="AB32" s="143" t="str">
        <f t="shared" ca="1" si="12"/>
        <v/>
      </c>
      <c r="AC32" s="143" t="str">
        <f t="shared" ca="1" si="12"/>
        <v/>
      </c>
      <c r="AD32" s="143" t="str">
        <f t="shared" ca="1" si="12"/>
        <v/>
      </c>
      <c r="AE32" s="145" t="str">
        <f t="shared" ca="1" si="12"/>
        <v/>
      </c>
      <c r="AF32" s="145" t="str">
        <f t="shared" ca="1" si="12"/>
        <v/>
      </c>
      <c r="AG32" s="145" t="str">
        <f t="shared" ca="1" si="12"/>
        <v/>
      </c>
      <c r="AH32" s="145">
        <f t="shared" ca="1" si="6"/>
        <v>0</v>
      </c>
      <c r="AI32" s="146" t="e">
        <f>#REF!</f>
        <v>#REF!</v>
      </c>
      <c r="AJ32" s="146" t="e">
        <f>IF(#REF!="","",#REF!)</f>
        <v>#REF!</v>
      </c>
      <c r="AK32" s="146" t="e">
        <f>#REF!</f>
        <v>#REF!</v>
      </c>
      <c r="AL32" s="146" t="e">
        <f>#REF!</f>
        <v>#REF!</v>
      </c>
      <c r="AM32" s="146" t="e">
        <f>#REF!</f>
        <v>#REF!</v>
      </c>
    </row>
    <row r="33" spans="1:39" x14ac:dyDescent="0.2">
      <c r="A33" s="1">
        <v>30</v>
      </c>
      <c r="B33" s="2" t="str">
        <f t="shared" ca="1" si="7"/>
        <v xml:space="preserve">, </v>
      </c>
      <c r="C33" s="141">
        <f t="shared" ca="1" si="8"/>
        <v>0</v>
      </c>
      <c r="D33" s="141">
        <f t="shared" ca="1" si="8"/>
        <v>0</v>
      </c>
      <c r="E33" s="141">
        <f t="shared" ca="1" si="8"/>
        <v>0</v>
      </c>
      <c r="F33" s="142" t="str">
        <f t="shared" ca="1" si="10"/>
        <v/>
      </c>
      <c r="G33" s="142" t="str">
        <f t="shared" ca="1" si="10"/>
        <v/>
      </c>
      <c r="H33" s="142" t="str">
        <f t="shared" ca="1" si="10"/>
        <v/>
      </c>
      <c r="I33" s="142" t="str">
        <f t="shared" ca="1" si="10"/>
        <v/>
      </c>
      <c r="J33" s="143" t="str">
        <f t="shared" ca="1" si="10"/>
        <v/>
      </c>
      <c r="K33" s="143" t="str">
        <f t="shared" ca="1" si="10"/>
        <v/>
      </c>
      <c r="L33" s="143" t="str">
        <f t="shared" ca="1" si="10"/>
        <v/>
      </c>
      <c r="M33" s="144" t="str">
        <f t="shared" ca="1" si="10"/>
        <v/>
      </c>
      <c r="N33" s="143" t="str">
        <f t="shared" ca="1" si="10"/>
        <v/>
      </c>
      <c r="O33" s="145" t="str">
        <f t="shared" ca="1" si="10"/>
        <v/>
      </c>
      <c r="P33" s="145" t="str">
        <f t="shared" ca="1" si="10"/>
        <v/>
      </c>
      <c r="Q33" s="145" t="str">
        <f t="shared" ca="1" si="10"/>
        <v/>
      </c>
      <c r="R33" s="145">
        <f t="shared" ca="1" si="11"/>
        <v>0</v>
      </c>
      <c r="S33" s="141">
        <f t="shared" ca="1" si="11"/>
        <v>0</v>
      </c>
      <c r="T33" s="141">
        <f t="shared" ca="1" si="11"/>
        <v>0</v>
      </c>
      <c r="U33" s="141">
        <f t="shared" ca="1" si="11"/>
        <v>0</v>
      </c>
      <c r="V33" s="142" t="str">
        <f t="shared" ca="1" si="12"/>
        <v/>
      </c>
      <c r="W33" s="142" t="str">
        <f t="shared" ca="1" si="12"/>
        <v/>
      </c>
      <c r="X33" s="142" t="str">
        <f t="shared" ca="1" si="12"/>
        <v/>
      </c>
      <c r="Y33" s="142" t="str">
        <f t="shared" ca="1" si="12"/>
        <v/>
      </c>
      <c r="Z33" s="143" t="str">
        <f t="shared" ca="1" si="12"/>
        <v/>
      </c>
      <c r="AA33" s="143" t="str">
        <f t="shared" ca="1" si="12"/>
        <v/>
      </c>
      <c r="AB33" s="143" t="str">
        <f t="shared" ca="1" si="12"/>
        <v/>
      </c>
      <c r="AC33" s="143" t="str">
        <f t="shared" ca="1" si="12"/>
        <v/>
      </c>
      <c r="AD33" s="143" t="str">
        <f t="shared" ca="1" si="12"/>
        <v/>
      </c>
      <c r="AE33" s="145" t="str">
        <f t="shared" ca="1" si="12"/>
        <v/>
      </c>
      <c r="AF33" s="145" t="str">
        <f t="shared" ca="1" si="12"/>
        <v/>
      </c>
      <c r="AG33" s="145" t="str">
        <f t="shared" ca="1" si="12"/>
        <v/>
      </c>
      <c r="AH33" s="145">
        <f t="shared" ca="1" si="6"/>
        <v>0</v>
      </c>
      <c r="AI33" s="146" t="e">
        <f>#REF!</f>
        <v>#REF!</v>
      </c>
      <c r="AJ33" s="146" t="e">
        <f>IF(#REF!="","",#REF!)</f>
        <v>#REF!</v>
      </c>
      <c r="AK33" s="146" t="e">
        <f>#REF!</f>
        <v>#REF!</v>
      </c>
      <c r="AL33" s="146" t="e">
        <f>#REF!</f>
        <v>#REF!</v>
      </c>
      <c r="AM33" s="146" t="e">
        <f>#REF!</f>
        <v>#REF!</v>
      </c>
    </row>
    <row r="34" spans="1:39" x14ac:dyDescent="0.2">
      <c r="A34" s="1">
        <v>31</v>
      </c>
      <c r="B34" s="2" t="str">
        <f t="shared" ca="1" si="7"/>
        <v xml:space="preserve">, </v>
      </c>
      <c r="C34" s="141">
        <f t="shared" ca="1" si="8"/>
        <v>0</v>
      </c>
      <c r="D34" s="141">
        <f t="shared" ca="1" si="8"/>
        <v>0</v>
      </c>
      <c r="E34" s="141">
        <f t="shared" ca="1" si="8"/>
        <v>0</v>
      </c>
      <c r="F34" s="142" t="str">
        <f t="shared" ca="1" si="10"/>
        <v/>
      </c>
      <c r="G34" s="142" t="str">
        <f t="shared" ca="1" si="10"/>
        <v/>
      </c>
      <c r="H34" s="142" t="str">
        <f t="shared" ca="1" si="10"/>
        <v/>
      </c>
      <c r="I34" s="142" t="str">
        <f t="shared" ca="1" si="10"/>
        <v/>
      </c>
      <c r="J34" s="143" t="str">
        <f t="shared" ca="1" si="10"/>
        <v/>
      </c>
      <c r="K34" s="143" t="str">
        <f t="shared" ca="1" si="10"/>
        <v/>
      </c>
      <c r="L34" s="143" t="str">
        <f t="shared" ca="1" si="10"/>
        <v/>
      </c>
      <c r="M34" s="144" t="str">
        <f t="shared" ca="1" si="10"/>
        <v/>
      </c>
      <c r="N34" s="143" t="str">
        <f t="shared" ca="1" si="10"/>
        <v/>
      </c>
      <c r="O34" s="145" t="str">
        <f t="shared" ca="1" si="10"/>
        <v/>
      </c>
      <c r="P34" s="145" t="str">
        <f t="shared" ca="1" si="10"/>
        <v/>
      </c>
      <c r="Q34" s="145" t="str">
        <f t="shared" ca="1" si="10"/>
        <v/>
      </c>
      <c r="R34" s="145">
        <f t="shared" ca="1" si="11"/>
        <v>0</v>
      </c>
      <c r="S34" s="141">
        <f t="shared" ca="1" si="11"/>
        <v>0</v>
      </c>
      <c r="T34" s="141">
        <f t="shared" ca="1" si="11"/>
        <v>0</v>
      </c>
      <c r="U34" s="141">
        <f t="shared" ca="1" si="11"/>
        <v>0</v>
      </c>
      <c r="V34" s="142" t="str">
        <f t="shared" ca="1" si="12"/>
        <v/>
      </c>
      <c r="W34" s="142" t="str">
        <f t="shared" ca="1" si="12"/>
        <v/>
      </c>
      <c r="X34" s="142" t="str">
        <f t="shared" ca="1" si="12"/>
        <v/>
      </c>
      <c r="Y34" s="142" t="str">
        <f t="shared" ca="1" si="12"/>
        <v/>
      </c>
      <c r="Z34" s="143" t="str">
        <f t="shared" ca="1" si="12"/>
        <v/>
      </c>
      <c r="AA34" s="143" t="str">
        <f t="shared" ca="1" si="12"/>
        <v/>
      </c>
      <c r="AB34" s="143" t="str">
        <f t="shared" ca="1" si="12"/>
        <v/>
      </c>
      <c r="AC34" s="143" t="str">
        <f t="shared" ca="1" si="12"/>
        <v/>
      </c>
      <c r="AD34" s="143" t="str">
        <f t="shared" ca="1" si="12"/>
        <v/>
      </c>
      <c r="AE34" s="145" t="str">
        <f t="shared" ca="1" si="12"/>
        <v/>
      </c>
      <c r="AF34" s="145" t="str">
        <f t="shared" ca="1" si="12"/>
        <v/>
      </c>
      <c r="AG34" s="145" t="str">
        <f t="shared" ca="1" si="12"/>
        <v/>
      </c>
      <c r="AH34" s="145">
        <f t="shared" ca="1" si="6"/>
        <v>0</v>
      </c>
      <c r="AI34" s="146" t="e">
        <f>#REF!</f>
        <v>#REF!</v>
      </c>
      <c r="AJ34" s="146" t="e">
        <f>IF(#REF!="","",#REF!)</f>
        <v>#REF!</v>
      </c>
      <c r="AK34" s="146" t="e">
        <f>#REF!</f>
        <v>#REF!</v>
      </c>
      <c r="AL34" s="146" t="e">
        <f>#REF!</f>
        <v>#REF!</v>
      </c>
      <c r="AM34" s="146" t="e">
        <f>#REF!</f>
        <v>#REF!</v>
      </c>
    </row>
    <row r="35" spans="1:39" x14ac:dyDescent="0.2">
      <c r="A35" s="1">
        <v>32</v>
      </c>
      <c r="B35" s="2" t="str">
        <f t="shared" ca="1" si="7"/>
        <v xml:space="preserve">, </v>
      </c>
      <c r="C35" s="141">
        <f t="shared" ca="1" si="8"/>
        <v>0</v>
      </c>
      <c r="D35" s="141">
        <f t="shared" ca="1" si="8"/>
        <v>0</v>
      </c>
      <c r="E35" s="141">
        <f t="shared" ca="1" si="8"/>
        <v>0</v>
      </c>
      <c r="F35" s="142" t="str">
        <f t="shared" ca="1" si="10"/>
        <v/>
      </c>
      <c r="G35" s="142" t="str">
        <f t="shared" ca="1" si="10"/>
        <v/>
      </c>
      <c r="H35" s="142" t="str">
        <f t="shared" ca="1" si="10"/>
        <v/>
      </c>
      <c r="I35" s="142" t="str">
        <f t="shared" ca="1" si="10"/>
        <v/>
      </c>
      <c r="J35" s="143" t="str">
        <f t="shared" ca="1" si="10"/>
        <v/>
      </c>
      <c r="K35" s="143" t="str">
        <f t="shared" ca="1" si="10"/>
        <v/>
      </c>
      <c r="L35" s="143" t="str">
        <f t="shared" ca="1" si="10"/>
        <v/>
      </c>
      <c r="M35" s="144" t="str">
        <f t="shared" ca="1" si="10"/>
        <v/>
      </c>
      <c r="N35" s="143" t="str">
        <f t="shared" ca="1" si="10"/>
        <v/>
      </c>
      <c r="O35" s="145" t="str">
        <f t="shared" ca="1" si="10"/>
        <v/>
      </c>
      <c r="P35" s="145" t="str">
        <f t="shared" ca="1" si="10"/>
        <v/>
      </c>
      <c r="Q35" s="145" t="str">
        <f t="shared" ca="1" si="10"/>
        <v/>
      </c>
      <c r="R35" s="145">
        <f t="shared" ca="1" si="11"/>
        <v>0</v>
      </c>
      <c r="S35" s="141">
        <f t="shared" ca="1" si="11"/>
        <v>0</v>
      </c>
      <c r="T35" s="141">
        <f t="shared" ca="1" si="11"/>
        <v>0</v>
      </c>
      <c r="U35" s="141">
        <f t="shared" ca="1" si="11"/>
        <v>0</v>
      </c>
      <c r="V35" s="142" t="str">
        <f t="shared" ca="1" si="12"/>
        <v/>
      </c>
      <c r="W35" s="142" t="str">
        <f t="shared" ca="1" si="12"/>
        <v/>
      </c>
      <c r="X35" s="142" t="str">
        <f t="shared" ca="1" si="12"/>
        <v/>
      </c>
      <c r="Y35" s="142" t="str">
        <f t="shared" ca="1" si="12"/>
        <v/>
      </c>
      <c r="Z35" s="143" t="str">
        <f t="shared" ca="1" si="12"/>
        <v/>
      </c>
      <c r="AA35" s="143" t="str">
        <f t="shared" ca="1" si="12"/>
        <v/>
      </c>
      <c r="AB35" s="143" t="str">
        <f t="shared" ca="1" si="12"/>
        <v/>
      </c>
      <c r="AC35" s="143" t="str">
        <f t="shared" ca="1" si="12"/>
        <v/>
      </c>
      <c r="AD35" s="143" t="str">
        <f t="shared" ca="1" si="12"/>
        <v/>
      </c>
      <c r="AE35" s="145" t="str">
        <f t="shared" ca="1" si="12"/>
        <v/>
      </c>
      <c r="AF35" s="145" t="str">
        <f t="shared" ca="1" si="12"/>
        <v/>
      </c>
      <c r="AG35" s="145" t="str">
        <f t="shared" ca="1" si="12"/>
        <v/>
      </c>
      <c r="AH35" s="145">
        <f t="shared" ca="1" si="6"/>
        <v>0</v>
      </c>
      <c r="AI35" s="146" t="e">
        <f>#REF!</f>
        <v>#REF!</v>
      </c>
      <c r="AJ35" s="146" t="e">
        <f>IF(#REF!="","",#REF!)</f>
        <v>#REF!</v>
      </c>
      <c r="AK35" s="146" t="e">
        <f>#REF!</f>
        <v>#REF!</v>
      </c>
      <c r="AL35" s="146" t="e">
        <f>#REF!</f>
        <v>#REF!</v>
      </c>
      <c r="AM35" s="146" t="e">
        <f>#REF!</f>
        <v>#REF!</v>
      </c>
    </row>
    <row r="36" spans="1:39" x14ac:dyDescent="0.2">
      <c r="A36" s="1">
        <v>33</v>
      </c>
      <c r="B36" s="2" t="str">
        <f t="shared" ca="1" si="7"/>
        <v xml:space="preserve">, </v>
      </c>
      <c r="C36" s="141">
        <f t="shared" ca="1" si="8"/>
        <v>0</v>
      </c>
      <c r="D36" s="141">
        <f t="shared" ca="1" si="8"/>
        <v>0</v>
      </c>
      <c r="E36" s="141">
        <f t="shared" ca="1" si="8"/>
        <v>0</v>
      </c>
      <c r="F36" s="142" t="str">
        <f t="shared" ca="1" si="10"/>
        <v/>
      </c>
      <c r="G36" s="142" t="str">
        <f t="shared" ca="1" si="10"/>
        <v/>
      </c>
      <c r="H36" s="142" t="str">
        <f t="shared" ca="1" si="10"/>
        <v/>
      </c>
      <c r="I36" s="142" t="str">
        <f t="shared" ca="1" si="10"/>
        <v/>
      </c>
      <c r="J36" s="143" t="str">
        <f t="shared" ca="1" si="10"/>
        <v/>
      </c>
      <c r="K36" s="143" t="str">
        <f t="shared" ca="1" si="10"/>
        <v/>
      </c>
      <c r="L36" s="143" t="str">
        <f t="shared" ca="1" si="10"/>
        <v/>
      </c>
      <c r="M36" s="144" t="str">
        <f t="shared" ca="1" si="10"/>
        <v/>
      </c>
      <c r="N36" s="143" t="str">
        <f t="shared" ca="1" si="10"/>
        <v/>
      </c>
      <c r="O36" s="145" t="str">
        <f t="shared" ca="1" si="10"/>
        <v/>
      </c>
      <c r="P36" s="145" t="str">
        <f t="shared" ca="1" si="10"/>
        <v/>
      </c>
      <c r="Q36" s="145" t="str">
        <f t="shared" ca="1" si="10"/>
        <v/>
      </c>
      <c r="R36" s="145">
        <f t="shared" ca="1" si="11"/>
        <v>0</v>
      </c>
      <c r="S36" s="141">
        <f t="shared" ca="1" si="11"/>
        <v>0</v>
      </c>
      <c r="T36" s="141">
        <f t="shared" ca="1" si="11"/>
        <v>0</v>
      </c>
      <c r="U36" s="141">
        <f t="shared" ca="1" si="11"/>
        <v>0</v>
      </c>
      <c r="V36" s="142" t="str">
        <f t="shared" ca="1" si="12"/>
        <v/>
      </c>
      <c r="W36" s="142" t="str">
        <f t="shared" ca="1" si="12"/>
        <v/>
      </c>
      <c r="X36" s="142" t="str">
        <f t="shared" ca="1" si="12"/>
        <v/>
      </c>
      <c r="Y36" s="142" t="str">
        <f t="shared" ca="1" si="12"/>
        <v/>
      </c>
      <c r="Z36" s="143" t="str">
        <f t="shared" ca="1" si="12"/>
        <v/>
      </c>
      <c r="AA36" s="143" t="str">
        <f t="shared" ca="1" si="12"/>
        <v/>
      </c>
      <c r="AB36" s="143" t="str">
        <f t="shared" ca="1" si="12"/>
        <v/>
      </c>
      <c r="AC36" s="143" t="str">
        <f t="shared" ca="1" si="12"/>
        <v/>
      </c>
      <c r="AD36" s="143" t="str">
        <f t="shared" ca="1" si="12"/>
        <v/>
      </c>
      <c r="AE36" s="145" t="str">
        <f t="shared" ca="1" si="12"/>
        <v/>
      </c>
      <c r="AF36" s="145" t="str">
        <f t="shared" ca="1" si="12"/>
        <v/>
      </c>
      <c r="AG36" s="145" t="str">
        <f t="shared" ca="1" si="12"/>
        <v/>
      </c>
      <c r="AH36" s="145">
        <f t="shared" ca="1" si="6"/>
        <v>0</v>
      </c>
      <c r="AI36" s="146" t="e">
        <f>#REF!</f>
        <v>#REF!</v>
      </c>
      <c r="AJ36" s="146" t="e">
        <f>IF(#REF!="","",#REF!)</f>
        <v>#REF!</v>
      </c>
      <c r="AK36" s="146" t="e">
        <f>#REF!</f>
        <v>#REF!</v>
      </c>
      <c r="AL36" s="146" t="e">
        <f>#REF!</f>
        <v>#REF!</v>
      </c>
      <c r="AM36" s="146" t="e">
        <f>#REF!</f>
        <v>#REF!</v>
      </c>
    </row>
    <row r="37" spans="1:39" x14ac:dyDescent="0.2">
      <c r="A37" s="1">
        <v>34</v>
      </c>
      <c r="B37" s="2" t="str">
        <f t="shared" ca="1" si="7"/>
        <v xml:space="preserve">, </v>
      </c>
      <c r="C37" s="141">
        <f t="shared" ca="1" si="8"/>
        <v>0</v>
      </c>
      <c r="D37" s="141">
        <f t="shared" ca="1" si="8"/>
        <v>0</v>
      </c>
      <c r="E37" s="141">
        <f t="shared" ca="1" si="8"/>
        <v>0</v>
      </c>
      <c r="F37" s="142" t="str">
        <f t="shared" ca="1" si="10"/>
        <v/>
      </c>
      <c r="G37" s="142" t="str">
        <f t="shared" ca="1" si="10"/>
        <v/>
      </c>
      <c r="H37" s="142" t="str">
        <f t="shared" ca="1" si="10"/>
        <v/>
      </c>
      <c r="I37" s="142" t="str">
        <f t="shared" ca="1" si="10"/>
        <v/>
      </c>
      <c r="J37" s="143" t="str">
        <f t="shared" ca="1" si="10"/>
        <v/>
      </c>
      <c r="K37" s="143" t="str">
        <f t="shared" ca="1" si="10"/>
        <v/>
      </c>
      <c r="L37" s="143" t="str">
        <f t="shared" ca="1" si="10"/>
        <v/>
      </c>
      <c r="M37" s="144" t="str">
        <f t="shared" ca="1" si="10"/>
        <v/>
      </c>
      <c r="N37" s="143" t="str">
        <f t="shared" ca="1" si="10"/>
        <v/>
      </c>
      <c r="O37" s="145" t="str">
        <f t="shared" ca="1" si="10"/>
        <v/>
      </c>
      <c r="P37" s="145" t="str">
        <f t="shared" ca="1" si="10"/>
        <v/>
      </c>
      <c r="Q37" s="145" t="str">
        <f t="shared" ca="1" si="10"/>
        <v/>
      </c>
      <c r="R37" s="145">
        <f t="shared" ca="1" si="11"/>
        <v>0</v>
      </c>
      <c r="S37" s="141">
        <f t="shared" ca="1" si="11"/>
        <v>0</v>
      </c>
      <c r="T37" s="141">
        <f t="shared" ca="1" si="11"/>
        <v>0</v>
      </c>
      <c r="U37" s="141">
        <f t="shared" ca="1" si="11"/>
        <v>0</v>
      </c>
      <c r="V37" s="142" t="str">
        <f t="shared" ca="1" si="12"/>
        <v/>
      </c>
      <c r="W37" s="142" t="str">
        <f t="shared" ca="1" si="12"/>
        <v/>
      </c>
      <c r="X37" s="142" t="str">
        <f t="shared" ca="1" si="12"/>
        <v/>
      </c>
      <c r="Y37" s="142" t="str">
        <f t="shared" ca="1" si="12"/>
        <v/>
      </c>
      <c r="Z37" s="143" t="str">
        <f t="shared" ca="1" si="12"/>
        <v/>
      </c>
      <c r="AA37" s="143" t="str">
        <f t="shared" ca="1" si="12"/>
        <v/>
      </c>
      <c r="AB37" s="143" t="str">
        <f t="shared" ca="1" si="12"/>
        <v/>
      </c>
      <c r="AC37" s="143" t="str">
        <f t="shared" ca="1" si="12"/>
        <v/>
      </c>
      <c r="AD37" s="143" t="str">
        <f t="shared" ca="1" si="12"/>
        <v/>
      </c>
      <c r="AE37" s="145" t="str">
        <f t="shared" ca="1" si="12"/>
        <v/>
      </c>
      <c r="AF37" s="145" t="str">
        <f t="shared" ca="1" si="12"/>
        <v/>
      </c>
      <c r="AG37" s="145" t="str">
        <f t="shared" ca="1" si="12"/>
        <v/>
      </c>
      <c r="AH37" s="145">
        <f t="shared" ca="1" si="6"/>
        <v>0</v>
      </c>
      <c r="AI37" s="146" t="e">
        <f>#REF!</f>
        <v>#REF!</v>
      </c>
      <c r="AJ37" s="146" t="e">
        <f>IF(#REF!="","",#REF!)</f>
        <v>#REF!</v>
      </c>
      <c r="AK37" s="146" t="e">
        <f>#REF!</f>
        <v>#REF!</v>
      </c>
      <c r="AL37" s="146" t="e">
        <f>#REF!</f>
        <v>#REF!</v>
      </c>
      <c r="AM37" s="146" t="e">
        <f>#REF!</f>
        <v>#REF!</v>
      </c>
    </row>
    <row r="38" spans="1:39" x14ac:dyDescent="0.2">
      <c r="A38" s="1">
        <v>35</v>
      </c>
      <c r="B38" s="2" t="str">
        <f t="shared" ca="1" si="7"/>
        <v xml:space="preserve">, </v>
      </c>
      <c r="C38" s="141">
        <f t="shared" ca="1" si="8"/>
        <v>0</v>
      </c>
      <c r="D38" s="141">
        <f t="shared" ca="1" si="8"/>
        <v>0</v>
      </c>
      <c r="E38" s="141">
        <f t="shared" ca="1" si="8"/>
        <v>0</v>
      </c>
      <c r="F38" s="142" t="str">
        <f t="shared" ca="1" si="10"/>
        <v/>
      </c>
      <c r="G38" s="142" t="str">
        <f t="shared" ca="1" si="10"/>
        <v/>
      </c>
      <c r="H38" s="142" t="str">
        <f t="shared" ca="1" si="10"/>
        <v/>
      </c>
      <c r="I38" s="142" t="str">
        <f t="shared" ca="1" si="10"/>
        <v/>
      </c>
      <c r="J38" s="143" t="str">
        <f t="shared" ca="1" si="10"/>
        <v/>
      </c>
      <c r="K38" s="143" t="str">
        <f t="shared" ca="1" si="10"/>
        <v/>
      </c>
      <c r="L38" s="143" t="str">
        <f t="shared" ca="1" si="10"/>
        <v/>
      </c>
      <c r="M38" s="144" t="str">
        <f t="shared" ca="1" si="10"/>
        <v/>
      </c>
      <c r="N38" s="143" t="str">
        <f t="shared" ca="1" si="10"/>
        <v/>
      </c>
      <c r="O38" s="145" t="str">
        <f t="shared" ca="1" si="10"/>
        <v/>
      </c>
      <c r="P38" s="145" t="str">
        <f t="shared" ca="1" si="10"/>
        <v/>
      </c>
      <c r="Q38" s="145" t="str">
        <f t="shared" ca="1" si="10"/>
        <v/>
      </c>
      <c r="R38" s="145">
        <f t="shared" ca="1" si="11"/>
        <v>0</v>
      </c>
      <c r="S38" s="141">
        <f t="shared" ca="1" si="11"/>
        <v>0</v>
      </c>
      <c r="T38" s="141">
        <f t="shared" ca="1" si="11"/>
        <v>0</v>
      </c>
      <c r="U38" s="141">
        <f t="shared" ca="1" si="11"/>
        <v>0</v>
      </c>
      <c r="V38" s="142" t="str">
        <f t="shared" ca="1" si="12"/>
        <v/>
      </c>
      <c r="W38" s="142" t="str">
        <f t="shared" ca="1" si="12"/>
        <v/>
      </c>
      <c r="X38" s="142" t="str">
        <f t="shared" ca="1" si="12"/>
        <v/>
      </c>
      <c r="Y38" s="142" t="str">
        <f t="shared" ca="1" si="12"/>
        <v/>
      </c>
      <c r="Z38" s="143" t="str">
        <f t="shared" ca="1" si="12"/>
        <v/>
      </c>
      <c r="AA38" s="143" t="str">
        <f t="shared" ca="1" si="12"/>
        <v/>
      </c>
      <c r="AB38" s="143" t="str">
        <f t="shared" ca="1" si="12"/>
        <v/>
      </c>
      <c r="AC38" s="143" t="str">
        <f t="shared" ca="1" si="12"/>
        <v/>
      </c>
      <c r="AD38" s="143" t="str">
        <f t="shared" ca="1" si="12"/>
        <v/>
      </c>
      <c r="AE38" s="145" t="str">
        <f t="shared" ca="1" si="12"/>
        <v/>
      </c>
      <c r="AF38" s="145" t="str">
        <f t="shared" ca="1" si="12"/>
        <v/>
      </c>
      <c r="AG38" s="145" t="str">
        <f t="shared" ca="1" si="12"/>
        <v/>
      </c>
      <c r="AH38" s="145">
        <f t="shared" ca="1" si="6"/>
        <v>0</v>
      </c>
      <c r="AI38" s="146" t="e">
        <f>#REF!</f>
        <v>#REF!</v>
      </c>
      <c r="AJ38" s="146" t="e">
        <f>IF(#REF!="","",#REF!)</f>
        <v>#REF!</v>
      </c>
      <c r="AK38" s="146" t="e">
        <f>#REF!</f>
        <v>#REF!</v>
      </c>
      <c r="AL38" s="146" t="e">
        <f>#REF!</f>
        <v>#REF!</v>
      </c>
      <c r="AM38" s="146"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46</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IF(D4="","",IF($H$3="BE",LOOKUP(IF(E4="",D4+0.01,D4*$H$30/E4+0.5),NB!$X$473:$X$488,NB!$Y$473:$Y$488),D4))</f>
        <v/>
      </c>
      <c r="D4" s="4"/>
      <c r="E4" s="104"/>
      <c r="F4" s="158"/>
      <c r="G4" s="158"/>
      <c r="H4" s="158"/>
      <c r="I4" s="158"/>
      <c r="J4" s="168" t="str">
        <f t="shared" ref="J4:J38" si="0">+B4&amp;D4</f>
        <v/>
      </c>
      <c r="L4" s="166"/>
      <c r="M4" s="239"/>
      <c r="N4" s="114"/>
    </row>
    <row r="5" spans="1:14" x14ac:dyDescent="0.2">
      <c r="A5" s="9">
        <v>2</v>
      </c>
      <c r="B5" s="145" t="str">
        <f>IF(Notenbogen!B5&lt;&gt;"", Notenbogen!B5, "")</f>
        <v/>
      </c>
      <c r="C5" s="154" t="str">
        <f>IF(D5="","",IF($H$3="BE",LOOKUP(IF(E5="",D5+0.01,D5*$H$30/E5+0.5),NB!$X$473:$X$488,NB!$Y$473:$Y$488),D5))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IF(D6="","",IF($H$3="BE",LOOKUP(IF(E6="",D6+0.01,D6*$H$30/E6+0.5),NB!$X$473:$X$488,NB!$Y$473:$Y$488),D6))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IF(D7="","",IF($H$3="BE",LOOKUP(IF(E7="",D7+0.01,D7*$H$30/E7+0.5),NB!$X$473:$X$488,NB!$Y$473:$Y$488),D7))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IF(D8="","",IF($H$3="BE",LOOKUP(IF(E8="",D8+0.01,D8*$H$30/E8+0.5),NB!$X$473:$X$488,NB!$Y$473:$Y$488),D8))</f>
        <v/>
      </c>
      <c r="D8" s="4"/>
      <c r="E8" s="104"/>
      <c r="F8" s="171">
        <v>14</v>
      </c>
      <c r="G8" s="84">
        <f t="shared" si="1"/>
        <v>0</v>
      </c>
      <c r="H8" s="101" t="e">
        <f t="shared" si="2"/>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IF(D9="","",IF($H$3="BE",LOOKUP(IF(E9="",D9+0.01,D9*$H$30/E9+0.5),NB!$X$473:$X$488,NB!$Y$473:$Y$488),D9))</f>
        <v/>
      </c>
      <c r="D9" s="4"/>
      <c r="E9" s="104"/>
      <c r="F9" s="172">
        <v>13</v>
      </c>
      <c r="G9" s="93">
        <f t="shared" si="1"/>
        <v>0</v>
      </c>
      <c r="H9" s="102" t="e">
        <f t="shared" si="2"/>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IF(D10="","",IF($H$3="BE",LOOKUP(IF(E10="",D10+0.01,D10*$H$30/E10+0.5),NB!$X$473:$X$488,NB!$Y$473:$Y$488),D10))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IF(D11="","",IF($H$3="BE",LOOKUP(IF(E11="",D11+0.01,D11*$H$30/E11+0.5),NB!$X$473:$X$488,NB!$Y$473:$Y$488),D11))</f>
        <v/>
      </c>
      <c r="D11" s="4"/>
      <c r="E11" s="104"/>
      <c r="F11" s="171">
        <v>11</v>
      </c>
      <c r="G11" s="84">
        <f t="shared" si="1"/>
        <v>0</v>
      </c>
      <c r="H11" s="101" t="e">
        <f t="shared" si="2"/>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IF(D12="","",IF($H$3="BE",LOOKUP(IF(E12="",D12+0.01,D12*$H$30/E12+0.5),NB!$X$473:$X$488,NB!$Y$473:$Y$488),D12))</f>
        <v/>
      </c>
      <c r="D12" s="4"/>
      <c r="E12" s="104"/>
      <c r="F12" s="172">
        <v>10</v>
      </c>
      <c r="G12" s="93">
        <f t="shared" si="1"/>
        <v>0</v>
      </c>
      <c r="H12" s="102" t="e">
        <f t="shared" si="2"/>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IF(D13="","",IF($H$3="BE",LOOKUP(IF(E13="",D13+0.01,D13*$H$30/E13+0.5),NB!$X$473:$X$488,NB!$Y$473:$Y$488),D13))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IF(D14="","",IF($H$3="BE",LOOKUP(IF(E14="",D14+0.01,D14*$H$30/E14+0.5),NB!$X$473:$X$488,NB!$Y$473:$Y$488),D14))</f>
        <v/>
      </c>
      <c r="D14" s="4"/>
      <c r="E14" s="104"/>
      <c r="F14" s="171">
        <v>8</v>
      </c>
      <c r="G14" s="84">
        <f t="shared" si="1"/>
        <v>0</v>
      </c>
      <c r="H14" s="101" t="e">
        <f t="shared" si="2"/>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IF(D15="","",IF($H$3="BE",LOOKUP(IF(E15="",D15+0.01,D15*$H$30/E15+0.5),NB!$X$473:$X$488,NB!$Y$473:$Y$488),D15))</f>
        <v/>
      </c>
      <c r="D15" s="4"/>
      <c r="E15" s="104"/>
      <c r="F15" s="96">
        <v>7</v>
      </c>
      <c r="G15" s="93">
        <f t="shared" si="1"/>
        <v>0</v>
      </c>
      <c r="H15" s="102" t="e">
        <f t="shared" si="2"/>
        <v>#DIV/0!</v>
      </c>
      <c r="I15" s="158">
        <f>+G13+G14+G15</f>
        <v>0</v>
      </c>
      <c r="J15" s="168" t="str">
        <f t="shared" si="0"/>
        <v/>
      </c>
      <c r="K15" s="173"/>
    </row>
    <row r="16" spans="1:14" x14ac:dyDescent="0.2">
      <c r="A16" s="9">
        <v>13</v>
      </c>
      <c r="B16" s="145" t="str">
        <f>IF(Notenbogen!B16&lt;&gt;"", Notenbogen!B16, "")</f>
        <v/>
      </c>
      <c r="C16" s="154" t="str">
        <f>IF(D16="","",IF($H$3="BE",LOOKUP(IF(E16="",D16+0.01,D16*$H$30/E16+0.5),NB!$X$473:$X$488,NB!$Y$473:$Y$488),D16))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IF(D17="","",IF($H$3="BE",LOOKUP(IF(E17="",D17+0.01,D17*$H$30/E17+0.5),NB!$X$473:$X$488,NB!$Y$473:$Y$488),D17))</f>
        <v/>
      </c>
      <c r="D17" s="4"/>
      <c r="E17" s="104"/>
      <c r="F17" s="98">
        <v>5</v>
      </c>
      <c r="G17" s="84">
        <f t="shared" si="1"/>
        <v>0</v>
      </c>
      <c r="H17" s="101" t="e">
        <f t="shared" si="2"/>
        <v>#DIV/0!</v>
      </c>
      <c r="I17" s="105" t="e">
        <f>+H16+H17+H18</f>
        <v>#DIV/0!</v>
      </c>
      <c r="J17" s="168" t="str">
        <f t="shared" si="0"/>
        <v/>
      </c>
      <c r="K17" s="173"/>
    </row>
    <row r="18" spans="1:12" x14ac:dyDescent="0.2">
      <c r="A18" s="9">
        <v>15</v>
      </c>
      <c r="B18" s="145" t="str">
        <f>IF(Notenbogen!B18&lt;&gt;"", Notenbogen!B18, "")</f>
        <v/>
      </c>
      <c r="C18" s="154" t="str">
        <f>IF(D18="","",IF($H$3="BE",LOOKUP(IF(E18="",D18+0.01,D18*$H$30/E18+0.5),NB!$X$473:$X$488,NB!$Y$473:$Y$488),D18))</f>
        <v/>
      </c>
      <c r="D18" s="4"/>
      <c r="E18" s="104"/>
      <c r="F18" s="172">
        <v>4</v>
      </c>
      <c r="G18" s="93">
        <f t="shared" si="1"/>
        <v>0</v>
      </c>
      <c r="H18" s="102" t="e">
        <f t="shared" si="2"/>
        <v>#DIV/0!</v>
      </c>
      <c r="I18" s="158">
        <f>+G16+G17+G18</f>
        <v>0</v>
      </c>
      <c r="J18" s="168" t="str">
        <f t="shared" si="0"/>
        <v/>
      </c>
      <c r="K18" s="158"/>
    </row>
    <row r="19" spans="1:12" x14ac:dyDescent="0.2">
      <c r="A19" s="9">
        <v>16</v>
      </c>
      <c r="B19" s="145" t="str">
        <f>IF(Notenbogen!B19&lt;&gt;"", Notenbogen!B19, "")</f>
        <v/>
      </c>
      <c r="C19" s="154" t="str">
        <f>IF(D19="","",IF($H$3="BE",LOOKUP(IF(E19="",D19+0.01,D19*$H$30/E19+0.5),NB!$X$473:$X$488,NB!$Y$473:$Y$488),D19))</f>
        <v/>
      </c>
      <c r="D19" s="4"/>
      <c r="E19" s="104"/>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IF(D20="","",IF($H$3="BE",LOOKUP(IF(E20="",D20+0.01,D20*$H$30/E20+0.5),NB!$X$473:$X$488,NB!$Y$473:$Y$488),D20))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IF(D21="","",IF($H$3="BE",LOOKUP(IF(E21="",D21+0.01,D21*$H$30/E21+0.5),NB!$X$473:$X$488,NB!$Y$473:$Y$488),D21))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IF(D22="","",IF($H$3="BE",LOOKUP(IF(E22="",D22+0.01,D22*$H$30/E22+0.5),NB!$X$473:$X$488,NB!$Y$473:$Y$488),D22))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IF(D23="","",IF($H$3="BE",LOOKUP(IF(E23="",D23+0.01,D23*$H$30/E23+0.5),NB!$X$473:$X$488,NB!$Y$473:$Y$488),D23))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IF(D24="","",IF($H$3="BE",LOOKUP(IF(E24="",D24+0.01,D24*$H$30/E24+0.5),NB!$X$473:$X$488,NB!$Y$473:$Y$488),D24))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IF(D25="","",IF($H$3="BE",LOOKUP(IF(E25="",D25+0.01,D25*$H$30/E25+0.5),NB!$X$473:$X$488,NB!$Y$473:$Y$488),D25))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IF(D26="","",IF($H$3="BE",LOOKUP(IF(E26="",D26+0.01,D26*$H$30/E26+0.5),NB!$X$473:$X$488,NB!$Y$473:$Y$488),D26))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IF(D27="","",IF($H$3="BE",LOOKUP(IF(E27="",D27+0.01,D27*$H$30/E27+0.5),NB!$X$473:$X$488,NB!$Y$473:$Y$488),D27))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IF(D28="","",IF($H$3="BE",LOOKUP(IF(E28="",D28+0.01,D28*$H$30/E28+0.5),NB!$X$473:$X$488,NB!$Y$473:$Y$488),D28))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IF(D29="","",IF($H$3="BE",LOOKUP(IF(E29="",D29+0.01,D29*$H$30/E29+0.5),NB!$X$473:$X$488,NB!$Y$473:$Y$488),D29))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IF(D30="","",IF($H$3="BE",LOOKUP(IF(E30="",D30+0.01,D30*$H$30/E30+0.5),NB!$X$473:$X$488,NB!$Y$473:$Y$488),D30))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IF(D31="","",IF($H$3="BE",LOOKUP(IF(E31="",D31+0.01,D31*$H$30/E31+0.5),NB!$X$473:$X$488,NB!$Y$473:$Y$488),D31))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IF(D32="","",IF($H$3="BE",LOOKUP(IF(E32="",D32+0.01,D32*$H$30/E32+0.5),NB!$X$473:$X$488,NB!$Y$473:$Y$488),D32))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IF(D33="","",IF($H$3="BE",LOOKUP(IF(E33="",D33+0.01,D33*$H$30/E33+0.5),NB!$X$473:$X$488,NB!$Y$473:$Y$488),D33))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IF(D34="","",IF($H$3="BE",LOOKUP(IF(E34="",D34+0.01,D34*$H$30/E34+0.5),NB!$X$473:$X$488,NB!$Y$473:$Y$488),D34))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IF(D35="","",IF($H$3="BE",LOOKUP(IF(E35="",D35+0.01,D35*$H$30/E35+0.5),NB!$X$473:$X$488,NB!$Y$473:$Y$488),D35))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IF(D36="","",IF($H$3="BE",LOOKUP(IF(E36="",D36+0.01,D36*$H$30/E36+0.5),NB!$X$473:$X$488,NB!$Y$473:$Y$488),D36))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IF(D37="","",IF($H$3="BE",LOOKUP(IF(E37="",D37+0.01,D37*$H$30/E37+0.5),NB!$X$473:$X$488,NB!$Y$473:$Y$488),D37))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IF(D38="","",IF($H$3="BE",LOOKUP(IF(E38="",D38+0.01,D38*$H$30/E38+0.5),NB!$X$473:$X$488,NB!$Y$473:$Y$488),D38))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TEXT(NB!V455,"#0")&amp;"                      "&amp;TEXT(NB!Y455,"#0")&amp;"   "</f>
        <v xml:space="preserve">3                      15   </v>
      </c>
      <c r="C43" s="258">
        <f>+NB!W455</f>
        <v>40</v>
      </c>
      <c r="D43" s="243">
        <f>+NB!X455</f>
        <v>38</v>
      </c>
      <c r="E43" s="211" t="str">
        <f>+NB!Z455</f>
        <v xml:space="preserve"> </v>
      </c>
      <c r="F43" s="211"/>
      <c r="G43" s="214" t="str">
        <f>+NB!AA455</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TEXT(NB!V456,"#0")&amp;"                      "&amp;TEXT(NB!Y456,"#0")&amp;"   "</f>
        <v xml:space="preserve">2                      14   </v>
      </c>
      <c r="C44" s="259">
        <f>+NB!W456</f>
        <v>37.5</v>
      </c>
      <c r="D44" s="244">
        <f>+NB!X456</f>
        <v>36</v>
      </c>
      <c r="E44" s="114" t="str">
        <f>+NB!Z456</f>
        <v xml:space="preserve"> </v>
      </c>
      <c r="F44" s="114"/>
      <c r="G44" s="206" t="str">
        <f>+NB!AA456</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TEXT(NB!V457,"#0")&amp;"                      "&amp;TEXT(NB!Y457,"#0")&amp;"   "</f>
        <v xml:space="preserve">2                      13   </v>
      </c>
      <c r="C45" s="260">
        <f>+NB!W457</f>
        <v>35.5</v>
      </c>
      <c r="D45" s="245">
        <f>+NB!X457</f>
        <v>34</v>
      </c>
      <c r="E45" s="213" t="str">
        <f>+NB!Z457</f>
        <v xml:space="preserve"> </v>
      </c>
      <c r="F45" s="213"/>
      <c r="G45" s="215" t="str">
        <f>+NB!AA457</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TEXT(NB!V458,"#0")&amp;"                      "&amp;TEXT(NB!Y458,"#0")&amp;"   "</f>
        <v xml:space="preserve">2                      12   </v>
      </c>
      <c r="C46" s="259">
        <f>+NB!W458</f>
        <v>33.5</v>
      </c>
      <c r="D46" s="244">
        <f>+NB!X458</f>
        <v>32</v>
      </c>
      <c r="E46" s="114" t="str">
        <f>+NB!Z458</f>
        <v xml:space="preserve"> </v>
      </c>
      <c r="F46" s="114"/>
      <c r="G46" s="206" t="str">
        <f>+NB!AA458</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TEXT(NB!V459,"#0")&amp;"                      "&amp;TEXT(NB!Y459,"#0")&amp;"   "</f>
        <v xml:space="preserve">2                      11   </v>
      </c>
      <c r="C47" s="259">
        <f>+NB!W459</f>
        <v>31.5</v>
      </c>
      <c r="D47" s="244">
        <f>+NB!X459</f>
        <v>30</v>
      </c>
      <c r="E47" s="114" t="str">
        <f>+NB!Z459</f>
        <v xml:space="preserve"> </v>
      </c>
      <c r="F47" s="114"/>
      <c r="G47" s="206" t="str">
        <f>+NB!AA459</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TEXT(NB!V460,"#0")&amp;"                      "&amp;TEXT(NB!Y460,"#0")&amp;"   "</f>
        <v xml:space="preserve">2                      10   </v>
      </c>
      <c r="C48" s="259">
        <f>+NB!W460</f>
        <v>29.5</v>
      </c>
      <c r="D48" s="244">
        <f>+NB!X460</f>
        <v>28</v>
      </c>
      <c r="E48" s="114" t="str">
        <f>+NB!Z460</f>
        <v xml:space="preserve"> </v>
      </c>
      <c r="F48" s="114"/>
      <c r="G48" s="206" t="str">
        <f>+NB!AA460</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TEXT(NB!V461,"#0")&amp;"                        "&amp;TEXT(NB!Y461,"#0")&amp;"   "</f>
        <v xml:space="preserve">2                        9   </v>
      </c>
      <c r="C49" s="258">
        <f>+NB!W461</f>
        <v>27.5</v>
      </c>
      <c r="D49" s="243">
        <f>+NB!X461</f>
        <v>26.5</v>
      </c>
      <c r="E49" s="211" t="str">
        <f>+NB!Z461</f>
        <v xml:space="preserve"> </v>
      </c>
      <c r="F49" s="211"/>
      <c r="G49" s="214" t="str">
        <f>+NB!AA461</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TEXT(NB!V462,"#0")&amp;"                        "&amp;TEXT(NB!Y462,"#0")&amp;"   "</f>
        <v xml:space="preserve">1                        8   </v>
      </c>
      <c r="C50" s="259">
        <f>+NB!W462</f>
        <v>26</v>
      </c>
      <c r="D50" s="244">
        <f>+NB!X462</f>
        <v>25.5</v>
      </c>
      <c r="E50" s="114" t="str">
        <f>+NB!Z462</f>
        <v xml:space="preserve"> </v>
      </c>
      <c r="F50" s="114"/>
      <c r="G50" s="206" t="str">
        <f>+NB!AA462</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TEXT(NB!V463,"#0")&amp;"                        "&amp;TEXT(NB!Y463,"#0")&amp;"   "</f>
        <v xml:space="preserve">2                        7   </v>
      </c>
      <c r="C51" s="260">
        <f>+NB!W463</f>
        <v>25</v>
      </c>
      <c r="D51" s="245">
        <f>+NB!X463</f>
        <v>24</v>
      </c>
      <c r="E51" s="213" t="str">
        <f>+NB!Z463</f>
        <v xml:space="preserve"> </v>
      </c>
      <c r="F51" s="213"/>
      <c r="G51" s="215" t="str">
        <f>+NB!AA463</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TEXT(NB!V464,"#0")&amp;"                        "&amp;TEXT(NB!Y464,"#0")&amp;"   "</f>
        <v xml:space="preserve">2                        6   </v>
      </c>
      <c r="C52" s="259">
        <f>+NB!W464</f>
        <v>23.5</v>
      </c>
      <c r="D52" s="244">
        <f>+NB!X464</f>
        <v>22.5</v>
      </c>
      <c r="E52" s="114" t="str">
        <f>+NB!Z464</f>
        <v xml:space="preserve"> </v>
      </c>
      <c r="F52" s="114"/>
      <c r="G52" s="206" t="str">
        <f>+NB!AA464</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TEXT(NB!V465,"#0")&amp;"                        "&amp;TEXT(NB!Y465,"#0")&amp;"   "</f>
        <v xml:space="preserve">2                        5   </v>
      </c>
      <c r="C53" s="259">
        <f>+NB!W465</f>
        <v>22</v>
      </c>
      <c r="D53" s="244">
        <f>+NB!X465</f>
        <v>21</v>
      </c>
      <c r="E53" s="114" t="str">
        <f>+NB!Z465</f>
        <v xml:space="preserve"> </v>
      </c>
      <c r="F53" s="114"/>
      <c r="G53" s="206" t="str">
        <f>+NB!AA465</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TEXT(NB!V466,"#0")&amp;"                        "&amp;TEXT(NB!Y466,"#0")&amp;"   "</f>
        <v xml:space="preserve">1                        4   </v>
      </c>
      <c r="C54" s="259">
        <f>+NB!W466</f>
        <v>20.5</v>
      </c>
      <c r="D54" s="244">
        <f>+NB!X466</f>
        <v>20</v>
      </c>
      <c r="E54" s="114" t="str">
        <f>+NB!Z466</f>
        <v xml:space="preserve"> </v>
      </c>
      <c r="F54" s="114"/>
      <c r="G54" s="206" t="str">
        <f>+NB!AA466</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TEXT(NB!V467,"#0")&amp;"                        "&amp;TEXT(NB!Y467,"#0")&amp;"   "</f>
        <v xml:space="preserve">2                        3   </v>
      </c>
      <c r="C55" s="258">
        <f>+NB!W467</f>
        <v>19.5</v>
      </c>
      <c r="D55" s="243">
        <f>+NB!X467</f>
        <v>18</v>
      </c>
      <c r="E55" s="211" t="str">
        <f>+NB!Z467</f>
        <v xml:space="preserve"> </v>
      </c>
      <c r="F55" s="211"/>
      <c r="G55" s="214" t="str">
        <f>+NB!AA467</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TEXT(NB!V468,"#0")&amp;"                        "&amp;TEXT(NB!Y468,"#0")&amp;"   "</f>
        <v xml:space="preserve">2                        2   </v>
      </c>
      <c r="C56" s="259">
        <f>+NB!W468</f>
        <v>17.5</v>
      </c>
      <c r="D56" s="244">
        <f>+NB!X468</f>
        <v>16</v>
      </c>
      <c r="E56" s="114" t="str">
        <f>+NB!Z468</f>
        <v xml:space="preserve"> </v>
      </c>
      <c r="F56" s="114"/>
      <c r="G56" s="206" t="str">
        <f>+NB!AA468</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TEXT(NB!V469,"#0")&amp;"                        "&amp;TEXT(NB!Y469,"#0")&amp;"   "</f>
        <v xml:space="preserve">2                        1   </v>
      </c>
      <c r="C57" s="260">
        <f>+NB!W469</f>
        <v>15.5</v>
      </c>
      <c r="D57" s="245">
        <f>+NB!X469</f>
        <v>14.000000000000002</v>
      </c>
      <c r="E57" s="213" t="str">
        <f>+NB!Z469</f>
        <v xml:space="preserve"> </v>
      </c>
      <c r="F57" s="213"/>
      <c r="G57" s="215" t="str">
        <f>+NB!AA469</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TEXT(NB!V470,"#0")&amp;"                        "&amp;TEXT(NB!Y470,"#0")&amp;"   "</f>
        <v xml:space="preserve">0                        0   </v>
      </c>
      <c r="C58" s="261">
        <f>+NB!W470</f>
        <v>13.500000000000002</v>
      </c>
      <c r="D58" s="246">
        <f>+NB!X470</f>
        <v>0</v>
      </c>
      <c r="E58" s="208" t="str">
        <f>+NB!Z470</f>
        <v xml:space="preserve"> </v>
      </c>
      <c r="F58" s="208"/>
      <c r="G58" s="209" t="str">
        <f>+NB!AA470</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IF(LEN(I1Ext!$B$1)=22,"II - 1. Extemporale aus","II - 1. Kurzarbeit aus")</f>
        <v>II - 1. Extemporale aus</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IF(D4="","",IF($H$3="BE",LOOKUP(IF(E4="",D4+0.01,D4*$H$30/E4+0.5),NB!$X$540:$X$555,NB!$Y$540:$Y$555),D4))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IF(D5="","",IF($H$3="BE",LOOKUP(IF(E5="",D5+0.01,D5*$H$30/E5+0.5),NB!$X$540:$X$555,NB!$Y$540:$Y$555),D5))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IF(D6="","",IF($H$3="BE",LOOKUP(IF(E6="",D6+0.01,D6*$H$30/E6+0.5),NB!$X$540:$X$555,NB!$Y$540:$Y$555),D6))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IF(D7="","",IF($H$3="BE",LOOKUP(IF(E7="",D7+0.01,D7*$H$30/E7+0.5),NB!$X$540:$X$555,NB!$Y$540:$Y$555),D7))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IF(D8="","",IF($H$3="BE",LOOKUP(IF(E8="",D8+0.01,D8*$H$30/E8+0.5),NB!$X$540:$X$555,NB!$Y$540:$Y$555),D8))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IF(D9="","",IF($H$3="BE",LOOKUP(IF(E9="",D9+0.01,D9*$H$30/E9+0.5),NB!$X$540:$X$555,NB!$Y$540:$Y$555),D9))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IF(D10="","",IF($H$3="BE",LOOKUP(IF(E10="",D10+0.01,D10*$H$30/E10+0.5),NB!$X$540:$X$555,NB!$Y$540:$Y$555),D10))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IF(D11="","",IF($H$3="BE",LOOKUP(IF(E11="",D11+0.01,D11*$H$30/E11+0.5),NB!$X$540:$X$555,NB!$Y$540:$Y$555),D11))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IF(D12="","",IF($H$3="BE",LOOKUP(IF(E12="",D12+0.01,D12*$H$30/E12+0.5),NB!$X$540:$X$555,NB!$Y$540:$Y$555),D12))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IF(D13="","",IF($H$3="BE",LOOKUP(IF(E13="",D13+0.01,D13*$H$30/E13+0.5),NB!$X$540:$X$555,NB!$Y$540:$Y$555),D13))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IF(D14="","",IF($H$3="BE",LOOKUP(IF(E14="",D14+0.01,D14*$H$30/E14+0.5),NB!$X$540:$X$555,NB!$Y$540:$Y$555),D14))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IF(D15="","",IF($H$3="BE",LOOKUP(IF(E15="",D15+0.01,D15*$H$30/E15+0.5),NB!$X$540:$X$555,NB!$Y$540:$Y$555),D15))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IF(D16="","",IF($H$3="BE",LOOKUP(IF(E16="",D16+0.01,D16*$H$30/E16+0.5),NB!$X$540:$X$555,NB!$Y$540:$Y$555),D16))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IF(D17="","",IF($H$3="BE",LOOKUP(IF(E17="",D17+0.01,D17*$H$30/E17+0.5),NB!$X$540:$X$555,NB!$Y$540:$Y$555),D17))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IF(D18="","",IF($H$3="BE",LOOKUP(IF(E18="",D18+0.01,D18*$H$30/E18+0.5),NB!$X$540:$X$555,NB!$Y$540:$Y$555),D18))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IF(D19="","",IF($H$3="BE",LOOKUP(IF(E19="",D19+0.01,D19*$H$30/E19+0.5),NB!$X$540:$X$555,NB!$Y$540:$Y$555),D19))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IF(D20="","",IF($H$3="BE",LOOKUP(IF(E20="",D20+0.01,D20*$H$30/E20+0.5),NB!$X$540:$X$555,NB!$Y$540:$Y$555),D20))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IF(D21="","",IF($H$3="BE",LOOKUP(IF(E21="",D21+0.01,D21*$H$30/E21+0.5),NB!$X$540:$X$555,NB!$Y$540:$Y$555),D21))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IF(D22="","",IF($H$3="BE",LOOKUP(IF(E22="",D22+0.01,D22*$H$30/E22+0.5),NB!$X$540:$X$555,NB!$Y$540:$Y$555),D22))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IF(D23="","",IF($H$3="BE",LOOKUP(IF(E23="",D23+0.01,D23*$H$30/E23+0.5),NB!$X$540:$X$555,NB!$Y$540:$Y$555),D23))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IF(D24="","",IF($H$3="BE",LOOKUP(IF(E24="",D24+0.01,D24*$H$30/E24+0.5),NB!$X$540:$X$555,NB!$Y$540:$Y$555),D24))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IF(D25="","",IF($H$3="BE",LOOKUP(IF(E25="",D25+0.01,D25*$H$30/E25+0.5),NB!$X$540:$X$555,NB!$Y$540:$Y$555),D25))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IF(D26="","",IF($H$3="BE",LOOKUP(IF(E26="",D26+0.01,D26*$H$30/E26+0.5),NB!$X$540:$X$555,NB!$Y$540:$Y$555),D26))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IF(D27="","",IF($H$3="BE",LOOKUP(IF(E27="",D27+0.01,D27*$H$30/E27+0.5),NB!$X$540:$X$555,NB!$Y$540:$Y$555),D27))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IF(D28="","",IF($H$3="BE",LOOKUP(IF(E28="",D28+0.01,D28*$H$30/E28+0.5),NB!$X$540:$X$555,NB!$Y$540:$Y$555),D28))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IF(D29="","",IF($H$3="BE",LOOKUP(IF(E29="",D29+0.01,D29*$H$30/E29+0.5),NB!$X$540:$X$555,NB!$Y$540:$Y$555),D29))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IF(D30="","",IF($H$3="BE",LOOKUP(IF(E30="",D30+0.01,D30*$H$30/E30+0.5),NB!$X$540:$X$555,NB!$Y$540:$Y$555),D30))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IF(D31="","",IF($H$3="BE",LOOKUP(IF(E31="",D31+0.01,D31*$H$30/E31+0.5),NB!$X$540:$X$555,NB!$Y$540:$Y$555),D31))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IF(D32="","",IF($H$3="BE",LOOKUP(IF(E32="",D32+0.01,D32*$H$30/E32+0.5),NB!$X$540:$X$555,NB!$Y$540:$Y$555),D32))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IF(D33="","",IF($H$3="BE",LOOKUP(IF(E33="",D33+0.01,D33*$H$30/E33+0.5),NB!$X$540:$X$555,NB!$Y$540:$Y$555),D33))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IF(D34="","",IF($H$3="BE",LOOKUP(IF(E34="",D34+0.01,D34*$H$30/E34+0.5),NB!$X$540:$X$555,NB!$Y$540:$Y$555),D34))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IF(D35="","",IF($H$3="BE",LOOKUP(IF(E35="",D35+0.01,D35*$H$30/E35+0.5),NB!$X$540:$X$555,NB!$Y$540:$Y$555),D35))</f>
        <v/>
      </c>
      <c r="D35" s="4"/>
      <c r="E35" s="104"/>
      <c r="F35" s="184" t="s">
        <v>24</v>
      </c>
      <c r="G35" s="182"/>
      <c r="H35" s="268">
        <v>49</v>
      </c>
      <c r="I35" s="185" t="s">
        <v>23</v>
      </c>
      <c r="J35" s="181" t="str">
        <f t="shared" si="0"/>
        <v/>
      </c>
      <c r="K35" s="158"/>
      <c r="L35" s="179"/>
    </row>
    <row r="36" spans="1:49" x14ac:dyDescent="0.2">
      <c r="A36" s="9">
        <v>33</v>
      </c>
      <c r="B36" s="145" t="str">
        <f>IF(Notenbogen!B36&lt;&gt;"", Notenbogen!B36, "")</f>
        <v/>
      </c>
      <c r="C36" s="154" t="str">
        <f>IF(D36="","",IF($H$3="BE",LOOKUP(IF(E36="",D36+0.01,D36*$H$30/E36+0.5),NB!$X$540:$X$555,NB!$Y$540:$Y$555),D36))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IF(D37="","",IF($H$3="BE",LOOKUP(IF(E37="",D37+0.01,D37*$H$30/E37+0.5),NB!$X$540:$X$555,NB!$Y$540:$Y$555),D37))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IF(D38="","",IF($H$3="BE",LOOKUP(IF(E38="",D38+0.01,D38*$H$30/E38+0.5),NB!$X$540:$X$555,NB!$Y$540:$Y$555),D38))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TEXT(NB!V522,"#0")&amp;"                      "&amp;TEXT(NB!Y522,"#0")&amp;"   "</f>
        <v xml:space="preserve">2                      15   </v>
      </c>
      <c r="C43" s="258">
        <f>+NB!W522</f>
        <v>20</v>
      </c>
      <c r="D43" s="243">
        <f>+NB!X522</f>
        <v>19</v>
      </c>
      <c r="E43" s="211" t="str">
        <f>+NB!Z522</f>
        <v xml:space="preserve"> </v>
      </c>
      <c r="F43" s="211"/>
      <c r="G43" s="214" t="str">
        <f>+NB!AA522</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TEXT(NB!V523,"#0")&amp;"                      "&amp;TEXT(NB!Y523,"#0")&amp;"   "</f>
        <v xml:space="preserve">1                      14   </v>
      </c>
      <c r="C44" s="259">
        <f>+NB!W523</f>
        <v>18.5</v>
      </c>
      <c r="D44" s="244">
        <f>+NB!X523</f>
        <v>18</v>
      </c>
      <c r="E44" s="114" t="str">
        <f>+NB!Z523</f>
        <v xml:space="preserve"> </v>
      </c>
      <c r="F44" s="114"/>
      <c r="G44" s="206" t="str">
        <f>+NB!AA523</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TEXT(NB!V524,"#0")&amp;"                      "&amp;TEXT(NB!Y524,"#0")&amp;"   "</f>
        <v xml:space="preserve">1                      13   </v>
      </c>
      <c r="C45" s="260">
        <f>+NB!W524</f>
        <v>17.5</v>
      </c>
      <c r="D45" s="245">
        <f>+NB!X524</f>
        <v>17</v>
      </c>
      <c r="E45" s="213" t="str">
        <f>+NB!Z524</f>
        <v xml:space="preserve"> </v>
      </c>
      <c r="F45" s="213"/>
      <c r="G45" s="215" t="str">
        <f>+NB!AA524</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TEXT(NB!V525,"#0")&amp;"                      "&amp;TEXT(NB!Y525,"#0")&amp;"   "</f>
        <v xml:space="preserve">1                      12   </v>
      </c>
      <c r="C46" s="259">
        <f>+NB!W525</f>
        <v>16.5</v>
      </c>
      <c r="D46" s="244">
        <f>+NB!X525</f>
        <v>16</v>
      </c>
      <c r="E46" s="114" t="str">
        <f>+NB!Z525</f>
        <v xml:space="preserve"> </v>
      </c>
      <c r="F46" s="114"/>
      <c r="G46" s="206" t="str">
        <f>+NB!AA525</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TEXT(NB!V526,"#0")&amp;"                      "&amp;TEXT(NB!Y526,"#0")&amp;"   "</f>
        <v xml:space="preserve">1                      11   </v>
      </c>
      <c r="C47" s="259">
        <f>+NB!W526</f>
        <v>15.5</v>
      </c>
      <c r="D47" s="244">
        <f>+NB!X526</f>
        <v>15</v>
      </c>
      <c r="E47" s="114" t="str">
        <f>+NB!Z526</f>
        <v xml:space="preserve"> </v>
      </c>
      <c r="F47" s="114"/>
      <c r="G47" s="206" t="str">
        <f>+NB!AA526</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TEXT(NB!V527,"#0")&amp;"                      "&amp;TEXT(NB!Y527,"#0")&amp;"   "</f>
        <v xml:space="preserve">1                      10   </v>
      </c>
      <c r="C48" s="259">
        <f>+NB!W527</f>
        <v>14.5</v>
      </c>
      <c r="D48" s="244">
        <f>+NB!X527</f>
        <v>14</v>
      </c>
      <c r="E48" s="114" t="str">
        <f>+NB!Z527</f>
        <v xml:space="preserve"> </v>
      </c>
      <c r="F48" s="114"/>
      <c r="G48" s="206" t="str">
        <f>+NB!AA527</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TEXT(NB!V528,"#0")&amp;"                        "&amp;TEXT(NB!Y528,"#0")&amp;"   "</f>
        <v xml:space="preserve">1                        9   </v>
      </c>
      <c r="C49" s="258">
        <f>+NB!W528</f>
        <v>13.5</v>
      </c>
      <c r="D49" s="243">
        <f>+NB!X528</f>
        <v>13.5</v>
      </c>
      <c r="E49" s="211" t="str">
        <f>+NB!Z528</f>
        <v xml:space="preserve"> </v>
      </c>
      <c r="F49" s="211"/>
      <c r="G49" s="214" t="str">
        <f>+NB!AA528</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TEXT(NB!V529,"#0")&amp;"                        "&amp;TEXT(NB!Y529,"#0")&amp;"   "</f>
        <v xml:space="preserve">1                        8   </v>
      </c>
      <c r="C50" s="259">
        <f>+NB!W529</f>
        <v>13</v>
      </c>
      <c r="D50" s="244">
        <f>+NB!X529</f>
        <v>13</v>
      </c>
      <c r="E50" s="114" t="str">
        <f>+NB!Z529</f>
        <v xml:space="preserve"> </v>
      </c>
      <c r="F50" s="114"/>
      <c r="G50" s="206" t="str">
        <f>+NB!AA529</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TEXT(NB!V530,"#0")&amp;"                        "&amp;TEXT(NB!Y530,"#0")&amp;"   "</f>
        <v xml:space="preserve">1                        7   </v>
      </c>
      <c r="C51" s="260">
        <f>+NB!W530</f>
        <v>12.5</v>
      </c>
      <c r="D51" s="245">
        <f>+NB!X530</f>
        <v>12</v>
      </c>
      <c r="E51" s="213" t="str">
        <f>+NB!Z530</f>
        <v xml:space="preserve"> </v>
      </c>
      <c r="F51" s="213"/>
      <c r="G51" s="215" t="str">
        <f>+NB!AA530</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TEXT(NB!V531,"#0")&amp;"                        "&amp;TEXT(NB!Y531,"#0")&amp;"   "</f>
        <v xml:space="preserve">1                        6   </v>
      </c>
      <c r="C52" s="259">
        <f>+NB!W531</f>
        <v>11.5</v>
      </c>
      <c r="D52" s="244">
        <f>+NB!X531</f>
        <v>11.5</v>
      </c>
      <c r="E52" s="114" t="str">
        <f>+NB!Z531</f>
        <v xml:space="preserve"> </v>
      </c>
      <c r="F52" s="114"/>
      <c r="G52" s="206" t="str">
        <f>+NB!AA531</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TEXT(NB!V532,"#0")&amp;"                        "&amp;TEXT(NB!Y532,"#0")&amp;"   "</f>
        <v xml:space="preserve">1                        5   </v>
      </c>
      <c r="C53" s="259">
        <f>+NB!W532</f>
        <v>11</v>
      </c>
      <c r="D53" s="244">
        <f>+NB!X532</f>
        <v>10.5</v>
      </c>
      <c r="E53" s="114" t="str">
        <f>+NB!Z532</f>
        <v xml:space="preserve"> </v>
      </c>
      <c r="F53" s="114"/>
      <c r="G53" s="206" t="str">
        <f>+NB!AA532</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TEXT(NB!V533,"#0")&amp;"                        "&amp;TEXT(NB!Y533,"#0")&amp;"   "</f>
        <v xml:space="preserve">1                        4   </v>
      </c>
      <c r="C54" s="259">
        <f>+NB!W533</f>
        <v>10</v>
      </c>
      <c r="D54" s="244">
        <f>+NB!X533</f>
        <v>10</v>
      </c>
      <c r="E54" s="114" t="str">
        <f>+NB!Z533</f>
        <v xml:space="preserve"> </v>
      </c>
      <c r="F54" s="114"/>
      <c r="G54" s="206" t="str">
        <f>+NB!AA533</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TEXT(NB!V534,"#0")&amp;"                        "&amp;TEXT(NB!Y534,"#0")&amp;"   "</f>
        <v xml:space="preserve">1                        3   </v>
      </c>
      <c r="C55" s="258">
        <f>+NB!W534</f>
        <v>9.5</v>
      </c>
      <c r="D55" s="243">
        <f>+NB!X534</f>
        <v>9</v>
      </c>
      <c r="E55" s="211" t="str">
        <f>+NB!Z534</f>
        <v xml:space="preserve"> </v>
      </c>
      <c r="F55" s="211"/>
      <c r="G55" s="214" t="str">
        <f>+NB!AA534</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TEXT(NB!V535,"#0")&amp;"                        "&amp;TEXT(NB!Y535,"#0")&amp;"   "</f>
        <v xml:space="preserve">1                        2   </v>
      </c>
      <c r="C56" s="259">
        <f>+NB!W535</f>
        <v>8.5</v>
      </c>
      <c r="D56" s="244">
        <f>+NB!X535</f>
        <v>8</v>
      </c>
      <c r="E56" s="114" t="str">
        <f>+NB!Z535</f>
        <v xml:space="preserve"> </v>
      </c>
      <c r="F56" s="114"/>
      <c r="G56" s="206" t="str">
        <f>+NB!AA535</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TEXT(NB!V536,"#0")&amp;"                        "&amp;TEXT(NB!Y536,"#0")&amp;"   "</f>
        <v xml:space="preserve">1                        1   </v>
      </c>
      <c r="C57" s="260">
        <f>+NB!W536</f>
        <v>7.5</v>
      </c>
      <c r="D57" s="245">
        <f>+NB!X536</f>
        <v>7.0000000000000009</v>
      </c>
      <c r="E57" s="213" t="str">
        <f>+NB!Z536</f>
        <v xml:space="preserve"> </v>
      </c>
      <c r="F57" s="213"/>
      <c r="G57" s="215" t="str">
        <f>+NB!AA536</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TEXT(NB!V537,"#0")&amp;"                        "&amp;TEXT(NB!Y537,"#0")&amp;"   "</f>
        <v xml:space="preserve">0                        0   </v>
      </c>
      <c r="C58" s="261">
        <f>+NB!W537</f>
        <v>6.5000000000000009</v>
      </c>
      <c r="D58" s="246">
        <f>+NB!X537</f>
        <v>0</v>
      </c>
      <c r="E58" s="208" t="str">
        <f>+NB!Z537</f>
        <v xml:space="preserve"> </v>
      </c>
      <c r="F58" s="208"/>
      <c r="G58" s="209" t="str">
        <f>+NB!AA537</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9" t="str">
        <f>IF(LEN(I1Ext!$B$1)=22,"II - 2. Extemporale aus","II - 2. Kurzarbeit aus")</f>
        <v>II - 2. Extemporale aus</v>
      </c>
      <c r="C1" s="150" t="str">
        <f>IF(Notenbogen!E1="","",Notenbogen!E1)</f>
        <v/>
      </c>
      <c r="D1" s="157"/>
      <c r="E1" s="1"/>
      <c r="F1" s="147" t="s">
        <v>13</v>
      </c>
      <c r="G1" s="536"/>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IF(D4="","",IF($H$3="BE",LOOKUP(IF(E4="",D4+0.01,D4*$H$30/E4+0.5),NB!$X$640:$X$655,NB!$Y$640:$Y$655),D4))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IF(D5="","",IF($H$3="BE",LOOKUP(IF(E5="",D5+0.01,D5*$H$30/E5+0.5),NB!$X$640:$X$655,NB!$Y$640:$Y$655),D5))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IF(D6="","",IF($H$3="BE",LOOKUP(IF(E6="",D6+0.01,D6*$H$30/E6+0.5),NB!$X$640:$X$655,NB!$Y$640:$Y$655),D6))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IF(D22="","",IF($H$3="BE",LOOKUP(IF(E22="",D22+0.01,D22*$H$30/E22+0.5),NB!$X$640:$X$655,NB!$Y$640:$Y$655),D22))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IF(D23="","",IF($H$3="BE",LOOKUP(IF(E23="",D23+0.01,D23*$H$30/E23+0.5),NB!$X$640:$X$655,NB!$Y$640:$Y$655),D23))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IF(D24="","",IF($H$3="BE",LOOKUP(IF(E24="",D24+0.01,D24*$H$30/E24+0.5),NB!$X$640:$X$655,NB!$Y$640:$Y$655),D24))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IF(D25="","",IF($H$3="BE",LOOKUP(IF(E25="",D25+0.01,D25*$H$30/E25+0.5),NB!$X$640:$X$655,NB!$Y$640:$Y$655),D25))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IF(D26="","",IF($H$3="BE",LOOKUP(IF(E26="",D26+0.01,D26*$H$30/E26+0.5),NB!$X$640:$X$655,NB!$Y$640:$Y$655),D26))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IF(D27="","",IF($H$3="BE",LOOKUP(IF(E27="",D27+0.01,D27*$H$30/E27+0.5),NB!$X$640:$X$655,NB!$Y$640:$Y$655),D27))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IF(D28="","",IF($H$3="BE",LOOKUP(IF(E28="",D28+0.01,D28*$H$30/E28+0.5),NB!$X$640:$X$655,NB!$Y$640:$Y$655),D28))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IF(D29="","",IF($H$3="BE",LOOKUP(IF(E29="",D29+0.01,D29*$H$30/E29+0.5),NB!$X$640:$X$655,NB!$Y$640:$Y$655),D29))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IF(D30="","",IF($H$3="BE",LOOKUP(IF(E30="",D30+0.01,D30*$H$30/E30+0.5),NB!$X$640:$X$655,NB!$Y$640:$Y$655),D30))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IF(D31="","",IF($H$3="BE",LOOKUP(IF(E31="",D31+0.01,D31*$H$30/E31+0.5),NB!$X$640:$X$655,NB!$Y$640:$Y$655),D31))</f>
        <v/>
      </c>
      <c r="D31" s="4"/>
      <c r="E31" s="104"/>
      <c r="J31" s="68" t="str">
        <f t="shared" si="0"/>
        <v/>
      </c>
      <c r="K31" s="1"/>
      <c r="L31" s="15"/>
    </row>
    <row r="32" spans="1:12" ht="13.5" thickBot="1" x14ac:dyDescent="0.25">
      <c r="A32" s="382">
        <v>29</v>
      </c>
      <c r="B32" s="145" t="str">
        <f>IF(Notenbogen!B32&lt;&gt;"", Notenbogen!B32, "")</f>
        <v/>
      </c>
      <c r="C32" s="154" t="str">
        <f>IF(D32="","",IF($H$3="BE",LOOKUP(IF(E32="",D32+0.01,D32*$H$30/E32+0.5),NB!$X$640:$X$655,NB!$Y$640:$Y$655),D32))</f>
        <v/>
      </c>
      <c r="D32" s="4"/>
      <c r="E32" s="104"/>
      <c r="F32" s="53" t="s">
        <v>39</v>
      </c>
      <c r="G32" s="15"/>
      <c r="H32" s="81" t="s">
        <v>143</v>
      </c>
      <c r="J32" s="68" t="str">
        <f t="shared" si="0"/>
        <v/>
      </c>
      <c r="K32" s="1"/>
      <c r="L32" s="15"/>
    </row>
    <row r="33" spans="1:49" x14ac:dyDescent="0.2">
      <c r="A33" s="382">
        <v>30</v>
      </c>
      <c r="B33" s="145" t="str">
        <f>IF(Notenbogen!B33&lt;&gt;"", Notenbogen!B33, "")</f>
        <v/>
      </c>
      <c r="C33" s="154" t="str">
        <f>IF(D33="","",IF($H$3="BE",LOOKUP(IF(E33="",D33+0.01,D33*$H$30/E33+0.5),NB!$X$640:$X$655,NB!$Y$640:$Y$655),D33))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IF(D34="","",IF($H$3="BE",LOOKUP(IF(E34="",D34+0.01,D34*$H$30/E34+0.5),NB!$X$640:$X$655,NB!$Y$640:$Y$655),D34))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IF(D35="","",IF($H$3="BE",LOOKUP(IF(E35="",D35+0.01,D35*$H$30/E35+0.5),NB!$X$640:$X$655,NB!$Y$640:$Y$655),D35))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IF(D36="","",IF($H$3="BE",LOOKUP(IF(E36="",D36+0.01,D36*$H$30/E36+0.5),NB!$X$640:$X$655,NB!$Y$640:$Y$655),D36))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TEXT(NB!V622,"#0")&amp;"                      "&amp;TEXT(NB!Y622,"#0")&amp;"   "</f>
        <v xml:space="preserve">2                      15   </v>
      </c>
      <c r="C43" s="258">
        <f>+NB!W622</f>
        <v>20</v>
      </c>
      <c r="D43" s="243">
        <f>+NB!X622</f>
        <v>19</v>
      </c>
      <c r="E43" s="211" t="str">
        <f>+NB!Z622</f>
        <v xml:space="preserve"> </v>
      </c>
      <c r="F43" s="211"/>
      <c r="G43" s="214"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TEXT(NB!V623,"#0")&amp;"                      "&amp;TEXT(NB!Y623,"#0")&amp;"   "</f>
        <v xml:space="preserve">1                      14   </v>
      </c>
      <c r="C44" s="259">
        <f>+NB!W623</f>
        <v>18.5</v>
      </c>
      <c r="D44" s="244">
        <f>+NB!X623</f>
        <v>18</v>
      </c>
      <c r="E44" s="114" t="str">
        <f>+NB!Z623</f>
        <v xml:space="preserve"> </v>
      </c>
      <c r="F44" s="114"/>
      <c r="G44" s="206"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TEXT(NB!V624,"#0")&amp;"                      "&amp;TEXT(NB!Y624,"#0")&amp;"   "</f>
        <v xml:space="preserve">1                      13   </v>
      </c>
      <c r="C45" s="260">
        <f>+NB!W624</f>
        <v>17.5</v>
      </c>
      <c r="D45" s="245">
        <f>+NB!X624</f>
        <v>17</v>
      </c>
      <c r="E45" s="213" t="str">
        <f>+NB!Z624</f>
        <v xml:space="preserve"> </v>
      </c>
      <c r="F45" s="213"/>
      <c r="G45" s="215"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TEXT(NB!V625,"#0")&amp;"                      "&amp;TEXT(NB!Y625,"#0")&amp;"   "</f>
        <v xml:space="preserve">1                      12   </v>
      </c>
      <c r="C46" s="259">
        <f>+NB!W625</f>
        <v>16.5</v>
      </c>
      <c r="D46" s="244">
        <f>+NB!X625</f>
        <v>16</v>
      </c>
      <c r="E46" s="114" t="str">
        <f>+NB!Z625</f>
        <v xml:space="preserve"> </v>
      </c>
      <c r="F46" s="114"/>
      <c r="G46" s="206"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TEXT(NB!V626,"#0")&amp;"                      "&amp;TEXT(NB!Y626,"#0")&amp;"   "</f>
        <v xml:space="preserve">1                      11   </v>
      </c>
      <c r="C47" s="259">
        <f>+NB!W626</f>
        <v>15.5</v>
      </c>
      <c r="D47" s="244">
        <f>+NB!X626</f>
        <v>15</v>
      </c>
      <c r="E47" s="114" t="str">
        <f>+NB!Z626</f>
        <v xml:space="preserve"> </v>
      </c>
      <c r="F47" s="114"/>
      <c r="G47" s="206"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TEXT(NB!V627,"#0")&amp;"                      "&amp;TEXT(NB!Y627,"#0")&amp;"   "</f>
        <v xml:space="preserve">1                      10   </v>
      </c>
      <c r="C48" s="259">
        <f>+NB!W627</f>
        <v>14.5</v>
      </c>
      <c r="D48" s="244">
        <f>+NB!X627</f>
        <v>14</v>
      </c>
      <c r="E48" s="114" t="str">
        <f>+NB!Z627</f>
        <v xml:space="preserve"> </v>
      </c>
      <c r="F48" s="114"/>
      <c r="G48" s="206"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TEXT(NB!V628,"#0")&amp;"                        "&amp;TEXT(NB!Y628,"#0")&amp;"   "</f>
        <v xml:space="preserve">1                        9   </v>
      </c>
      <c r="C49" s="258">
        <f>+NB!W628</f>
        <v>13.5</v>
      </c>
      <c r="D49" s="243">
        <f>+NB!X628</f>
        <v>13.5</v>
      </c>
      <c r="E49" s="211" t="str">
        <f>+NB!Z628</f>
        <v xml:space="preserve"> </v>
      </c>
      <c r="F49" s="211"/>
      <c r="G49" s="214"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TEXT(NB!V629,"#0")&amp;"                        "&amp;TEXT(NB!Y629,"#0")&amp;"   "</f>
        <v xml:space="preserve">1                        8   </v>
      </c>
      <c r="C50" s="259">
        <f>+NB!W629</f>
        <v>13</v>
      </c>
      <c r="D50" s="244">
        <f>+NB!X629</f>
        <v>13</v>
      </c>
      <c r="E50" s="114" t="str">
        <f>+NB!Z629</f>
        <v xml:space="preserve"> </v>
      </c>
      <c r="F50" s="114"/>
      <c r="G50" s="206"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TEXT(NB!V630,"#0")&amp;"                        "&amp;TEXT(NB!Y630,"#0")&amp;"   "</f>
        <v xml:space="preserve">1                        7   </v>
      </c>
      <c r="C51" s="260">
        <f>+NB!W630</f>
        <v>12.5</v>
      </c>
      <c r="D51" s="245">
        <f>+NB!X630</f>
        <v>12</v>
      </c>
      <c r="E51" s="213" t="str">
        <f>+NB!Z630</f>
        <v xml:space="preserve"> </v>
      </c>
      <c r="F51" s="213"/>
      <c r="G51" s="215"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TEXT(NB!V631,"#0")&amp;"                        "&amp;TEXT(NB!Y631,"#0")&amp;"   "</f>
        <v xml:space="preserve">1                        6   </v>
      </c>
      <c r="C52" s="259">
        <f>+NB!W631</f>
        <v>11.5</v>
      </c>
      <c r="D52" s="244">
        <f>+NB!X631</f>
        <v>11.5</v>
      </c>
      <c r="E52" s="114" t="str">
        <f>+NB!Z631</f>
        <v xml:space="preserve"> </v>
      </c>
      <c r="F52" s="114"/>
      <c r="G52" s="206"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TEXT(NB!V632,"#0")&amp;"                        "&amp;TEXT(NB!Y632,"#0")&amp;"   "</f>
        <v xml:space="preserve">1                        5   </v>
      </c>
      <c r="C53" s="259">
        <f>+NB!W632</f>
        <v>11</v>
      </c>
      <c r="D53" s="244">
        <f>+NB!X632</f>
        <v>10.5</v>
      </c>
      <c r="E53" s="114" t="str">
        <f>+NB!Z632</f>
        <v xml:space="preserve"> </v>
      </c>
      <c r="F53" s="114"/>
      <c r="G53" s="206"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TEXT(NB!V633,"#0")&amp;"                        "&amp;TEXT(NB!Y633,"#0")&amp;"   "</f>
        <v xml:space="preserve">1                        4   </v>
      </c>
      <c r="C54" s="259">
        <f>+NB!W633</f>
        <v>10</v>
      </c>
      <c r="D54" s="244">
        <f>+NB!X633</f>
        <v>10</v>
      </c>
      <c r="E54" s="114" t="str">
        <f>+NB!Z633</f>
        <v xml:space="preserve"> </v>
      </c>
      <c r="F54" s="114"/>
      <c r="G54" s="206"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TEXT(NB!V634,"#0")&amp;"                        "&amp;TEXT(NB!Y634,"#0")&amp;"   "</f>
        <v xml:space="preserve">1                        3   </v>
      </c>
      <c r="C55" s="258">
        <f>+NB!W634</f>
        <v>9.5</v>
      </c>
      <c r="D55" s="243">
        <f>+NB!X634</f>
        <v>9</v>
      </c>
      <c r="E55" s="211" t="str">
        <f>+NB!Z634</f>
        <v xml:space="preserve"> </v>
      </c>
      <c r="F55" s="211"/>
      <c r="G55" s="214"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TEXT(NB!V635,"#0")&amp;"                        "&amp;TEXT(NB!Y635,"#0")&amp;"   "</f>
        <v xml:space="preserve">1                        2   </v>
      </c>
      <c r="C56" s="259">
        <f>+NB!W635</f>
        <v>8.5</v>
      </c>
      <c r="D56" s="244">
        <f>+NB!X635</f>
        <v>8</v>
      </c>
      <c r="E56" s="114" t="str">
        <f>+NB!Z635</f>
        <v xml:space="preserve"> </v>
      </c>
      <c r="F56" s="114"/>
      <c r="G56" s="206"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TEXT(NB!V636,"#0")&amp;"                        "&amp;TEXT(NB!Y636,"#0")&amp;"   "</f>
        <v xml:space="preserve">1                        1   </v>
      </c>
      <c r="C57" s="260">
        <f>+NB!W636</f>
        <v>7.5</v>
      </c>
      <c r="D57" s="245">
        <f>+NB!X636</f>
        <v>7.0000000000000009</v>
      </c>
      <c r="E57" s="213" t="str">
        <f>+NB!Z636</f>
        <v xml:space="preserve"> </v>
      </c>
      <c r="F57" s="213"/>
      <c r="G57" s="215"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TEXT(NB!V637,"#0")&amp;"                        "&amp;TEXT(NB!Y637,"#0")&amp;"   "</f>
        <v xml:space="preserve">0                        0   </v>
      </c>
      <c r="C58" s="261">
        <f>+NB!W637</f>
        <v>6.5000000000000009</v>
      </c>
      <c r="D58" s="246">
        <f>+NB!X637</f>
        <v>0</v>
      </c>
      <c r="E58" s="208" t="str">
        <f>+NB!Z637</f>
        <v xml:space="preserve"> </v>
      </c>
      <c r="F58" s="208"/>
      <c r="G58" s="209"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IF(LEN(I1Ext!$B$1)=22,"II - 3. Extemporale aus","II - 3. Kurzarbeit aus")</f>
        <v>II - 3. Extemporale aus</v>
      </c>
      <c r="C1" s="150" t="str">
        <f>IF(Notenbogen!E1="","",Notenbogen!E1)</f>
        <v/>
      </c>
      <c r="D1" s="157"/>
      <c r="E1" s="1"/>
      <c r="F1" s="147" t="s">
        <v>13</v>
      </c>
      <c r="G1" s="542"/>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IF(D4="","",IF($H$3="BE",LOOKUP(IF(E4="",D4+0.01,D4*$H$30/E4+0.5),NB!$X$740:$X$755,NB!$Y$740:$Y$755),D4))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IF(D5="","",IF($H$3="BE",LOOKUP(IF(E5="",D5+0.01,D5*$H$30/E5+0.5),NB!$X$740:$X$755,NB!$Y$740:$Y$755),D5))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IF(D6="","",IF($H$3="BE",LOOKUP(IF(E6="",D6+0.01,D6*$H$30/E6+0.5),NB!$X$740:$X$755,NB!$Y$740:$Y$755),D6))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IF(D22="","",IF($H$3="BE",LOOKUP(IF(E22="",D22+0.01,D22*$H$30/E22+0.5),NB!$X$740:$X$755,NB!$Y$740:$Y$755),D22))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IF(D23="","",IF($H$3="BE",LOOKUP(IF(E23="",D23+0.01,D23*$H$30/E23+0.5),NB!$X$740:$X$755,NB!$Y$740:$Y$755),D23))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IF(D24="","",IF($H$3="BE",LOOKUP(IF(E24="",D24+0.01,D24*$H$30/E24+0.5),NB!$X$740:$X$755,NB!$Y$740:$Y$755),D24))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IF(D25="","",IF($H$3="BE",LOOKUP(IF(E25="",D25+0.01,D25*$H$30/E25+0.5),NB!$X$740:$X$755,NB!$Y$740:$Y$755),D25))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IF(D26="","",IF($H$3="BE",LOOKUP(IF(E26="",D26+0.01,D26*$H$30/E26+0.5),NB!$X$740:$X$755,NB!$Y$740:$Y$755),D26))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IF(D27="","",IF($H$3="BE",LOOKUP(IF(E27="",D27+0.01,D27*$H$30/E27+0.5),NB!$X$740:$X$755,NB!$Y$740:$Y$755),D27))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IF(D28="","",IF($H$3="BE",LOOKUP(IF(E28="",D28+0.01,D28*$H$30/E28+0.5),NB!$X$740:$X$755,NB!$Y$740:$Y$755),D28))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IF(D29="","",IF($H$3="BE",LOOKUP(IF(E29="",D29+0.01,D29*$H$30/E29+0.5),NB!$X$740:$X$755,NB!$Y$740:$Y$755),D29))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IF(D30="","",IF($H$3="BE",LOOKUP(IF(E30="",D30+0.01,D30*$H$30/E30+0.5),NB!$X$740:$X$755,NB!$Y$740:$Y$755),D30))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IF(D31="","",IF($H$3="BE",LOOKUP(IF(E31="",D31+0.01,D31*$H$30/E31+0.5),NB!$X$740:$X$755,NB!$Y$740:$Y$755),D31))</f>
        <v/>
      </c>
      <c r="D31" s="4"/>
      <c r="E31" s="104"/>
      <c r="J31" s="68" t="str">
        <f t="shared" si="0"/>
        <v/>
      </c>
      <c r="K31" s="1"/>
      <c r="L31" s="15"/>
    </row>
    <row r="32" spans="1:12" ht="13.5" thickBot="1" x14ac:dyDescent="0.25">
      <c r="A32" s="382">
        <v>29</v>
      </c>
      <c r="B32" s="145" t="str">
        <f>IF(Notenbogen!B32&lt;&gt;"", Notenbogen!B32, "")</f>
        <v/>
      </c>
      <c r="C32" s="154" t="str">
        <f>IF(D32="","",IF($H$3="BE",LOOKUP(IF(E32="",D32+0.01,D32*$H$30/E32+0.5),NB!$X$740:$X$755,NB!$Y$740:$Y$755),D32))</f>
        <v/>
      </c>
      <c r="D32" s="4"/>
      <c r="E32" s="104"/>
      <c r="F32" s="53" t="s">
        <v>39</v>
      </c>
      <c r="G32" s="15"/>
      <c r="H32" s="81" t="s">
        <v>143</v>
      </c>
      <c r="J32" s="68" t="str">
        <f t="shared" si="0"/>
        <v/>
      </c>
      <c r="K32" s="1"/>
      <c r="L32" s="15"/>
    </row>
    <row r="33" spans="1:49" x14ac:dyDescent="0.2">
      <c r="A33" s="382">
        <v>30</v>
      </c>
      <c r="B33" s="145" t="str">
        <f>IF(Notenbogen!B33&lt;&gt;"", Notenbogen!B33, "")</f>
        <v/>
      </c>
      <c r="C33" s="154" t="str">
        <f>IF(D33="","",IF($H$3="BE",LOOKUP(IF(E33="",D33+0.01,D33*$H$30/E33+0.5),NB!$X$740:$X$755,NB!$Y$740:$Y$755),D33))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IF(D34="","",IF($H$3="BE",LOOKUP(IF(E34="",D34+0.01,D34*$H$30/E34+0.5),NB!$X$740:$X$755,NB!$Y$740:$Y$755),D34))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IF(D35="","",IF($H$3="BE",LOOKUP(IF(E35="",D35+0.01,D35*$H$30/E35+0.5),NB!$X$740:$X$755,NB!$Y$740:$Y$755),D35))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IF(D36="","",IF($H$3="BE",LOOKUP(IF(E36="",D36+0.01,D36*$H$30/E36+0.5),NB!$X$740:$X$755,NB!$Y$740:$Y$755),D36))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TEXT(NB!V722,"#0")&amp;"                      "&amp;TEXT(NB!Y722,"#0")&amp;"   "</f>
        <v xml:space="preserve">2                      15   </v>
      </c>
      <c r="C43" s="258">
        <f>+NB!W722</f>
        <v>20</v>
      </c>
      <c r="D43" s="243">
        <f>+NB!X722</f>
        <v>19</v>
      </c>
      <c r="E43" s="211" t="str">
        <f>+NB!Z722</f>
        <v xml:space="preserve"> </v>
      </c>
      <c r="F43" s="211"/>
      <c r="G43" s="214"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TEXT(NB!V723,"#0")&amp;"                      "&amp;TEXT(NB!Y723,"#0")&amp;"   "</f>
        <v xml:space="preserve">1                      14   </v>
      </c>
      <c r="C44" s="259">
        <f>+NB!W723</f>
        <v>18.5</v>
      </c>
      <c r="D44" s="244">
        <f>+NB!X723</f>
        <v>18</v>
      </c>
      <c r="E44" s="114" t="str">
        <f>+NB!Z723</f>
        <v xml:space="preserve"> </v>
      </c>
      <c r="F44" s="114"/>
      <c r="G44" s="206"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TEXT(NB!V724,"#0")&amp;"                      "&amp;TEXT(NB!Y724,"#0")&amp;"   "</f>
        <v xml:space="preserve">1                      13   </v>
      </c>
      <c r="C45" s="260">
        <f>+NB!W724</f>
        <v>17.5</v>
      </c>
      <c r="D45" s="245">
        <f>+NB!X724</f>
        <v>17</v>
      </c>
      <c r="E45" s="213" t="str">
        <f>+NB!Z724</f>
        <v xml:space="preserve"> </v>
      </c>
      <c r="F45" s="213"/>
      <c r="G45" s="215"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TEXT(NB!V725,"#0")&amp;"                      "&amp;TEXT(NB!Y725,"#0")&amp;"   "</f>
        <v xml:space="preserve">1                      12   </v>
      </c>
      <c r="C46" s="259">
        <f>+NB!W725</f>
        <v>16.5</v>
      </c>
      <c r="D46" s="244">
        <f>+NB!X725</f>
        <v>16</v>
      </c>
      <c r="E46" s="114" t="str">
        <f>+NB!Z725</f>
        <v xml:space="preserve"> </v>
      </c>
      <c r="F46" s="114"/>
      <c r="G46" s="206"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TEXT(NB!V726,"#0")&amp;"                      "&amp;TEXT(NB!Y726,"#0")&amp;"   "</f>
        <v xml:space="preserve">1                      11   </v>
      </c>
      <c r="C47" s="259">
        <f>+NB!W726</f>
        <v>15.5</v>
      </c>
      <c r="D47" s="244">
        <f>+NB!X726</f>
        <v>15</v>
      </c>
      <c r="E47" s="114" t="str">
        <f>+NB!Z726</f>
        <v xml:space="preserve"> </v>
      </c>
      <c r="F47" s="114"/>
      <c r="G47" s="206"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TEXT(NB!V727,"#0")&amp;"                      "&amp;TEXT(NB!Y727,"#0")&amp;"   "</f>
        <v xml:space="preserve">1                      10   </v>
      </c>
      <c r="C48" s="259">
        <f>+NB!W727</f>
        <v>14.5</v>
      </c>
      <c r="D48" s="244">
        <f>+NB!X727</f>
        <v>14</v>
      </c>
      <c r="E48" s="114" t="str">
        <f>+NB!Z727</f>
        <v xml:space="preserve"> </v>
      </c>
      <c r="F48" s="114"/>
      <c r="G48" s="206"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TEXT(NB!V728,"#0")&amp;"                        "&amp;TEXT(NB!Y728,"#0")&amp;"   "</f>
        <v xml:space="preserve">1                        9   </v>
      </c>
      <c r="C49" s="258">
        <f>+NB!W728</f>
        <v>13.5</v>
      </c>
      <c r="D49" s="243">
        <f>+NB!X728</f>
        <v>13.5</v>
      </c>
      <c r="E49" s="211" t="str">
        <f>+NB!Z728</f>
        <v xml:space="preserve"> </v>
      </c>
      <c r="F49" s="211"/>
      <c r="G49" s="214"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TEXT(NB!V729,"#0")&amp;"                        "&amp;TEXT(NB!Y729,"#0")&amp;"   "</f>
        <v xml:space="preserve">1                        8   </v>
      </c>
      <c r="C50" s="259">
        <f>+NB!W729</f>
        <v>13</v>
      </c>
      <c r="D50" s="244">
        <f>+NB!X729</f>
        <v>13</v>
      </c>
      <c r="E50" s="114" t="str">
        <f>+NB!Z729</f>
        <v xml:space="preserve"> </v>
      </c>
      <c r="F50" s="114"/>
      <c r="G50" s="206"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TEXT(NB!V730,"#0")&amp;"                        "&amp;TEXT(NB!Y730,"#0")&amp;"   "</f>
        <v xml:space="preserve">1                        7   </v>
      </c>
      <c r="C51" s="260">
        <f>+NB!W730</f>
        <v>12.5</v>
      </c>
      <c r="D51" s="245">
        <f>+NB!X730</f>
        <v>12</v>
      </c>
      <c r="E51" s="213" t="str">
        <f>+NB!Z730</f>
        <v xml:space="preserve"> </v>
      </c>
      <c r="F51" s="213"/>
      <c r="G51" s="215"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TEXT(NB!V731,"#0")&amp;"                        "&amp;TEXT(NB!Y731,"#0")&amp;"   "</f>
        <v xml:space="preserve">1                        6   </v>
      </c>
      <c r="C52" s="259">
        <f>+NB!W731</f>
        <v>11.5</v>
      </c>
      <c r="D52" s="244">
        <f>+NB!X731</f>
        <v>11.5</v>
      </c>
      <c r="E52" s="114" t="str">
        <f>+NB!Z731</f>
        <v xml:space="preserve"> </v>
      </c>
      <c r="F52" s="114"/>
      <c r="G52" s="206"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TEXT(NB!V732,"#0")&amp;"                        "&amp;TEXT(NB!Y732,"#0")&amp;"   "</f>
        <v xml:space="preserve">1                        5   </v>
      </c>
      <c r="C53" s="259">
        <f>+NB!W732</f>
        <v>11</v>
      </c>
      <c r="D53" s="244">
        <f>+NB!X732</f>
        <v>10.5</v>
      </c>
      <c r="E53" s="114" t="str">
        <f>+NB!Z732</f>
        <v xml:space="preserve"> </v>
      </c>
      <c r="F53" s="114"/>
      <c r="G53" s="206"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TEXT(NB!V733,"#0")&amp;"                        "&amp;TEXT(NB!Y733,"#0")&amp;"   "</f>
        <v xml:space="preserve">1                        4   </v>
      </c>
      <c r="C54" s="259">
        <f>+NB!W733</f>
        <v>10</v>
      </c>
      <c r="D54" s="244">
        <f>+NB!X733</f>
        <v>10</v>
      </c>
      <c r="E54" s="114" t="str">
        <f>+NB!Z733</f>
        <v xml:space="preserve"> </v>
      </c>
      <c r="F54" s="114"/>
      <c r="G54" s="206"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TEXT(NB!V734,"#0")&amp;"                        "&amp;TEXT(NB!Y734,"#0")&amp;"   "</f>
        <v xml:space="preserve">1                        3   </v>
      </c>
      <c r="C55" s="258">
        <f>+NB!W734</f>
        <v>9.5</v>
      </c>
      <c r="D55" s="243">
        <f>+NB!X734</f>
        <v>9</v>
      </c>
      <c r="E55" s="211" t="str">
        <f>+NB!Z734</f>
        <v xml:space="preserve"> </v>
      </c>
      <c r="F55" s="211"/>
      <c r="G55" s="214"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TEXT(NB!V735,"#0")&amp;"                        "&amp;TEXT(NB!Y735,"#0")&amp;"   "</f>
        <v xml:space="preserve">1                        2   </v>
      </c>
      <c r="C56" s="259">
        <f>+NB!W735</f>
        <v>8.5</v>
      </c>
      <c r="D56" s="244">
        <f>+NB!X735</f>
        <v>8</v>
      </c>
      <c r="E56" s="114" t="str">
        <f>+NB!Z735</f>
        <v xml:space="preserve"> </v>
      </c>
      <c r="F56" s="114"/>
      <c r="G56" s="206"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TEXT(NB!V736,"#0")&amp;"                        "&amp;TEXT(NB!Y736,"#0")&amp;"   "</f>
        <v xml:space="preserve">1                        1   </v>
      </c>
      <c r="C57" s="260">
        <f>+NB!W736</f>
        <v>7.5</v>
      </c>
      <c r="D57" s="245">
        <f>+NB!X736</f>
        <v>7.0000000000000009</v>
      </c>
      <c r="E57" s="213" t="str">
        <f>+NB!Z736</f>
        <v xml:space="preserve"> </v>
      </c>
      <c r="F57" s="213"/>
      <c r="G57" s="215"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TEXT(NB!V737,"#0")&amp;"                        "&amp;TEXT(NB!Y737,"#0")&amp;"   "</f>
        <v xml:space="preserve">0                        0   </v>
      </c>
      <c r="C58" s="261">
        <f>+NB!W737</f>
        <v>6.5000000000000009</v>
      </c>
      <c r="D58" s="246">
        <f>+NB!X737</f>
        <v>0</v>
      </c>
      <c r="E58" s="208" t="str">
        <f>+NB!Z737</f>
        <v xml:space="preserve"> </v>
      </c>
      <c r="F58" s="208"/>
      <c r="G58" s="209"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65"/>
  <sheetViews>
    <sheetView workbookViewId="0">
      <selection activeCell="G6" sqref="G6"/>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3" ht="18" x14ac:dyDescent="0.25">
      <c r="B1" s="117" t="str">
        <f>"Abschlussprüfung "&amp;Notenbogen!U1</f>
        <v>Abschlussprüfung 2016/17</v>
      </c>
      <c r="C1" s="117"/>
      <c r="D1" s="117"/>
      <c r="E1" s="118"/>
      <c r="F1" s="118"/>
    </row>
    <row r="2" spans="1:13" x14ac:dyDescent="0.2">
      <c r="B2" s="1" t="str">
        <f>"Fach: "&amp;Notenbogen!E1</f>
        <v xml:space="preserve">Fach: </v>
      </c>
      <c r="E2" s="545" t="str">
        <f>IF(Notenbogen!E1="","",Notenbogen!E1)</f>
        <v/>
      </c>
      <c r="F2" s="545"/>
      <c r="G2" s="545"/>
      <c r="H2" s="545"/>
    </row>
    <row r="3" spans="1:13" x14ac:dyDescent="0.2">
      <c r="B3" s="1" t="str">
        <f xml:space="preserve"> "Klasse "&amp;Notenbogen!B1</f>
        <v xml:space="preserve">Klasse </v>
      </c>
      <c r="E3" s="546" t="str">
        <f>IF(Notenbogen!B1="","",Notenbogen!B1)</f>
        <v/>
      </c>
      <c r="F3" s="546"/>
      <c r="G3" s="546"/>
      <c r="H3" s="546"/>
    </row>
    <row r="4" spans="1:13" ht="13.5" thickBot="1" x14ac:dyDescent="0.25">
      <c r="B4" s="1" t="str">
        <f>"Lehrer: "&amp;Notenbogen!M1</f>
        <v xml:space="preserve">Lehrer: </v>
      </c>
      <c r="E4" s="131" t="str">
        <f>IF(Notenbogen!M1="","",Notenbogen!M1)</f>
        <v/>
      </c>
      <c r="F4" s="131"/>
      <c r="G4" s="131"/>
      <c r="H4" s="131"/>
    </row>
    <row r="5" spans="1:13" x14ac:dyDescent="0.2">
      <c r="A5" s="2"/>
      <c r="B5" s="2"/>
      <c r="C5" s="547" t="s">
        <v>175</v>
      </c>
      <c r="D5" s="548"/>
      <c r="E5" s="549"/>
      <c r="F5" s="547" t="s">
        <v>59</v>
      </c>
      <c r="G5" s="549"/>
      <c r="H5" s="387" t="s">
        <v>60</v>
      </c>
      <c r="I5" s="473" t="s">
        <v>69</v>
      </c>
      <c r="J5" s="543" t="s">
        <v>176</v>
      </c>
      <c r="K5" s="544"/>
    </row>
    <row r="6" spans="1:13" x14ac:dyDescent="0.2">
      <c r="A6" s="388">
        <f>I1SA!A4</f>
        <v>1</v>
      </c>
      <c r="B6" s="145" t="str">
        <f>IF(Notenbogen!B4&lt;&gt;"", Notenbogen!B4, "")</f>
        <v/>
      </c>
      <c r="C6" s="145"/>
      <c r="D6" s="145"/>
      <c r="E6" s="130"/>
      <c r="F6" s="4" t="str">
        <f>'Eingabe Abitur'!Q11</f>
        <v/>
      </c>
      <c r="G6" s="484" t="str">
        <f>'Eingabe Abitur'!R11</f>
        <v/>
      </c>
      <c r="H6" s="4" t="str">
        <f>'Eingabe Abitur'!X11</f>
        <v/>
      </c>
      <c r="I6" s="474" t="str">
        <f>IF(G6="","", IF(H6="", G6,IF((G6*2+H6)/(2+COUNT(H6))&lt;1, 0, ROUNDUP((G6*2+H6)/(2+COUNT(H6)),2))))</f>
        <v/>
      </c>
      <c r="J6" s="130" t="str">
        <f>IF(OR(COUNT(C6:E6)=0,I6=""),"",IF(#REF!="BOS", ROUNDUP((I6*2+SUM(AP!C6:E6))/(2+COUNT(AP!C6:E6)),2),ROUNDUP((I6*3+SUM(AP!C6:E6))/(3+COUNT(AP!C6:E6)),2)))</f>
        <v/>
      </c>
      <c r="K6" s="475" t="str">
        <f>IF(J6="","",IF(J6&lt;1,0,ROUND(J6,0)))</f>
        <v/>
      </c>
      <c r="L6" s="191"/>
      <c r="M6" s="196"/>
    </row>
    <row r="7" spans="1:13" x14ac:dyDescent="0.2">
      <c r="A7" s="388">
        <f>I1SA!A5</f>
        <v>2</v>
      </c>
      <c r="B7" s="145" t="str">
        <f>IF(Notenbogen!B5&lt;&gt;"", Notenbogen!B5, "")</f>
        <v/>
      </c>
      <c r="C7" s="145"/>
      <c r="D7" s="145"/>
      <c r="E7" s="130"/>
      <c r="F7" s="4" t="str">
        <f>'Eingabe Abitur'!Q13</f>
        <v/>
      </c>
      <c r="G7" s="484" t="str">
        <f>'Eingabe Abitur'!R13</f>
        <v/>
      </c>
      <c r="H7" s="4" t="str">
        <f>'Eingabe Abitur'!X13</f>
        <v/>
      </c>
      <c r="I7" s="474" t="str">
        <f t="shared" ref="I7:I40" si="0">IF(G7="","", IF(H7="", G7,IF((G7*2+H7)/(2+COUNT(H7))&lt;1, 0, ROUNDUP((G7*2+H7)/(2+COUNT(H7)),2))))</f>
        <v/>
      </c>
      <c r="J7" s="130" t="str">
        <f>IF(OR(COUNT(C7:E7)=0,I7=""),"",IF(#REF!="BOS", ROUNDUP((I7*2+SUM(AP!C7:E7))/(2+COUNT(AP!C7:E7)),2),ROUNDUP((I7*3+SUM(AP!C7:E7))/(3+COUNT(AP!C7:E7)),2)))</f>
        <v/>
      </c>
      <c r="K7" s="475" t="str">
        <f t="shared" ref="K7:K40" si="1">IF(J7="","",IF(J7&lt;1,0,ROUND(J7,0)))</f>
        <v/>
      </c>
      <c r="M7" s="196"/>
    </row>
    <row r="8" spans="1:13" x14ac:dyDescent="0.2">
      <c r="A8" s="388">
        <f>I1SA!A6</f>
        <v>3</v>
      </c>
      <c r="B8" s="145" t="str">
        <f>IF(Notenbogen!B6&lt;&gt;"", Notenbogen!B6, "")</f>
        <v/>
      </c>
      <c r="C8" s="145"/>
      <c r="D8" s="145"/>
      <c r="E8" s="130"/>
      <c r="F8" s="4" t="str">
        <f>'Eingabe Abitur'!Q15</f>
        <v/>
      </c>
      <c r="G8" s="484" t="str">
        <f>'Eingabe Abitur'!R15</f>
        <v/>
      </c>
      <c r="H8" s="4" t="str">
        <f>'Eingabe Abitur'!X15</f>
        <v/>
      </c>
      <c r="I8" s="474" t="str">
        <f t="shared" si="0"/>
        <v/>
      </c>
      <c r="J8" s="130" t="str">
        <f>IF(OR(COUNT(C8:E8)=0,I8=""),"",IF(#REF!="BOS", ROUNDUP((I8*2+SUM(AP!C8:E8))/(2+COUNT(AP!C8:E8)),2),ROUNDUP((I8*3+SUM(AP!C8:E8))/(3+COUNT(AP!C8:E8)),2)))</f>
        <v/>
      </c>
      <c r="K8" s="475" t="str">
        <f t="shared" si="1"/>
        <v/>
      </c>
      <c r="M8" s="196"/>
    </row>
    <row r="9" spans="1:13" x14ac:dyDescent="0.2">
      <c r="A9" s="388">
        <f>I1SA!A7</f>
        <v>4</v>
      </c>
      <c r="B9" s="145" t="str">
        <f>IF(Notenbogen!B7&lt;&gt;"", Notenbogen!B7, "")</f>
        <v/>
      </c>
      <c r="C9" s="145"/>
      <c r="D9" s="145"/>
      <c r="E9" s="130"/>
      <c r="F9" s="4" t="str">
        <f>'Eingabe Abitur'!Q17</f>
        <v/>
      </c>
      <c r="G9" s="484" t="str">
        <f>'Eingabe Abitur'!R17</f>
        <v/>
      </c>
      <c r="H9" s="4" t="str">
        <f>'Eingabe Abitur'!X17</f>
        <v/>
      </c>
      <c r="I9" s="474" t="str">
        <f t="shared" si="0"/>
        <v/>
      </c>
      <c r="J9" s="130" t="str">
        <f>IF(OR(COUNT(C9:E9)=0,I9=""),"",IF(#REF!="BOS", ROUNDUP((I9*2+SUM(AP!C9:E9))/(2+COUNT(AP!C9:E9)),2),ROUNDUP((I9*3+SUM(AP!C9:E9))/(3+COUNT(AP!C9:E9)),2)))</f>
        <v/>
      </c>
      <c r="K9" s="475" t="str">
        <f t="shared" si="1"/>
        <v/>
      </c>
      <c r="M9" s="196"/>
    </row>
    <row r="10" spans="1:13" x14ac:dyDescent="0.2">
      <c r="A10" s="388">
        <f>I1SA!A8</f>
        <v>5</v>
      </c>
      <c r="B10" s="145" t="str">
        <f>IF(Notenbogen!B8&lt;&gt;"", Notenbogen!B8, "")</f>
        <v/>
      </c>
      <c r="C10" s="145"/>
      <c r="D10" s="145"/>
      <c r="E10" s="130"/>
      <c r="F10" s="4" t="str">
        <f>'Eingabe Abitur'!Q19</f>
        <v/>
      </c>
      <c r="G10" s="484" t="str">
        <f>'Eingabe Abitur'!R19</f>
        <v/>
      </c>
      <c r="H10" s="4" t="str">
        <f>'Eingabe Abitur'!X19</f>
        <v/>
      </c>
      <c r="I10" s="474" t="str">
        <f t="shared" si="0"/>
        <v/>
      </c>
      <c r="J10" s="130" t="str">
        <f>IF(OR(COUNT(C10:E10)=0,I10=""),"",IF(#REF!="BOS", ROUNDUP((I10*2+SUM(AP!C10:E10))/(2+COUNT(AP!C10:E10)),2),ROUNDUP((I10*3+SUM(AP!C10:E10))/(3+COUNT(AP!C10:E10)),2)))</f>
        <v/>
      </c>
      <c r="K10" s="475" t="str">
        <f t="shared" si="1"/>
        <v/>
      </c>
      <c r="M10" s="196"/>
    </row>
    <row r="11" spans="1:13" x14ac:dyDescent="0.2">
      <c r="A11" s="388">
        <f>I1SA!A9</f>
        <v>6</v>
      </c>
      <c r="B11" s="145" t="str">
        <f>IF(Notenbogen!B9&lt;&gt;"", Notenbogen!B9, "")</f>
        <v/>
      </c>
      <c r="C11" s="145"/>
      <c r="D11" s="145"/>
      <c r="E11" s="130"/>
      <c r="F11" s="4" t="str">
        <f>'Eingabe Abitur'!Q21</f>
        <v/>
      </c>
      <c r="G11" s="484" t="str">
        <f>'Eingabe Abitur'!R21</f>
        <v/>
      </c>
      <c r="H11" s="4" t="str">
        <f>'Eingabe Abitur'!X21</f>
        <v/>
      </c>
      <c r="I11" s="474" t="str">
        <f t="shared" si="0"/>
        <v/>
      </c>
      <c r="J11" s="130" t="str">
        <f>IF(OR(COUNT(C11:E11)=0,I11=""),"",IF(#REF!="BOS", ROUNDUP((I11*2+SUM(AP!C11:E11))/(2+COUNT(AP!C11:E11)),2),ROUNDUP((I11*3+SUM(AP!C11:E11))/(3+COUNT(AP!C11:E11)),2)))</f>
        <v/>
      </c>
      <c r="K11" s="475" t="str">
        <f t="shared" si="1"/>
        <v/>
      </c>
      <c r="M11" s="196"/>
    </row>
    <row r="12" spans="1:13" x14ac:dyDescent="0.2">
      <c r="A12" s="388">
        <f>I1SA!A10</f>
        <v>7</v>
      </c>
      <c r="B12" s="145" t="str">
        <f>IF(Notenbogen!B10&lt;&gt;"", Notenbogen!B10, "")</f>
        <v/>
      </c>
      <c r="C12" s="145"/>
      <c r="D12" s="145"/>
      <c r="E12" s="130"/>
      <c r="F12" s="4" t="str">
        <f>'Eingabe Abitur'!Q23</f>
        <v/>
      </c>
      <c r="G12" s="484" t="str">
        <f>'Eingabe Abitur'!R23</f>
        <v/>
      </c>
      <c r="H12" s="4" t="str">
        <f>'Eingabe Abitur'!X23</f>
        <v/>
      </c>
      <c r="I12" s="474" t="str">
        <f t="shared" si="0"/>
        <v/>
      </c>
      <c r="J12" s="130" t="str">
        <f>IF(OR(COUNT(C12:E12)=0,I12=""),"",IF(#REF!="BOS", ROUNDUP((I12*2+SUM(AP!C12:E12))/(2+COUNT(AP!C12:E12)),2),ROUNDUP((I12*3+SUM(AP!C12:E12))/(3+COUNT(AP!C12:E12)),2)))</f>
        <v/>
      </c>
      <c r="K12" s="475" t="str">
        <f t="shared" si="1"/>
        <v/>
      </c>
      <c r="M12" s="196"/>
    </row>
    <row r="13" spans="1:13" x14ac:dyDescent="0.2">
      <c r="A13" s="388">
        <f>I1SA!A11</f>
        <v>8</v>
      </c>
      <c r="B13" s="145" t="str">
        <f>IF(Notenbogen!B11&lt;&gt;"", Notenbogen!B11, "")</f>
        <v/>
      </c>
      <c r="C13" s="145"/>
      <c r="D13" s="145"/>
      <c r="E13" s="130"/>
      <c r="F13" s="4" t="str">
        <f>'Eingabe Abitur'!Q25</f>
        <v/>
      </c>
      <c r="G13" s="484" t="str">
        <f>'Eingabe Abitur'!R25</f>
        <v/>
      </c>
      <c r="H13" s="4" t="str">
        <f>'Eingabe Abitur'!X25</f>
        <v/>
      </c>
      <c r="I13" s="474" t="str">
        <f t="shared" si="0"/>
        <v/>
      </c>
      <c r="J13" s="130" t="str">
        <f>IF(OR(COUNT(C13:E13)=0,I13=""),"",IF(#REF!="BOS", ROUNDUP((I13*2+SUM(AP!C13:E13))/(2+COUNT(AP!C13:E13)),2),ROUNDUP((I13*3+SUM(AP!C13:E13))/(3+COUNT(AP!C13:E13)),2)))</f>
        <v/>
      </c>
      <c r="K13" s="475" t="str">
        <f t="shared" si="1"/>
        <v/>
      </c>
      <c r="M13" s="196"/>
    </row>
    <row r="14" spans="1:13" x14ac:dyDescent="0.2">
      <c r="A14" s="388">
        <f>I1SA!A12</f>
        <v>9</v>
      </c>
      <c r="B14" s="145" t="str">
        <f>IF(Notenbogen!B12&lt;&gt;"", Notenbogen!B12, "")</f>
        <v/>
      </c>
      <c r="C14" s="145"/>
      <c r="D14" s="145"/>
      <c r="E14" s="130"/>
      <c r="F14" s="4" t="str">
        <f>'Eingabe Abitur'!Q27</f>
        <v/>
      </c>
      <c r="G14" s="484" t="str">
        <f>'Eingabe Abitur'!R27</f>
        <v/>
      </c>
      <c r="H14" s="4" t="str">
        <f>'Eingabe Abitur'!X27</f>
        <v/>
      </c>
      <c r="I14" s="474" t="str">
        <f t="shared" si="0"/>
        <v/>
      </c>
      <c r="J14" s="130" t="str">
        <f>IF(OR(COUNT(C14:E14)=0,I14=""),"",IF(#REF!="BOS", ROUNDUP((I14*2+SUM(AP!C14:E14))/(2+COUNT(AP!C14:E14)),2),ROUNDUP((I14*3+SUM(AP!C14:E14))/(3+COUNT(AP!C14:E14)),2)))</f>
        <v/>
      </c>
      <c r="K14" s="475" t="str">
        <f t="shared" si="1"/>
        <v/>
      </c>
      <c r="M14" s="196"/>
    </row>
    <row r="15" spans="1:13" x14ac:dyDescent="0.2">
      <c r="A15" s="388">
        <f>I1SA!A13</f>
        <v>10</v>
      </c>
      <c r="B15" s="145" t="str">
        <f>IF(Notenbogen!B13&lt;&gt;"", Notenbogen!B13, "")</f>
        <v/>
      </c>
      <c r="C15" s="145"/>
      <c r="D15" s="145"/>
      <c r="E15" s="130"/>
      <c r="F15" s="4" t="str">
        <f>'Eingabe Abitur'!Q29</f>
        <v/>
      </c>
      <c r="G15" s="484" t="str">
        <f>'Eingabe Abitur'!R29</f>
        <v/>
      </c>
      <c r="H15" s="4" t="str">
        <f>'Eingabe Abitur'!X29</f>
        <v/>
      </c>
      <c r="I15" s="474" t="str">
        <f t="shared" si="0"/>
        <v/>
      </c>
      <c r="J15" s="130" t="str">
        <f>IF(OR(COUNT(C15:E15)=0,I15=""),"",IF(#REF!="BOS", ROUNDUP((I15*2+SUM(AP!C15:E15))/(2+COUNT(AP!C15:E15)),2),ROUNDUP((I15*3+SUM(AP!C15:E15))/(3+COUNT(AP!C15:E15)),2)))</f>
        <v/>
      </c>
      <c r="K15" s="475" t="str">
        <f t="shared" si="1"/>
        <v/>
      </c>
      <c r="M15" s="196"/>
    </row>
    <row r="16" spans="1:13" x14ac:dyDescent="0.2">
      <c r="A16" s="388">
        <f>I1SA!A14</f>
        <v>11</v>
      </c>
      <c r="B16" s="145" t="str">
        <f>IF(Notenbogen!B14&lt;&gt;"", Notenbogen!B14, "")</f>
        <v/>
      </c>
      <c r="C16" s="145"/>
      <c r="D16" s="145"/>
      <c r="E16" s="130"/>
      <c r="F16" s="4" t="str">
        <f>'Eingabe Abitur'!Q31</f>
        <v/>
      </c>
      <c r="G16" s="484" t="str">
        <f>'Eingabe Abitur'!R31</f>
        <v/>
      </c>
      <c r="H16" s="4" t="str">
        <f>'Eingabe Abitur'!X31</f>
        <v/>
      </c>
      <c r="I16" s="474" t="str">
        <f t="shared" si="0"/>
        <v/>
      </c>
      <c r="J16" s="130" t="str">
        <f>IF(OR(COUNT(C16:E16)=0,I16=""),"",IF(#REF!="BOS", ROUNDUP((I16*2+SUM(AP!C16:E16))/(2+COUNT(AP!C16:E16)),2),ROUNDUP((I16*3+SUM(AP!C16:E16))/(3+COUNT(AP!C16:E16)),2)))</f>
        <v/>
      </c>
      <c r="K16" s="475" t="str">
        <f t="shared" si="1"/>
        <v/>
      </c>
      <c r="M16" s="196"/>
    </row>
    <row r="17" spans="1:11" x14ac:dyDescent="0.2">
      <c r="A17" s="388">
        <f>I1SA!A15</f>
        <v>12</v>
      </c>
      <c r="B17" s="145" t="str">
        <f>IF(Notenbogen!B15&lt;&gt;"", Notenbogen!B15, "")</f>
        <v/>
      </c>
      <c r="C17" s="145"/>
      <c r="D17" s="145"/>
      <c r="E17" s="130"/>
      <c r="F17" s="4" t="str">
        <f>'Eingabe Abitur'!Q33</f>
        <v/>
      </c>
      <c r="G17" s="484" t="str">
        <f>'Eingabe Abitur'!R33</f>
        <v/>
      </c>
      <c r="H17" s="4" t="str">
        <f>'Eingabe Abitur'!X33</f>
        <v/>
      </c>
      <c r="I17" s="474" t="str">
        <f t="shared" si="0"/>
        <v/>
      </c>
      <c r="J17" s="130" t="str">
        <f>IF(OR(COUNT(C17:E17)=0,I17=""),"",IF(#REF!="BOS", ROUNDUP((I17*2+SUM(AP!C17:E17))/(2+COUNT(AP!C17:E17)),2),ROUNDUP((I17*3+SUM(AP!C17:E17))/(3+COUNT(AP!C17:E17)),2)))</f>
        <v/>
      </c>
      <c r="K17" s="475" t="str">
        <f t="shared" si="1"/>
        <v/>
      </c>
    </row>
    <row r="18" spans="1:11" x14ac:dyDescent="0.2">
      <c r="A18" s="388">
        <f>I1SA!A16</f>
        <v>13</v>
      </c>
      <c r="B18" s="145" t="str">
        <f>IF(Notenbogen!B16&lt;&gt;"", Notenbogen!B16, "")</f>
        <v/>
      </c>
      <c r="C18" s="145"/>
      <c r="D18" s="145"/>
      <c r="E18" s="130"/>
      <c r="F18" s="4" t="str">
        <f>'Eingabe Abitur'!Q35</f>
        <v/>
      </c>
      <c r="G18" s="484" t="str">
        <f>'Eingabe Abitur'!R35</f>
        <v/>
      </c>
      <c r="H18" s="4" t="str">
        <f>'Eingabe Abitur'!X35</f>
        <v/>
      </c>
      <c r="I18" s="474" t="str">
        <f t="shared" si="0"/>
        <v/>
      </c>
      <c r="J18" s="130" t="str">
        <f>IF(OR(COUNT(C18:E18)=0,I18=""),"",IF(#REF!="BOS", ROUNDUP((I18*2+SUM(AP!C18:E18))/(2+COUNT(AP!C18:E18)),2),ROUNDUP((I18*3+SUM(AP!C18:E18))/(3+COUNT(AP!C18:E18)),2)))</f>
        <v/>
      </c>
      <c r="K18" s="475" t="str">
        <f t="shared" si="1"/>
        <v/>
      </c>
    </row>
    <row r="19" spans="1:11" x14ac:dyDescent="0.2">
      <c r="A19" s="388">
        <f>I1SA!A17</f>
        <v>14</v>
      </c>
      <c r="B19" s="145" t="str">
        <f>IF(Notenbogen!B17&lt;&gt;"", Notenbogen!B17, "")</f>
        <v/>
      </c>
      <c r="C19" s="145"/>
      <c r="D19" s="145"/>
      <c r="E19" s="130"/>
      <c r="F19" s="4" t="str">
        <f>'Eingabe Abitur'!Q37</f>
        <v/>
      </c>
      <c r="G19" s="484" t="str">
        <f>'Eingabe Abitur'!R37</f>
        <v/>
      </c>
      <c r="H19" s="4" t="str">
        <f>'Eingabe Abitur'!X37</f>
        <v/>
      </c>
      <c r="I19" s="474" t="str">
        <f t="shared" si="0"/>
        <v/>
      </c>
      <c r="J19" s="130" t="str">
        <f>IF(OR(COUNT(C19:E19)=0,I19=""),"",IF(#REF!="BOS", ROUNDUP((I19*2+SUM(AP!C19:E19))/(2+COUNT(AP!C19:E19)),2),ROUNDUP((I19*3+SUM(AP!C19:E19))/(3+COUNT(AP!C19:E19)),2)))</f>
        <v/>
      </c>
      <c r="K19" s="475" t="str">
        <f t="shared" si="1"/>
        <v/>
      </c>
    </row>
    <row r="20" spans="1:11" x14ac:dyDescent="0.2">
      <c r="A20" s="388">
        <f>I1SA!A18</f>
        <v>15</v>
      </c>
      <c r="B20" s="145" t="str">
        <f>IF(Notenbogen!B18&lt;&gt;"", Notenbogen!B18, "")</f>
        <v/>
      </c>
      <c r="C20" s="145"/>
      <c r="D20" s="145"/>
      <c r="E20" s="130"/>
      <c r="F20" s="4" t="str">
        <f>'Eingabe Abitur'!Q39</f>
        <v/>
      </c>
      <c r="G20" s="484" t="str">
        <f>'Eingabe Abitur'!R39</f>
        <v/>
      </c>
      <c r="H20" s="4" t="str">
        <f>'Eingabe Abitur'!X39</f>
        <v/>
      </c>
      <c r="I20" s="474" t="str">
        <f t="shared" si="0"/>
        <v/>
      </c>
      <c r="J20" s="130" t="str">
        <f>IF(OR(COUNT(C20:E20)=0,I20=""),"",IF(#REF!="BOS", ROUNDUP((I20*2+SUM(AP!C20:E20))/(2+COUNT(AP!C20:E20)),2),ROUNDUP((I20*3+SUM(AP!C20:E20))/(3+COUNT(AP!C20:E20)),2)))</f>
        <v/>
      </c>
      <c r="K20" s="475" t="str">
        <f t="shared" si="1"/>
        <v/>
      </c>
    </row>
    <row r="21" spans="1:11" ht="11.25" customHeight="1" x14ac:dyDescent="0.2">
      <c r="A21" s="388">
        <f>I1SA!A19</f>
        <v>16</v>
      </c>
      <c r="B21" s="145" t="str">
        <f>IF(Notenbogen!B19&lt;&gt;"", Notenbogen!B19, "")</f>
        <v/>
      </c>
      <c r="C21" s="145"/>
      <c r="D21" s="145"/>
      <c r="E21" s="130"/>
      <c r="F21" s="4" t="str">
        <f>'Eingabe Abitur'!Q41</f>
        <v/>
      </c>
      <c r="G21" s="484" t="str">
        <f>'Eingabe Abitur'!R41</f>
        <v/>
      </c>
      <c r="H21" s="4" t="str">
        <f>'Eingabe Abitur'!X41</f>
        <v/>
      </c>
      <c r="I21" s="474" t="str">
        <f t="shared" si="0"/>
        <v/>
      </c>
      <c r="J21" s="130" t="str">
        <f>IF(OR(COUNT(C21:E21)=0,I21=""),"",IF(#REF!="BOS", ROUNDUP((I21*2+SUM(AP!C21:E21))/(2+COUNT(AP!C21:E21)),2),ROUNDUP((I21*3+SUM(AP!C21:E21))/(3+COUNT(AP!C21:E21)),2)))</f>
        <v/>
      </c>
      <c r="K21" s="475" t="str">
        <f t="shared" si="1"/>
        <v/>
      </c>
    </row>
    <row r="22" spans="1:11" x14ac:dyDescent="0.2">
      <c r="A22" s="388">
        <f>I1SA!A20</f>
        <v>17</v>
      </c>
      <c r="B22" s="145" t="str">
        <f>IF(Notenbogen!B20&lt;&gt;"", Notenbogen!B20, "")</f>
        <v/>
      </c>
      <c r="C22" s="145"/>
      <c r="D22" s="145"/>
      <c r="E22" s="130"/>
      <c r="F22" s="4" t="str">
        <f>'Eingabe Abitur'!Q43</f>
        <v/>
      </c>
      <c r="G22" s="484" t="str">
        <f>'Eingabe Abitur'!R43</f>
        <v/>
      </c>
      <c r="H22" s="4" t="str">
        <f>'Eingabe Abitur'!X43</f>
        <v/>
      </c>
      <c r="I22" s="474" t="str">
        <f t="shared" si="0"/>
        <v/>
      </c>
      <c r="J22" s="130" t="str">
        <f>IF(OR(COUNT(C22:E22)=0,I22=""),"",IF(#REF!="BOS", ROUNDUP((I22*2+SUM(AP!C22:E22))/(2+COUNT(AP!C22:E22)),2),ROUNDUP((I22*3+SUM(AP!C22:E22))/(3+COUNT(AP!C22:E22)),2)))</f>
        <v/>
      </c>
      <c r="K22" s="475" t="str">
        <f t="shared" si="1"/>
        <v/>
      </c>
    </row>
    <row r="23" spans="1:11" x14ac:dyDescent="0.2">
      <c r="A23" s="388">
        <f>I1SA!A21</f>
        <v>18</v>
      </c>
      <c r="B23" s="145" t="str">
        <f>IF(Notenbogen!B21&lt;&gt;"", Notenbogen!B21, "")</f>
        <v/>
      </c>
      <c r="C23" s="145"/>
      <c r="D23" s="145"/>
      <c r="E23" s="130"/>
      <c r="F23" s="4" t="str">
        <f>'Eingabe Abitur'!Q45</f>
        <v/>
      </c>
      <c r="G23" s="484" t="str">
        <f>'Eingabe Abitur'!R45</f>
        <v/>
      </c>
      <c r="H23" s="4" t="str">
        <f>'Eingabe Abitur'!X45</f>
        <v/>
      </c>
      <c r="I23" s="474" t="str">
        <f t="shared" si="0"/>
        <v/>
      </c>
      <c r="J23" s="130" t="str">
        <f>IF(OR(COUNT(C23:E23)=0,I23=""),"",IF(#REF!="BOS", ROUNDUP((I23*2+SUM(AP!C23:E23))/(2+COUNT(AP!C23:E23)),2),ROUNDUP((I23*3+SUM(AP!C23:E23))/(3+COUNT(AP!C23:E23)),2)))</f>
        <v/>
      </c>
      <c r="K23" s="475" t="str">
        <f t="shared" si="1"/>
        <v/>
      </c>
    </row>
    <row r="24" spans="1:11" x14ac:dyDescent="0.2">
      <c r="A24" s="388">
        <f>I1SA!A22</f>
        <v>19</v>
      </c>
      <c r="B24" s="145" t="str">
        <f>IF(Notenbogen!B22&lt;&gt;"", Notenbogen!B22, "")</f>
        <v/>
      </c>
      <c r="C24" s="145"/>
      <c r="D24" s="145"/>
      <c r="E24" s="130"/>
      <c r="F24" s="4" t="str">
        <f>'Eingabe Abitur'!Q47</f>
        <v/>
      </c>
      <c r="G24" s="484" t="str">
        <f>'Eingabe Abitur'!R47</f>
        <v/>
      </c>
      <c r="H24" s="4" t="str">
        <f>'Eingabe Abitur'!X47</f>
        <v/>
      </c>
      <c r="I24" s="474" t="str">
        <f t="shared" si="0"/>
        <v/>
      </c>
      <c r="J24" s="130" t="str">
        <f>IF(OR(COUNT(C24:E24)=0,I24=""),"",IF(#REF!="BOS", ROUNDUP((I24*2+SUM(AP!C24:E24))/(2+COUNT(AP!C24:E24)),2),ROUNDUP((I24*3+SUM(AP!C24:E24))/(3+COUNT(AP!C24:E24)),2)))</f>
        <v/>
      </c>
      <c r="K24" s="475" t="str">
        <f t="shared" si="1"/>
        <v/>
      </c>
    </row>
    <row r="25" spans="1:11" x14ac:dyDescent="0.2">
      <c r="A25" s="388">
        <f>I1SA!A23</f>
        <v>20</v>
      </c>
      <c r="B25" s="145" t="str">
        <f>IF(Notenbogen!B23&lt;&gt;"", Notenbogen!B23, "")</f>
        <v/>
      </c>
      <c r="C25" s="145"/>
      <c r="D25" s="145"/>
      <c r="E25" s="130"/>
      <c r="F25" s="4" t="str">
        <f>'Eingabe Abitur'!Q49</f>
        <v/>
      </c>
      <c r="G25" s="484" t="str">
        <f>'Eingabe Abitur'!R49</f>
        <v/>
      </c>
      <c r="H25" s="4" t="str">
        <f>'Eingabe Abitur'!X49</f>
        <v/>
      </c>
      <c r="I25" s="474" t="str">
        <f t="shared" si="0"/>
        <v/>
      </c>
      <c r="J25" s="130" t="str">
        <f>IF(OR(COUNT(C25:E25)=0,I25=""),"",IF(#REF!="BOS", ROUNDUP((I25*2+SUM(AP!C25:E25))/(2+COUNT(AP!C25:E25)),2),ROUNDUP((I25*3+SUM(AP!C25:E25))/(3+COUNT(AP!C25:E25)),2)))</f>
        <v/>
      </c>
      <c r="K25" s="475" t="str">
        <f t="shared" si="1"/>
        <v/>
      </c>
    </row>
    <row r="26" spans="1:11" x14ac:dyDescent="0.2">
      <c r="A26" s="388">
        <f>I1SA!A24</f>
        <v>21</v>
      </c>
      <c r="B26" s="145" t="str">
        <f>IF(Notenbogen!B24&lt;&gt;"", Notenbogen!B24, "")</f>
        <v/>
      </c>
      <c r="C26" s="145"/>
      <c r="D26" s="145"/>
      <c r="E26" s="130"/>
      <c r="F26" s="4" t="str">
        <f>'Eingabe Abitur'!Q51</f>
        <v/>
      </c>
      <c r="G26" s="484" t="str">
        <f>'Eingabe Abitur'!R51</f>
        <v/>
      </c>
      <c r="H26" s="4" t="str">
        <f>'Eingabe Abitur'!X51</f>
        <v/>
      </c>
      <c r="I26" s="474" t="str">
        <f t="shared" si="0"/>
        <v/>
      </c>
      <c r="J26" s="130" t="str">
        <f>IF(OR(COUNT(C26:E26)=0,I26=""),"",IF(#REF!="BOS", ROUNDUP((I26*2+SUM(AP!C26:E26))/(2+COUNT(AP!C26:E26)),2),ROUNDUP((I26*3+SUM(AP!C26:E26))/(3+COUNT(AP!C26:E26)),2)))</f>
        <v/>
      </c>
      <c r="K26" s="475" t="str">
        <f t="shared" si="1"/>
        <v/>
      </c>
    </row>
    <row r="27" spans="1:11" x14ac:dyDescent="0.2">
      <c r="A27" s="388">
        <f>I1SA!A25</f>
        <v>22</v>
      </c>
      <c r="B27" s="145" t="str">
        <f>IF(Notenbogen!B25&lt;&gt;"", Notenbogen!B25, "")</f>
        <v/>
      </c>
      <c r="C27" s="145"/>
      <c r="D27" s="145"/>
      <c r="E27" s="130"/>
      <c r="F27" s="4" t="str">
        <f>'Eingabe Abitur'!Q53</f>
        <v/>
      </c>
      <c r="G27" s="484" t="str">
        <f>'Eingabe Abitur'!R53</f>
        <v/>
      </c>
      <c r="H27" s="4" t="str">
        <f>'Eingabe Abitur'!X53</f>
        <v/>
      </c>
      <c r="I27" s="474" t="str">
        <f t="shared" si="0"/>
        <v/>
      </c>
      <c r="J27" s="130" t="str">
        <f>IF(OR(COUNT(C27:E27)=0,I27=""),"",IF(#REF!="BOS", ROUNDUP((I27*2+SUM(AP!C27:E27))/(2+COUNT(AP!C27:E27)),2),ROUNDUP((I27*3+SUM(AP!C27:E27))/(3+COUNT(AP!C27:E27)),2)))</f>
        <v/>
      </c>
      <c r="K27" s="475" t="str">
        <f t="shared" si="1"/>
        <v/>
      </c>
    </row>
    <row r="28" spans="1:11" x14ac:dyDescent="0.2">
      <c r="A28" s="388">
        <f>I1SA!A26</f>
        <v>23</v>
      </c>
      <c r="B28" s="145" t="str">
        <f>IF(Notenbogen!B26&lt;&gt;"", Notenbogen!B26, "")</f>
        <v/>
      </c>
      <c r="C28" s="145"/>
      <c r="D28" s="145"/>
      <c r="E28" s="130"/>
      <c r="F28" s="4" t="str">
        <f>'Eingabe Abitur'!Q55</f>
        <v/>
      </c>
      <c r="G28" s="484" t="str">
        <f>'Eingabe Abitur'!R55</f>
        <v/>
      </c>
      <c r="H28" s="4" t="str">
        <f>'Eingabe Abitur'!X55</f>
        <v/>
      </c>
      <c r="I28" s="474" t="str">
        <f t="shared" si="0"/>
        <v/>
      </c>
      <c r="J28" s="130" t="str">
        <f>IF(OR(COUNT(C28:E28)=0,I28=""),"",IF(#REF!="BOS", ROUNDUP((I28*2+SUM(AP!C28:E28))/(2+COUNT(AP!C28:E28)),2),ROUNDUP((I28*3+SUM(AP!C28:E28))/(3+COUNT(AP!C28:E28)),2)))</f>
        <v/>
      </c>
      <c r="K28" s="475" t="str">
        <f t="shared" si="1"/>
        <v/>
      </c>
    </row>
    <row r="29" spans="1:11" x14ac:dyDescent="0.2">
      <c r="A29" s="388">
        <f>I1SA!A27</f>
        <v>24</v>
      </c>
      <c r="B29" s="145" t="str">
        <f>IF(Notenbogen!B27&lt;&gt;"", Notenbogen!B27, "")</f>
        <v/>
      </c>
      <c r="C29" s="145"/>
      <c r="D29" s="145"/>
      <c r="E29" s="130"/>
      <c r="F29" s="4" t="str">
        <f>'Eingabe Abitur'!Q57</f>
        <v/>
      </c>
      <c r="G29" s="484" t="str">
        <f>'Eingabe Abitur'!R57</f>
        <v/>
      </c>
      <c r="H29" s="4" t="str">
        <f>'Eingabe Abitur'!X57</f>
        <v/>
      </c>
      <c r="I29" s="474" t="str">
        <f t="shared" si="0"/>
        <v/>
      </c>
      <c r="J29" s="130" t="str">
        <f>IF(OR(COUNT(C29:E29)=0,I29=""),"",IF(#REF!="BOS", ROUNDUP((I29*2+SUM(AP!C29:E29))/(2+COUNT(AP!C29:E29)),2),ROUNDUP((I29*3+SUM(AP!C29:E29))/(3+COUNT(AP!C29:E29)),2)))</f>
        <v/>
      </c>
      <c r="K29" s="475" t="str">
        <f t="shared" si="1"/>
        <v/>
      </c>
    </row>
    <row r="30" spans="1:11" x14ac:dyDescent="0.2">
      <c r="A30" s="388">
        <f>I1SA!A28</f>
        <v>25</v>
      </c>
      <c r="B30" s="145" t="str">
        <f>IF(Notenbogen!B28&lt;&gt;"", Notenbogen!B28, "")</f>
        <v/>
      </c>
      <c r="C30" s="145"/>
      <c r="D30" s="145"/>
      <c r="E30" s="130"/>
      <c r="F30" s="4" t="str">
        <f>'Eingabe Abitur'!Q59</f>
        <v/>
      </c>
      <c r="G30" s="484" t="str">
        <f>'Eingabe Abitur'!R59</f>
        <v/>
      </c>
      <c r="H30" s="4" t="str">
        <f>'Eingabe Abitur'!X59</f>
        <v/>
      </c>
      <c r="I30" s="474" t="str">
        <f t="shared" si="0"/>
        <v/>
      </c>
      <c r="J30" s="130" t="str">
        <f>IF(OR(COUNT(C30:E30)=0,I30=""),"",IF(#REF!="BOS", ROUNDUP((I30*2+SUM(AP!C30:E30))/(2+COUNT(AP!C30:E30)),2),ROUNDUP((I30*3+SUM(AP!C30:E30))/(3+COUNT(AP!C30:E30)),2)))</f>
        <v/>
      </c>
      <c r="K30" s="475" t="str">
        <f t="shared" si="1"/>
        <v/>
      </c>
    </row>
    <row r="31" spans="1:11" x14ac:dyDescent="0.2">
      <c r="A31" s="388">
        <f>I1SA!A29</f>
        <v>26</v>
      </c>
      <c r="B31" s="145" t="str">
        <f>IF(Notenbogen!B29&lt;&gt;"", Notenbogen!B29, "")</f>
        <v/>
      </c>
      <c r="C31" s="145"/>
      <c r="D31" s="145"/>
      <c r="E31" s="130"/>
      <c r="F31" s="4" t="str">
        <f>'Eingabe Abitur'!Q61</f>
        <v/>
      </c>
      <c r="G31" s="484" t="str">
        <f>'Eingabe Abitur'!R61</f>
        <v/>
      </c>
      <c r="H31" s="4" t="str">
        <f>'Eingabe Abitur'!X61</f>
        <v/>
      </c>
      <c r="I31" s="474" t="str">
        <f t="shared" si="0"/>
        <v/>
      </c>
      <c r="J31" s="130" t="str">
        <f>IF(OR(COUNT(C31:E31)=0,I31=""),"",IF(#REF!="BOS", ROUNDUP((I31*2+SUM(AP!C31:E31))/(2+COUNT(AP!C31:E31)),2),ROUNDUP((I31*3+SUM(AP!C31:E31))/(3+COUNT(AP!C31:E31)),2)))</f>
        <v/>
      </c>
      <c r="K31" s="475" t="str">
        <f t="shared" si="1"/>
        <v/>
      </c>
    </row>
    <row r="32" spans="1:11" x14ac:dyDescent="0.2">
      <c r="A32" s="388">
        <f>I1SA!A30</f>
        <v>27</v>
      </c>
      <c r="B32" s="145" t="str">
        <f>IF(Notenbogen!B30&lt;&gt;"", Notenbogen!B30, "")</f>
        <v/>
      </c>
      <c r="C32" s="145"/>
      <c r="D32" s="145"/>
      <c r="E32" s="130"/>
      <c r="F32" s="4" t="str">
        <f>'Eingabe Abitur'!Q63</f>
        <v/>
      </c>
      <c r="G32" s="484" t="str">
        <f>'Eingabe Abitur'!R63</f>
        <v/>
      </c>
      <c r="H32" s="4" t="str">
        <f>'Eingabe Abitur'!X63</f>
        <v/>
      </c>
      <c r="I32" s="474" t="str">
        <f t="shared" si="0"/>
        <v/>
      </c>
      <c r="J32" s="130" t="str">
        <f>IF(OR(COUNT(C32:E32)=0,I32=""),"",IF(#REF!="BOS", ROUNDUP((I32*2+SUM(AP!C32:E32))/(2+COUNT(AP!C32:E32)),2),ROUNDUP((I32*3+SUM(AP!C32:E32))/(3+COUNT(AP!C32:E32)),2)))</f>
        <v/>
      </c>
      <c r="K32" s="475" t="str">
        <f t="shared" si="1"/>
        <v/>
      </c>
    </row>
    <row r="33" spans="1:11" x14ac:dyDescent="0.2">
      <c r="A33" s="388">
        <f>I1SA!A31</f>
        <v>28</v>
      </c>
      <c r="B33" s="145" t="str">
        <f>IF(Notenbogen!B31&lt;&gt;"", Notenbogen!B31, "")</f>
        <v/>
      </c>
      <c r="C33" s="145"/>
      <c r="D33" s="145"/>
      <c r="E33" s="130"/>
      <c r="F33" s="4" t="str">
        <f>'Eingabe Abitur'!Q65</f>
        <v/>
      </c>
      <c r="G33" s="484" t="str">
        <f>'Eingabe Abitur'!R65</f>
        <v/>
      </c>
      <c r="H33" s="4" t="str">
        <f>'Eingabe Abitur'!X65</f>
        <v/>
      </c>
      <c r="I33" s="474" t="str">
        <f t="shared" si="0"/>
        <v/>
      </c>
      <c r="J33" s="130" t="str">
        <f>IF(OR(COUNT(C33:E33)=0,I33=""),"",IF(#REF!="BOS", ROUNDUP((I33*2+SUM(AP!C33:E33))/(2+COUNT(AP!C33:E33)),2),ROUNDUP((I33*3+SUM(AP!C33:E33))/(3+COUNT(AP!C33:E33)),2)))</f>
        <v/>
      </c>
      <c r="K33" s="475" t="str">
        <f t="shared" si="1"/>
        <v/>
      </c>
    </row>
    <row r="34" spans="1:11" x14ac:dyDescent="0.2">
      <c r="A34" s="388">
        <f>I1SA!A32</f>
        <v>29</v>
      </c>
      <c r="B34" s="145" t="str">
        <f>IF(Notenbogen!B32&lt;&gt;"", Notenbogen!B32, "")</f>
        <v/>
      </c>
      <c r="C34" s="145"/>
      <c r="D34" s="145"/>
      <c r="E34" s="130"/>
      <c r="F34" s="4" t="str">
        <f>'Eingabe Abitur'!Q67</f>
        <v/>
      </c>
      <c r="G34" s="484" t="str">
        <f>'Eingabe Abitur'!R67</f>
        <v/>
      </c>
      <c r="H34" s="4" t="str">
        <f>'Eingabe Abitur'!X67</f>
        <v/>
      </c>
      <c r="I34" s="474" t="str">
        <f t="shared" si="0"/>
        <v/>
      </c>
      <c r="J34" s="130" t="str">
        <f>IF(OR(COUNT(C34:E34)=0,I34=""),"",IF(#REF!="BOS", ROUNDUP((I34*2+SUM(AP!C34:E34))/(2+COUNT(AP!C34:E34)),2),ROUNDUP((I34*3+SUM(AP!C34:E34))/(3+COUNT(AP!C34:E34)),2)))</f>
        <v/>
      </c>
      <c r="K34" s="475" t="str">
        <f t="shared" si="1"/>
        <v/>
      </c>
    </row>
    <row r="35" spans="1:11" x14ac:dyDescent="0.2">
      <c r="A35" s="388">
        <f>I1SA!A33</f>
        <v>30</v>
      </c>
      <c r="B35" s="145" t="str">
        <f>IF(Notenbogen!B33&lt;&gt;"", Notenbogen!B33, "")</f>
        <v/>
      </c>
      <c r="C35" s="145"/>
      <c r="D35" s="145"/>
      <c r="E35" s="130"/>
      <c r="F35" s="4" t="str">
        <f>'Eingabe Abitur'!Q69</f>
        <v/>
      </c>
      <c r="G35" s="484" t="str">
        <f>'Eingabe Abitur'!R69</f>
        <v/>
      </c>
      <c r="H35" s="4" t="str">
        <f>'Eingabe Abitur'!X69</f>
        <v/>
      </c>
      <c r="I35" s="474" t="str">
        <f t="shared" si="0"/>
        <v/>
      </c>
      <c r="J35" s="130" t="str">
        <f>IF(OR(COUNT(C35:E35)=0,I35=""),"",IF(#REF!="BOS", ROUNDUP((I35*2+SUM(AP!C35:E35))/(2+COUNT(AP!C35:E35)),2),ROUNDUP((I35*3+SUM(AP!C35:E35))/(3+COUNT(AP!C35:E35)),2)))</f>
        <v/>
      </c>
      <c r="K35" s="475" t="str">
        <f t="shared" si="1"/>
        <v/>
      </c>
    </row>
    <row r="36" spans="1:11" x14ac:dyDescent="0.2">
      <c r="A36" s="388">
        <f>I1SA!A34</f>
        <v>31</v>
      </c>
      <c r="B36" s="145" t="str">
        <f>IF(Notenbogen!B34&lt;&gt;"", Notenbogen!B34, "")</f>
        <v/>
      </c>
      <c r="C36" s="145"/>
      <c r="D36" s="145"/>
      <c r="E36" s="130"/>
      <c r="F36" s="4" t="str">
        <f>'Eingabe Abitur'!Q71</f>
        <v/>
      </c>
      <c r="G36" s="484" t="str">
        <f>'Eingabe Abitur'!R71</f>
        <v/>
      </c>
      <c r="H36" s="4" t="str">
        <f>'Eingabe Abitur'!X71</f>
        <v/>
      </c>
      <c r="I36" s="474" t="str">
        <f t="shared" si="0"/>
        <v/>
      </c>
      <c r="J36" s="130" t="str">
        <f>IF(OR(COUNT(C36:E36)=0,I36=""),"",IF(#REF!="BOS", ROUNDUP((I36*2+SUM(AP!C36:E36))/(2+COUNT(AP!C36:E36)),2),ROUNDUP((I36*3+SUM(AP!C36:E36))/(3+COUNT(AP!C36:E36)),2)))</f>
        <v/>
      </c>
      <c r="K36" s="475" t="str">
        <f t="shared" si="1"/>
        <v/>
      </c>
    </row>
    <row r="37" spans="1:11" x14ac:dyDescent="0.2">
      <c r="A37" s="388">
        <f>I1SA!A35</f>
        <v>32</v>
      </c>
      <c r="B37" s="145" t="str">
        <f>IF(Notenbogen!B35&lt;&gt;"", Notenbogen!B35, "")</f>
        <v/>
      </c>
      <c r="C37" s="145"/>
      <c r="D37" s="145"/>
      <c r="E37" s="130"/>
      <c r="F37" s="4" t="str">
        <f>'Eingabe Abitur'!Q73</f>
        <v/>
      </c>
      <c r="G37" s="484" t="str">
        <f>'Eingabe Abitur'!R73</f>
        <v/>
      </c>
      <c r="H37" s="4" t="str">
        <f>'Eingabe Abitur'!X73</f>
        <v/>
      </c>
      <c r="I37" s="474" t="str">
        <f t="shared" si="0"/>
        <v/>
      </c>
      <c r="J37" s="130" t="str">
        <f>IF(OR(COUNT(C37:E37)=0,I37=""),"",IF(#REF!="BOS", ROUNDUP((I37*2+SUM(AP!C37:E37))/(2+COUNT(AP!C37:E37)),2),ROUNDUP((I37*3+SUM(AP!C37:E37))/(3+COUNT(AP!C37:E37)),2)))</f>
        <v/>
      </c>
      <c r="K37" s="475" t="str">
        <f t="shared" si="1"/>
        <v/>
      </c>
    </row>
    <row r="38" spans="1:11" x14ac:dyDescent="0.2">
      <c r="A38" s="388">
        <f>I1SA!A36</f>
        <v>33</v>
      </c>
      <c r="B38" s="145" t="str">
        <f>IF(Notenbogen!B36&lt;&gt;"", Notenbogen!B36, "")</f>
        <v/>
      </c>
      <c r="C38" s="145"/>
      <c r="D38" s="145"/>
      <c r="E38" s="130"/>
      <c r="F38" s="4" t="str">
        <f>'Eingabe Abitur'!Q75</f>
        <v/>
      </c>
      <c r="G38" s="484" t="str">
        <f>'Eingabe Abitur'!R75</f>
        <v/>
      </c>
      <c r="H38" s="4" t="str">
        <f>'Eingabe Abitur'!X75</f>
        <v/>
      </c>
      <c r="I38" s="474" t="str">
        <f t="shared" si="0"/>
        <v/>
      </c>
      <c r="J38" s="130" t="str">
        <f>IF(OR(COUNT(C38:E38)=0,I38=""),"",IF(#REF!="BOS", ROUNDUP((I38*2+SUM(AP!C38:E38))/(2+COUNT(AP!C38:E38)),2),ROUNDUP((I38*3+SUM(AP!C38:E38))/(3+COUNT(AP!C38:E38)),2)))</f>
        <v/>
      </c>
      <c r="K38" s="475" t="str">
        <f t="shared" si="1"/>
        <v/>
      </c>
    </row>
    <row r="39" spans="1:11" x14ac:dyDescent="0.2">
      <c r="A39" s="388">
        <f>I1SA!A37</f>
        <v>34</v>
      </c>
      <c r="B39" s="145" t="str">
        <f>IF(Notenbogen!B37&lt;&gt;"", Notenbogen!B37, "")</f>
        <v/>
      </c>
      <c r="C39" s="145"/>
      <c r="D39" s="145"/>
      <c r="E39" s="130"/>
      <c r="F39" s="4" t="str">
        <f>'Eingabe Abitur'!Q77</f>
        <v/>
      </c>
      <c r="G39" s="484" t="str">
        <f>'Eingabe Abitur'!R77</f>
        <v/>
      </c>
      <c r="H39" s="4" t="str">
        <f>'Eingabe Abitur'!X77</f>
        <v/>
      </c>
      <c r="I39" s="474" t="str">
        <f t="shared" si="0"/>
        <v/>
      </c>
      <c r="J39" s="130" t="str">
        <f>IF(OR(COUNT(C39:E39)=0,I39=""),"",IF(#REF!="BOS", ROUNDUP((I39*2+SUM(AP!C39:E39))/(2+COUNT(AP!C39:E39)),2),ROUNDUP((I39*3+SUM(AP!C39:E39))/(3+COUNT(AP!C39:E39)),2)))</f>
        <v/>
      </c>
      <c r="K39" s="475" t="str">
        <f t="shared" si="1"/>
        <v/>
      </c>
    </row>
    <row r="40" spans="1:11" ht="13.5" thickBot="1" x14ac:dyDescent="0.25">
      <c r="A40" s="388">
        <f>I1SA!A38</f>
        <v>35</v>
      </c>
      <c r="B40" s="145" t="str">
        <f>IF(Notenbogen!B38&lt;&gt;"", Notenbogen!B38, "")</f>
        <v/>
      </c>
      <c r="C40" s="145"/>
      <c r="D40" s="145"/>
      <c r="E40" s="130"/>
      <c r="F40" s="4" t="str">
        <f>'Eingabe Abitur'!Q79</f>
        <v/>
      </c>
      <c r="G40" s="484" t="str">
        <f>'Eingabe Abitur'!R79</f>
        <v/>
      </c>
      <c r="H40" s="4" t="str">
        <f>'Eingabe Abitur'!X79</f>
        <v/>
      </c>
      <c r="I40" s="474" t="str">
        <f t="shared" si="0"/>
        <v/>
      </c>
      <c r="J40" s="476" t="str">
        <f>IF(OR(COUNT(C40:E40)=0,I40=""),"",IF(#REF!="BOS", ROUNDUP((I40*2+SUM(AP!C40:E40))/(2+COUNT(AP!C40:E40)),2),ROUNDUP((I40*3+SUM(AP!C40:E40))/(3+COUNT(AP!C40:E40)),2)))</f>
        <v/>
      </c>
      <c r="K40" s="477" t="str">
        <f t="shared" si="1"/>
        <v/>
      </c>
    </row>
    <row r="41" spans="1:11" x14ac:dyDescent="0.2">
      <c r="B41" s="1" t="s">
        <v>68</v>
      </c>
      <c r="E41" s="134" t="e">
        <f>AVERAGE(C6:E40)</f>
        <v>#DIV/0!</v>
      </c>
      <c r="G41" s="134" t="e">
        <f>AVERAGE(G6:G40)</f>
        <v>#DIV/0!</v>
      </c>
      <c r="H41" s="134" t="e">
        <f>AVERAGE(H6:H40)</f>
        <v>#DIV/0!</v>
      </c>
      <c r="I41" s="478" t="e">
        <f>AVERAGE(I6:I40)</f>
        <v>#DIV/0!</v>
      </c>
      <c r="K41" s="478" t="e">
        <f>AVERAGE(K6:K40)</f>
        <v>#DIV/0!</v>
      </c>
    </row>
    <row r="42" spans="1:11" ht="13.5" thickBot="1" x14ac:dyDescent="0.25">
      <c r="B42" s="1" t="s">
        <v>48</v>
      </c>
      <c r="E42" s="109" t="s">
        <v>19</v>
      </c>
    </row>
    <row r="43" spans="1:11" ht="13.5" thickBot="1" x14ac:dyDescent="0.25">
      <c r="B43" s="1" t="s">
        <v>62</v>
      </c>
      <c r="E43" s="120" t="s">
        <v>143</v>
      </c>
      <c r="G43" s="515" t="s">
        <v>66</v>
      </c>
      <c r="H43" s="515"/>
      <c r="I43" s="515"/>
      <c r="J43" s="386"/>
    </row>
    <row r="44" spans="1:11" x14ac:dyDescent="0.2">
      <c r="B44" s="1" t="s">
        <v>63</v>
      </c>
      <c r="E44" s="121">
        <f>+IF('Eingabe Abitur'!Q10&gt;0,'Eingabe Abitur'!Q10,60)</f>
        <v>60</v>
      </c>
      <c r="F44" s="112" t="s">
        <v>64</v>
      </c>
      <c r="G44" s="14">
        <v>34</v>
      </c>
      <c r="H44" s="112" t="s">
        <v>65</v>
      </c>
      <c r="I44" s="14">
        <v>49</v>
      </c>
      <c r="J44" s="192"/>
    </row>
    <row r="45" spans="1:11" x14ac:dyDescent="0.2">
      <c r="G45" s="119"/>
      <c r="H45" s="110"/>
      <c r="I45" s="119"/>
      <c r="J45" s="119"/>
    </row>
    <row r="46" spans="1:11" x14ac:dyDescent="0.2">
      <c r="G46" s="119"/>
      <c r="I46" s="119"/>
      <c r="J46" s="119"/>
    </row>
    <row r="47" spans="1:11" x14ac:dyDescent="0.2">
      <c r="G47" s="119"/>
      <c r="H47" s="135"/>
    </row>
    <row r="48" spans="1:11" x14ac:dyDescent="0.2">
      <c r="G48" s="119"/>
      <c r="H48" s="135"/>
    </row>
    <row r="49" spans="5:12" x14ac:dyDescent="0.2">
      <c r="E49" s="132" t="s">
        <v>32</v>
      </c>
      <c r="F49" s="132" t="s">
        <v>33</v>
      </c>
      <c r="G49" s="132" t="s">
        <v>18</v>
      </c>
      <c r="H49" s="135" t="s">
        <v>5</v>
      </c>
      <c r="I49" s="1" t="s">
        <v>17</v>
      </c>
      <c r="K49" s="1" t="s">
        <v>5</v>
      </c>
      <c r="L49" s="1" t="s">
        <v>17</v>
      </c>
    </row>
    <row r="50" spans="5:12" x14ac:dyDescent="0.2">
      <c r="E50" s="224">
        <f>+NB!W804</f>
        <v>60</v>
      </c>
      <c r="F50" s="225">
        <f>+NB!X804</f>
        <v>57</v>
      </c>
      <c r="G50" s="226">
        <f>+NB!Y804</f>
        <v>15</v>
      </c>
      <c r="H50" s="228">
        <f>COUNTIF(G$6:G$40,15)</f>
        <v>0</v>
      </c>
      <c r="I50" s="235" t="e">
        <f>+H50/(SUM($H$50:$H$65))</f>
        <v>#DIV/0!</v>
      </c>
      <c r="J50" s="231"/>
      <c r="K50" s="82"/>
      <c r="L50" s="82"/>
    </row>
    <row r="51" spans="5:12" x14ac:dyDescent="0.2">
      <c r="E51" s="45">
        <f>+NB!W805</f>
        <v>56</v>
      </c>
      <c r="F51" s="44">
        <f>+NB!X805</f>
        <v>54</v>
      </c>
      <c r="G51" s="221">
        <f>+NB!Y805</f>
        <v>14</v>
      </c>
      <c r="H51" s="133">
        <f>COUNTIF(G$6:G$40,14)</f>
        <v>0</v>
      </c>
      <c r="I51" s="236" t="e">
        <f t="shared" ref="I51:I65" si="2">+H51/(SUM($H$50:$H$65))</f>
        <v>#DIV/0!</v>
      </c>
      <c r="J51" s="232"/>
      <c r="K51" s="138">
        <f>+H50+H51+H52</f>
        <v>0</v>
      </c>
      <c r="L51" s="140" t="e">
        <f>+I50+I51+I52</f>
        <v>#DIV/0!</v>
      </c>
    </row>
    <row r="52" spans="5:12" x14ac:dyDescent="0.2">
      <c r="E52" s="222">
        <f>+NB!W806</f>
        <v>53</v>
      </c>
      <c r="F52" s="227">
        <f>+NB!X806</f>
        <v>51</v>
      </c>
      <c r="G52" s="223">
        <f>+NB!Y806</f>
        <v>13</v>
      </c>
      <c r="H52" s="229">
        <f>COUNTIF(G$6:G$40,13)</f>
        <v>0</v>
      </c>
      <c r="I52" s="236" t="e">
        <f t="shared" si="2"/>
        <v>#DIV/0!</v>
      </c>
      <c r="J52" s="233"/>
      <c r="K52" s="139"/>
      <c r="L52" s="139"/>
    </row>
    <row r="53" spans="5:12" x14ac:dyDescent="0.2">
      <c r="E53" s="45">
        <f>+NB!W807</f>
        <v>50</v>
      </c>
      <c r="F53" s="44">
        <f>+NB!X807</f>
        <v>48</v>
      </c>
      <c r="G53" s="221">
        <f>+NB!Y807</f>
        <v>12</v>
      </c>
      <c r="H53" s="228">
        <f>COUNTIF(G$6:G$40,12)</f>
        <v>0</v>
      </c>
      <c r="I53" s="235" t="e">
        <f t="shared" si="2"/>
        <v>#DIV/0!</v>
      </c>
      <c r="J53" s="231"/>
      <c r="K53" s="82"/>
      <c r="L53" s="82"/>
    </row>
    <row r="54" spans="5:12" x14ac:dyDescent="0.2">
      <c r="E54" s="45">
        <f>+NB!W808</f>
        <v>47</v>
      </c>
      <c r="F54" s="44">
        <f>+NB!X808</f>
        <v>45</v>
      </c>
      <c r="G54" s="221">
        <f>+NB!Y808</f>
        <v>11</v>
      </c>
      <c r="H54" s="133">
        <f>COUNTIF(G$6:G$40,11)</f>
        <v>0</v>
      </c>
      <c r="I54" s="236" t="e">
        <f t="shared" si="2"/>
        <v>#DIV/0!</v>
      </c>
      <c r="J54" s="232"/>
      <c r="K54" s="138">
        <f>+H53+H54+H55</f>
        <v>0</v>
      </c>
      <c r="L54" s="140" t="e">
        <f>+I53+I54+I55</f>
        <v>#DIV/0!</v>
      </c>
    </row>
    <row r="55" spans="5:12" x14ac:dyDescent="0.2">
      <c r="E55" s="45">
        <f>+NB!W809</f>
        <v>44</v>
      </c>
      <c r="F55" s="44">
        <f>+NB!X809</f>
        <v>42</v>
      </c>
      <c r="G55" s="221">
        <f>+NB!Y809</f>
        <v>10</v>
      </c>
      <c r="H55" s="229">
        <f>COUNTIF(G$6:G$40,10)</f>
        <v>0</v>
      </c>
      <c r="I55" s="237" t="e">
        <f t="shared" si="2"/>
        <v>#DIV/0!</v>
      </c>
      <c r="J55" s="233"/>
      <c r="K55" s="139"/>
      <c r="L55" s="139"/>
    </row>
    <row r="56" spans="5:12" x14ac:dyDescent="0.2">
      <c r="E56" s="224">
        <f>+NB!W810</f>
        <v>41</v>
      </c>
      <c r="F56" s="225">
        <f>+NB!X810</f>
        <v>40</v>
      </c>
      <c r="G56" s="226">
        <f>+NB!Y810</f>
        <v>9</v>
      </c>
      <c r="H56" s="228">
        <f>COUNTIF(G$6:G$40,9)</f>
        <v>0</v>
      </c>
      <c r="I56" s="236" t="e">
        <f t="shared" si="2"/>
        <v>#DIV/0!</v>
      </c>
      <c r="J56" s="231"/>
      <c r="K56" s="82"/>
      <c r="L56" s="82"/>
    </row>
    <row r="57" spans="5:12" x14ac:dyDescent="0.2">
      <c r="E57" s="45">
        <f>+NB!W811</f>
        <v>39</v>
      </c>
      <c r="F57" s="44">
        <f>+NB!X811</f>
        <v>38</v>
      </c>
      <c r="G57" s="221">
        <f>+NB!Y811</f>
        <v>8</v>
      </c>
      <c r="H57" s="133">
        <f>COUNTIF(G$6:G$40,8)</f>
        <v>0</v>
      </c>
      <c r="I57" s="236" t="e">
        <f t="shared" si="2"/>
        <v>#DIV/0!</v>
      </c>
      <c r="J57" s="232"/>
      <c r="K57" s="138">
        <f>+H56+H57+H58</f>
        <v>0</v>
      </c>
      <c r="L57" s="140" t="e">
        <f>+I56+I57+I58</f>
        <v>#DIV/0!</v>
      </c>
    </row>
    <row r="58" spans="5:12" x14ac:dyDescent="0.2">
      <c r="E58" s="222">
        <f>+NB!W812</f>
        <v>37</v>
      </c>
      <c r="F58" s="227">
        <f>+NB!X812</f>
        <v>36</v>
      </c>
      <c r="G58" s="223">
        <f>+NB!Y812</f>
        <v>7</v>
      </c>
      <c r="H58" s="229">
        <f>COUNTIF(G$6:G$40,7)</f>
        <v>0</v>
      </c>
      <c r="I58" s="236" t="e">
        <f t="shared" si="2"/>
        <v>#DIV/0!</v>
      </c>
      <c r="J58" s="233"/>
      <c r="K58" s="139"/>
      <c r="L58" s="139"/>
    </row>
    <row r="59" spans="5:12" x14ac:dyDescent="0.2">
      <c r="E59" s="45">
        <f>+NB!W813</f>
        <v>35</v>
      </c>
      <c r="F59" s="44">
        <f>+NB!X813</f>
        <v>34</v>
      </c>
      <c r="G59" s="221">
        <f>+NB!Y813</f>
        <v>6</v>
      </c>
      <c r="H59" s="228">
        <f>COUNTIF(G$6:G$40,6)</f>
        <v>0</v>
      </c>
      <c r="I59" s="235" t="e">
        <f t="shared" si="2"/>
        <v>#DIV/0!</v>
      </c>
      <c r="J59" s="231"/>
      <c r="K59" s="82"/>
      <c r="L59" s="82"/>
    </row>
    <row r="60" spans="5:12" x14ac:dyDescent="0.2">
      <c r="E60" s="45">
        <f>+NB!W814</f>
        <v>33</v>
      </c>
      <c r="F60" s="44">
        <f>+NB!X814</f>
        <v>32</v>
      </c>
      <c r="G60" s="221">
        <f>+NB!Y814</f>
        <v>5</v>
      </c>
      <c r="H60" s="133">
        <f>COUNTIF(G$6:G$40,5)</f>
        <v>0</v>
      </c>
      <c r="I60" s="236" t="e">
        <f t="shared" si="2"/>
        <v>#DIV/0!</v>
      </c>
      <c r="J60" s="232"/>
      <c r="K60" s="138">
        <f>+H59+H60+H61</f>
        <v>0</v>
      </c>
      <c r="L60" s="140" t="e">
        <f>+I59+I60+I61</f>
        <v>#DIV/0!</v>
      </c>
    </row>
    <row r="61" spans="5:12" x14ac:dyDescent="0.2">
      <c r="E61" s="45">
        <f>+NB!W815</f>
        <v>31</v>
      </c>
      <c r="F61" s="44">
        <f>+NB!X815</f>
        <v>30</v>
      </c>
      <c r="G61" s="221">
        <f>+NB!Y815</f>
        <v>4</v>
      </c>
      <c r="H61" s="229">
        <f>COUNTIF(G$6:G$40,4)</f>
        <v>0</v>
      </c>
      <c r="I61" s="237" t="e">
        <f t="shared" si="2"/>
        <v>#DIV/0!</v>
      </c>
      <c r="J61" s="233"/>
      <c r="K61" s="139"/>
      <c r="L61" s="139"/>
    </row>
    <row r="62" spans="5:12" x14ac:dyDescent="0.2">
      <c r="E62" s="224">
        <f>+NB!W816</f>
        <v>29</v>
      </c>
      <c r="F62" s="225">
        <f>+NB!X816</f>
        <v>27</v>
      </c>
      <c r="G62" s="226">
        <f>+NB!Y816</f>
        <v>3</v>
      </c>
      <c r="H62" s="228">
        <f>COUNTIF(G$6:G$40,3)</f>
        <v>0</v>
      </c>
      <c r="I62" s="236" t="e">
        <f t="shared" si="2"/>
        <v>#DIV/0!</v>
      </c>
      <c r="J62" s="231"/>
      <c r="K62" s="82"/>
      <c r="L62" s="82"/>
    </row>
    <row r="63" spans="5:12" x14ac:dyDescent="0.2">
      <c r="E63" s="45">
        <f>+NB!W817</f>
        <v>26</v>
      </c>
      <c r="F63" s="44">
        <f>+NB!X817</f>
        <v>24</v>
      </c>
      <c r="G63" s="221">
        <f>+NB!Y817</f>
        <v>2</v>
      </c>
      <c r="H63" s="133">
        <f>COUNTIF(G$6:G$40,2)</f>
        <v>0</v>
      </c>
      <c r="I63" s="236" t="e">
        <f t="shared" si="2"/>
        <v>#DIV/0!</v>
      </c>
      <c r="J63" s="232"/>
      <c r="K63" s="138">
        <f>+H62+H63+H64</f>
        <v>0</v>
      </c>
      <c r="L63" s="140" t="e">
        <f>+I62+I63+I64</f>
        <v>#DIV/0!</v>
      </c>
    </row>
    <row r="64" spans="5:12" x14ac:dyDescent="0.2">
      <c r="E64" s="222">
        <f>+NB!W818</f>
        <v>23</v>
      </c>
      <c r="F64" s="227">
        <f>+NB!X818</f>
        <v>21</v>
      </c>
      <c r="G64" s="223">
        <f>+NB!Y818</f>
        <v>1</v>
      </c>
      <c r="H64" s="229">
        <f>COUNTIF(G$6:G$40,1)</f>
        <v>0</v>
      </c>
      <c r="I64" s="236" t="e">
        <f t="shared" si="2"/>
        <v>#DIV/0!</v>
      </c>
      <c r="J64" s="233"/>
      <c r="K64" s="139"/>
      <c r="L64" s="139"/>
    </row>
    <row r="65" spans="5:12" x14ac:dyDescent="0.2">
      <c r="E65" s="222">
        <f>+NB!W819</f>
        <v>20</v>
      </c>
      <c r="F65" s="227">
        <f>+NB!X819</f>
        <v>0</v>
      </c>
      <c r="G65" s="223">
        <f>+NB!Y819</f>
        <v>0</v>
      </c>
      <c r="H65" s="230">
        <f>COUNTIF(G$6:G$40,0)</f>
        <v>0</v>
      </c>
      <c r="I65" s="238" t="e">
        <f t="shared" si="2"/>
        <v>#DIV/0!</v>
      </c>
      <c r="J65" s="234"/>
      <c r="K65" s="388">
        <f>+H65</f>
        <v>0</v>
      </c>
      <c r="L65" s="136" t="e">
        <f>+I65</f>
        <v>#DIV/0!</v>
      </c>
    </row>
  </sheetData>
  <sheetProtection password="CC71" sheet="1" objects="1" scenarios="1" formatCells="0" formatColumns="0" formatRows="0"/>
  <mergeCells count="6">
    <mergeCell ref="J5:K5"/>
    <mergeCell ref="G43:I43"/>
    <mergeCell ref="E2:H2"/>
    <mergeCell ref="E3:H3"/>
    <mergeCell ref="C5:E5"/>
    <mergeCell ref="F5:G5"/>
  </mergeCells>
  <conditionalFormatting sqref="F6:F40">
    <cfRule type="expression" dxfId="47" priority="5" stopIfTrue="1">
      <formula>$E$42="Punkte"</formula>
    </cfRule>
    <cfRule type="expression" dxfId="46" priority="6" stopIfTrue="1">
      <formula>$E$42="BE"</formula>
    </cfRule>
  </conditionalFormatting>
  <conditionalFormatting sqref="I6:I40">
    <cfRule type="cellIs" dxfId="45" priority="7" stopIfTrue="1" operator="lessThan">
      <formula>1</formula>
    </cfRule>
    <cfRule type="cellIs" dxfId="44" priority="8" stopIfTrue="1" operator="lessThan">
      <formula>3.5</formula>
    </cfRule>
  </conditionalFormatting>
  <conditionalFormatting sqref="G6:G40">
    <cfRule type="expression" dxfId="43" priority="3" stopIfTrue="1">
      <formula>$E$42="Punkte"</formula>
    </cfRule>
    <cfRule type="expression" dxfId="42" priority="4" stopIfTrue="1">
      <formula>$E$42="BE"</formula>
    </cfRule>
  </conditionalFormatting>
  <conditionalFormatting sqref="H6:H40">
    <cfRule type="expression" dxfId="41" priority="1" stopIfTrue="1">
      <formula>$E$42="Punkte"</formula>
    </cfRule>
    <cfRule type="expression" dxfId="40" priority="2" stopIfTrue="1">
      <formula>$E$42="BE"</formula>
    </cfRule>
  </conditionalFormatting>
  <dataValidations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40" bestFit="1" customWidth="1"/>
    <col min="26" max="26" width="9.28515625" style="20" bestFit="1" customWidth="1"/>
    <col min="27" max="16384" width="11.5703125" style="15"/>
  </cols>
  <sheetData>
    <row r="1" spans="1:28" s="30" customFormat="1" ht="15.75" x14ac:dyDescent="0.25">
      <c r="A1" s="272"/>
      <c r="B1" s="53" t="s">
        <v>144</v>
      </c>
      <c r="C1" s="273"/>
      <c r="D1" s="273"/>
      <c r="E1" s="273"/>
      <c r="F1" s="271"/>
      <c r="G1" s="271"/>
      <c r="H1" s="271"/>
      <c r="I1" s="271"/>
      <c r="J1" s="271"/>
      <c r="K1" s="271"/>
      <c r="L1" s="271"/>
      <c r="M1" s="271"/>
      <c r="N1" s="271"/>
      <c r="O1" s="271"/>
      <c r="P1" s="271"/>
      <c r="Q1" s="271"/>
      <c r="R1" s="271"/>
      <c r="S1" s="271"/>
      <c r="T1" s="271"/>
      <c r="U1" s="271"/>
      <c r="V1" s="271"/>
      <c r="W1" s="271"/>
      <c r="X1" s="271"/>
      <c r="Y1" s="274"/>
      <c r="Z1" s="269"/>
    </row>
    <row r="2" spans="1:28" s="30" customFormat="1" ht="15.75" x14ac:dyDescent="0.25">
      <c r="A2" s="272"/>
      <c r="B2" s="53" t="s">
        <v>177</v>
      </c>
      <c r="C2" s="273"/>
      <c r="D2" s="273"/>
      <c r="E2" s="273"/>
      <c r="F2" s="271"/>
      <c r="G2" s="271"/>
      <c r="H2" s="271"/>
      <c r="I2" s="271"/>
      <c r="J2" s="271"/>
      <c r="K2" s="271"/>
      <c r="L2" s="271"/>
      <c r="M2" s="271"/>
      <c r="N2" s="271"/>
      <c r="O2" s="271"/>
      <c r="P2" s="271"/>
      <c r="Q2" s="271"/>
      <c r="R2" s="271"/>
      <c r="S2" s="271"/>
      <c r="T2" s="271"/>
      <c r="U2" s="271"/>
      <c r="V2" s="271"/>
      <c r="W2" s="271"/>
      <c r="X2" s="271"/>
      <c r="Y2" s="274"/>
      <c r="Z2" s="269"/>
    </row>
    <row r="3" spans="1:28" s="30" customFormat="1" ht="16.5" thickBot="1" x14ac:dyDescent="0.3">
      <c r="A3" s="272"/>
      <c r="B3" s="53" t="s">
        <v>86</v>
      </c>
      <c r="C3" s="273"/>
      <c r="D3" s="273"/>
      <c r="E3" s="273"/>
      <c r="F3" s="271"/>
      <c r="G3" s="271"/>
      <c r="H3" s="271"/>
      <c r="I3" s="271"/>
      <c r="J3" s="271"/>
      <c r="K3" s="271"/>
      <c r="L3" s="271"/>
      <c r="M3" s="271"/>
      <c r="N3" s="271"/>
      <c r="O3" s="271"/>
      <c r="P3" s="271"/>
      <c r="Q3" s="271"/>
      <c r="R3" s="271"/>
      <c r="S3" s="271"/>
      <c r="T3" s="271"/>
      <c r="U3" s="271"/>
      <c r="V3" s="271"/>
      <c r="W3" s="271"/>
      <c r="X3" s="271"/>
      <c r="Y3" s="274"/>
      <c r="Z3" s="269"/>
    </row>
    <row r="4" spans="1:28" s="30" customFormat="1" ht="16.5" thickBot="1" x14ac:dyDescent="0.3">
      <c r="A4" s="272"/>
      <c r="B4" s="275" t="str">
        <f xml:space="preserve"> "Klasse "&amp;Notenbogen!B1</f>
        <v xml:space="preserve">Klasse </v>
      </c>
      <c r="E4" s="273"/>
      <c r="F4" s="271"/>
      <c r="G4" s="271"/>
      <c r="H4" s="271"/>
      <c r="I4" s="271"/>
      <c r="J4" s="271"/>
      <c r="K4" s="271"/>
      <c r="L4" s="271"/>
      <c r="M4" s="271"/>
      <c r="N4" s="271"/>
      <c r="O4" s="271"/>
      <c r="P4" s="271"/>
      <c r="Q4" s="271"/>
      <c r="R4" s="271"/>
      <c r="S4" s="271"/>
      <c r="T4" s="271"/>
      <c r="U4" s="271"/>
      <c r="V4" s="271"/>
      <c r="W4" s="271"/>
      <c r="X4" s="271"/>
      <c r="Y4" s="274"/>
      <c r="Z4" s="269"/>
    </row>
    <row r="5" spans="1:28" ht="16.5" thickBot="1" x14ac:dyDescent="0.3">
      <c r="A5" s="272"/>
      <c r="B5" s="480" t="str">
        <f>"Lehrer: "&amp;Notenbogen!M1</f>
        <v xml:space="preserve">Lehrer: </v>
      </c>
      <c r="C5" s="479"/>
      <c r="D5" s="276"/>
      <c r="E5" s="276"/>
      <c r="F5" s="251"/>
      <c r="G5" s="251"/>
      <c r="H5" s="251"/>
      <c r="I5" s="251"/>
      <c r="J5" s="251"/>
      <c r="K5" s="271"/>
      <c r="L5" s="271"/>
      <c r="M5" s="271"/>
      <c r="N5" s="271"/>
      <c r="O5" s="271"/>
      <c r="P5" s="271"/>
      <c r="Q5" s="271"/>
      <c r="R5" s="271"/>
      <c r="S5" s="271"/>
      <c r="T5" s="271"/>
      <c r="U5" s="271"/>
      <c r="V5" s="271"/>
      <c r="W5" s="271"/>
      <c r="X5" s="271"/>
      <c r="Y5" s="274"/>
      <c r="Z5" s="269"/>
    </row>
    <row r="6" spans="1:28" x14ac:dyDescent="0.2">
      <c r="A6" s="272"/>
      <c r="B6" s="30"/>
      <c r="C6" s="568" t="s">
        <v>90</v>
      </c>
      <c r="D6" s="569"/>
      <c r="E6" s="569"/>
      <c r="F6" s="569"/>
      <c r="G6" s="569"/>
      <c r="H6" s="569"/>
      <c r="I6" s="569"/>
      <c r="J6" s="569"/>
      <c r="K6" s="569"/>
      <c r="L6" s="569"/>
      <c r="M6" s="569"/>
      <c r="N6" s="569"/>
      <c r="O6" s="569"/>
      <c r="P6" s="569"/>
      <c r="Q6" s="569"/>
      <c r="R6" s="570"/>
      <c r="S6" s="568" t="s">
        <v>91</v>
      </c>
      <c r="T6" s="569"/>
      <c r="U6" s="569"/>
      <c r="V6" s="569"/>
      <c r="W6" s="569"/>
      <c r="X6" s="570"/>
      <c r="Y6" s="571" t="s">
        <v>92</v>
      </c>
      <c r="Z6" s="572"/>
    </row>
    <row r="7" spans="1:28" x14ac:dyDescent="0.2">
      <c r="A7" s="30"/>
      <c r="B7" s="30"/>
      <c r="C7" s="573" t="s">
        <v>93</v>
      </c>
      <c r="D7" s="574"/>
      <c r="E7" s="574"/>
      <c r="F7" s="574"/>
      <c r="G7" s="574"/>
      <c r="H7" s="574"/>
      <c r="I7" s="574"/>
      <c r="J7" s="575"/>
      <c r="K7" s="576" t="s">
        <v>94</v>
      </c>
      <c r="L7" s="574"/>
      <c r="M7" s="574"/>
      <c r="N7" s="574"/>
      <c r="O7" s="574"/>
      <c r="P7" s="575"/>
      <c r="Q7" s="277"/>
      <c r="R7" s="278"/>
      <c r="S7" s="577" t="s">
        <v>95</v>
      </c>
      <c r="T7" s="578"/>
      <c r="U7" s="578"/>
      <c r="V7" s="579"/>
      <c r="W7" s="279"/>
      <c r="X7" s="278"/>
      <c r="Y7" s="280"/>
      <c r="Z7" s="281"/>
    </row>
    <row r="8" spans="1:28" x14ac:dyDescent="0.2">
      <c r="A8" s="30"/>
      <c r="B8" s="30"/>
      <c r="C8" s="282" t="s">
        <v>96</v>
      </c>
      <c r="D8" s="283" t="s">
        <v>96</v>
      </c>
      <c r="E8" s="284" t="s">
        <v>96</v>
      </c>
      <c r="F8" s="283" t="s">
        <v>96</v>
      </c>
      <c r="G8" s="284" t="s">
        <v>96</v>
      </c>
      <c r="H8" s="283" t="s">
        <v>96</v>
      </c>
      <c r="I8" s="285" t="s">
        <v>96</v>
      </c>
      <c r="J8" s="286"/>
      <c r="K8" s="576" t="s">
        <v>97</v>
      </c>
      <c r="L8" s="574"/>
      <c r="M8" s="580" t="s">
        <v>98</v>
      </c>
      <c r="N8" s="578"/>
      <c r="O8" s="579"/>
      <c r="P8" s="286"/>
      <c r="Q8" s="287"/>
      <c r="R8" s="278"/>
      <c r="S8" s="79"/>
      <c r="T8" s="288"/>
      <c r="U8" s="288"/>
      <c r="V8" s="289"/>
      <c r="W8" s="279"/>
      <c r="X8" s="278"/>
      <c r="Y8" s="280"/>
      <c r="Z8" s="281"/>
    </row>
    <row r="9" spans="1:28" x14ac:dyDescent="0.2">
      <c r="A9" s="271"/>
      <c r="B9" s="271"/>
      <c r="C9" s="290"/>
      <c r="D9" s="291"/>
      <c r="E9" s="291"/>
      <c r="F9" s="291"/>
      <c r="G9" s="291"/>
      <c r="H9" s="291"/>
      <c r="I9" s="292"/>
      <c r="J9" s="286" t="s">
        <v>99</v>
      </c>
      <c r="K9" s="270"/>
      <c r="L9" s="271"/>
      <c r="M9" s="270" t="s">
        <v>100</v>
      </c>
      <c r="N9" s="271" t="s">
        <v>101</v>
      </c>
      <c r="O9" s="241" t="s">
        <v>102</v>
      </c>
      <c r="P9" s="286" t="s">
        <v>99</v>
      </c>
      <c r="Q9" s="287" t="s">
        <v>103</v>
      </c>
      <c r="R9" s="293" t="s">
        <v>104</v>
      </c>
      <c r="S9" s="77" t="s">
        <v>105</v>
      </c>
      <c r="T9" s="271" t="s">
        <v>106</v>
      </c>
      <c r="U9" s="271" t="s">
        <v>107</v>
      </c>
      <c r="V9" s="294" t="s">
        <v>16</v>
      </c>
      <c r="W9" s="295" t="s">
        <v>108</v>
      </c>
      <c r="X9" s="296" t="s">
        <v>104</v>
      </c>
      <c r="Y9" s="280" t="s">
        <v>108</v>
      </c>
      <c r="Z9" s="297" t="s">
        <v>104</v>
      </c>
    </row>
    <row r="10" spans="1:28" ht="13.5" thickBot="1" x14ac:dyDescent="0.25">
      <c r="A10" s="57"/>
      <c r="B10" s="298" t="s">
        <v>109</v>
      </c>
      <c r="C10" s="299" t="s">
        <v>96</v>
      </c>
      <c r="D10" s="300" t="s">
        <v>96</v>
      </c>
      <c r="E10" s="300" t="s">
        <v>96</v>
      </c>
      <c r="F10" s="300" t="s">
        <v>96</v>
      </c>
      <c r="G10" s="300" t="s">
        <v>96</v>
      </c>
      <c r="H10" s="300" t="s">
        <v>96</v>
      </c>
      <c r="I10" s="301" t="s">
        <v>96</v>
      </c>
      <c r="J10" s="302">
        <f>SUM(C10:I10)</f>
        <v>0</v>
      </c>
      <c r="K10" s="303" t="s">
        <v>96</v>
      </c>
      <c r="L10" s="300" t="s">
        <v>96</v>
      </c>
      <c r="M10" s="303" t="s">
        <v>96</v>
      </c>
      <c r="N10" s="303" t="s">
        <v>96</v>
      </c>
      <c r="O10" s="303" t="s">
        <v>96</v>
      </c>
      <c r="P10" s="302">
        <f>SUM(K10:O10)</f>
        <v>0</v>
      </c>
      <c r="Q10" s="304">
        <f>ROUND(J10+P10,0)</f>
        <v>0</v>
      </c>
      <c r="R10" s="305" t="s">
        <v>110</v>
      </c>
      <c r="S10" s="306">
        <v>15</v>
      </c>
      <c r="T10" s="276">
        <v>15</v>
      </c>
      <c r="U10" s="276">
        <v>15</v>
      </c>
      <c r="V10" s="294">
        <f>SUM(S10:U10)</f>
        <v>45</v>
      </c>
      <c r="W10" s="295" t="s">
        <v>111</v>
      </c>
      <c r="X10" s="296" t="s">
        <v>111</v>
      </c>
      <c r="Y10" s="280" t="s">
        <v>67</v>
      </c>
      <c r="Z10" s="297" t="s">
        <v>67</v>
      </c>
    </row>
    <row r="11" spans="1:28" ht="12.75" customHeight="1" x14ac:dyDescent="0.2">
      <c r="A11" s="562">
        <f>Notenbogen!A4</f>
        <v>1</v>
      </c>
      <c r="B11" s="562" t="str">
        <f>IF(Notenbogen!B4="","",Notenbogen!B4)</f>
        <v/>
      </c>
      <c r="C11" s="307"/>
      <c r="D11" s="307"/>
      <c r="E11" s="307"/>
      <c r="F11" s="307"/>
      <c r="G11" s="307"/>
      <c r="H11" s="307"/>
      <c r="I11" s="308"/>
      <c r="J11" s="309" t="str">
        <f>IF(OR(B11="",COUNT(C11:I11)=0),"",SUM(C11:I11))</f>
        <v/>
      </c>
      <c r="K11" s="310"/>
      <c r="L11" s="311"/>
      <c r="M11" s="310"/>
      <c r="N11" s="312"/>
      <c r="O11" s="311"/>
      <c r="P11" s="313" t="str">
        <f>IF(OR(B11="",COUNT(K11:O11)=0),"",SUM(K11:O11))</f>
        <v/>
      </c>
      <c r="Q11" s="314" t="str">
        <f>IF(OR(B11="",COUNT(C11:I11)+COUNT(K11:O11)=0),"",ROUND(SUM(P11,J11),0))</f>
        <v/>
      </c>
      <c r="R11" s="315" t="str">
        <f>IF(Q11="","",IF(AP!$E$42="BE",VLOOKUP(Q11+0.5,NB!$V$822:$Y$837,4,TRUE),Q11))</f>
        <v/>
      </c>
      <c r="S11" s="560"/>
      <c r="T11" s="552"/>
      <c r="U11" s="554"/>
      <c r="V11" s="556" t="str">
        <f>IF(B11="","",SUM(S11:U11))</f>
        <v/>
      </c>
      <c r="W11" s="558" t="str">
        <f>IF(B11="","",IF(ISBLANK(S11),"",IF(AVERAGE(S11:U11)&lt;10,LEFT(AVERAGE(S11:U11),4),LEFT(AVERAGE(S11:U11),5))))</f>
        <v/>
      </c>
      <c r="X11" s="550" t="str">
        <f>IF(B11="","",IF(W11="","",IF(LEFT(W11,1)="0",0,ROUND(W11,0))))</f>
        <v/>
      </c>
      <c r="Y11" s="316" t="str">
        <f>IF(B11="","",ROUNDUP(AVERAGE(R11,R11,X11),2))</f>
        <v/>
      </c>
      <c r="Z11" s="317" t="str">
        <f>IF(B11="","",IF(TRUNC(Y11,0)=0,0,ROUND(Y11,0)))</f>
        <v/>
      </c>
      <c r="AB11" s="318"/>
    </row>
    <row r="12" spans="1:28" ht="13.5" customHeight="1" thickBot="1" x14ac:dyDescent="0.25">
      <c r="A12" s="563"/>
      <c r="B12" s="563"/>
      <c r="C12" s="319"/>
      <c r="D12" s="319"/>
      <c r="E12" s="319"/>
      <c r="F12" s="319"/>
      <c r="G12" s="319"/>
      <c r="H12" s="319"/>
      <c r="I12" s="319"/>
      <c r="J12" s="374" t="str">
        <f>IF(OR(B11="",COUNT(C12:I12)=0),"",SUM(C12:I12))</f>
        <v/>
      </c>
      <c r="K12" s="319"/>
      <c r="L12" s="319"/>
      <c r="M12" s="330"/>
      <c r="N12" s="319"/>
      <c r="O12" s="331"/>
      <c r="P12" s="332" t="str">
        <f>IF(OR(B11="",COUNT(K12:O12)=0),"",SUM(K12:O12))</f>
        <v/>
      </c>
      <c r="Q12" s="333" t="str">
        <f>IF(OR(B11="",COUNT(C12:I12)+COUNT(K12:O12)=0),"",ROUND(SUM(P12,J12),0))</f>
        <v/>
      </c>
      <c r="R12" s="315" t="str">
        <f>IF(Q12="","",IF(AP!$E$42="BE",VLOOKUP(Q12+0.5,NB!$V$822:$Y$837,4,TRUE),Q12))</f>
        <v/>
      </c>
      <c r="S12" s="564"/>
      <c r="T12" s="565"/>
      <c r="U12" s="566"/>
      <c r="V12" s="567"/>
      <c r="W12" s="559"/>
      <c r="X12" s="551"/>
      <c r="Y12" s="322" t="str">
        <f>IF(B11="","",ROUNDUP(AVERAGE(R12,R12,X11),2))</f>
        <v/>
      </c>
      <c r="Z12" s="321" t="str">
        <f>IF(B11="","",IF(TRUNC(Y12,0)=0,0,ROUND(Y12,0)))</f>
        <v/>
      </c>
    </row>
    <row r="13" spans="1:28" ht="12.75" customHeight="1" x14ac:dyDescent="0.2">
      <c r="A13" s="562">
        <f>Notenbogen!A5</f>
        <v>2</v>
      </c>
      <c r="B13" s="562" t="str">
        <f>IF(Notenbogen!B6="","",Notenbogen!B6)</f>
        <v/>
      </c>
      <c r="C13" s="323"/>
      <c r="D13" s="307"/>
      <c r="E13" s="307"/>
      <c r="F13" s="307"/>
      <c r="G13" s="307"/>
      <c r="H13" s="307"/>
      <c r="I13" s="307"/>
      <c r="J13" s="373" t="str">
        <f>IF(OR(B13="",COUNT(C13:I13)=0),"",SUM(C13:I13))</f>
        <v/>
      </c>
      <c r="K13" s="310"/>
      <c r="L13" s="311"/>
      <c r="M13" s="310"/>
      <c r="N13" s="312"/>
      <c r="O13" s="311"/>
      <c r="P13" s="313" t="str">
        <f>IF(OR(B13="",COUNT(K13:O13)=0),"",SUM(K13:O13))</f>
        <v/>
      </c>
      <c r="Q13" s="314" t="str">
        <f>IF(OR(B13="",COUNT(C13:I13)+COUNT(K13:O13)=0),"",ROUND(SUM(P13,J13),0))</f>
        <v/>
      </c>
      <c r="R13" s="315" t="str">
        <f>IF(Q13="","",IF(AP!$E$42="BE",VLOOKUP(Q13+0.5,NB!$V$822:$Y$837,4,TRUE),Q13))</f>
        <v/>
      </c>
      <c r="S13" s="560"/>
      <c r="T13" s="552"/>
      <c r="U13" s="554"/>
      <c r="V13" s="556" t="str">
        <f>IF(B13="","",SUM(S13:U13))</f>
        <v/>
      </c>
      <c r="W13" s="558" t="str">
        <f>IF(B13="","",IF(ISBLANK(S13),"",IF(AVERAGE(S13:U13)&lt;10,LEFT(AVERAGE(S13:U13),4),LEFT(AVERAGE(S13:U13),5))))</f>
        <v/>
      </c>
      <c r="X13" s="550" t="str">
        <f>IF(B13="","",IF(W13="","",IF(LEFT(W13,1)="0",0,ROUND(W13,0))))</f>
        <v/>
      </c>
      <c r="Y13" s="316" t="str">
        <f>IF(B13="","",ROUNDUP(AVERAGE(R13,R13,X13),2))</f>
        <v/>
      </c>
      <c r="Z13" s="317" t="str">
        <f>IF(B13="","",IF(TRUNC(Y13,0)=0,0,ROUND(Y13,0)))</f>
        <v/>
      </c>
      <c r="AA13" s="324"/>
    </row>
    <row r="14" spans="1:28" ht="13.5" customHeight="1" thickBot="1" x14ac:dyDescent="0.25">
      <c r="A14" s="563"/>
      <c r="B14" s="563"/>
      <c r="C14" s="325"/>
      <c r="D14" s="319"/>
      <c r="E14" s="319"/>
      <c r="F14" s="319"/>
      <c r="G14" s="319"/>
      <c r="H14" s="319"/>
      <c r="I14" s="319"/>
      <c r="J14" s="366" t="str">
        <f>IF(OR(B13="",COUNT(C14:I14)=0),"",SUM(C14:I14))</f>
        <v/>
      </c>
      <c r="K14" s="319"/>
      <c r="L14" s="319"/>
      <c r="M14" s="326"/>
      <c r="N14" s="319"/>
      <c r="O14" s="327"/>
      <c r="P14" s="366" t="str">
        <f>IF(OR(B13="",COUNT(K14:O14)=0),"",SUM(K14:O14))</f>
        <v/>
      </c>
      <c r="Q14" s="333" t="str">
        <f>IF(OR(B13="",COUNT(C14:I14)+COUNT(K14:O14)=0),"",ROUND(SUM(P14,J14),0))</f>
        <v/>
      </c>
      <c r="R14" s="315" t="str">
        <f>IF(Q14="","",IF(AP!$E$42="BE",VLOOKUP(Q14+0.5,NB!$V$822:$Y$837,4,TRUE),Q14))</f>
        <v/>
      </c>
      <c r="S14" s="564"/>
      <c r="T14" s="565"/>
      <c r="U14" s="566"/>
      <c r="V14" s="567"/>
      <c r="W14" s="559"/>
      <c r="X14" s="551"/>
      <c r="Y14" s="322" t="str">
        <f>IF(B13="","",ROUNDUP(AVERAGE(R14,R14,X13),2))</f>
        <v/>
      </c>
      <c r="Z14" s="321" t="str">
        <f>IF(B13="","",IF(TRUNC(Y14,0)=0,0,ROUND(Y14,0)))</f>
        <v/>
      </c>
    </row>
    <row r="15" spans="1:28" ht="12.75" customHeight="1" x14ac:dyDescent="0.2">
      <c r="A15" s="562">
        <f>Notenbogen!A7</f>
        <v>4</v>
      </c>
      <c r="B15" s="562" t="str">
        <f>IF(Notenbogen!B8="","",Notenbogen!B8)</f>
        <v/>
      </c>
      <c r="C15" s="323"/>
      <c r="D15" s="307"/>
      <c r="E15" s="307"/>
      <c r="F15" s="307"/>
      <c r="G15" s="307"/>
      <c r="H15" s="307"/>
      <c r="I15" s="307"/>
      <c r="J15" s="309" t="str">
        <f>IF(OR(B15="",COUNT(C15:I15)=0),"",SUM(C15:I15))</f>
        <v/>
      </c>
      <c r="K15" s="310"/>
      <c r="L15" s="311"/>
      <c r="M15" s="310"/>
      <c r="N15" s="312"/>
      <c r="O15" s="311"/>
      <c r="P15" s="313" t="str">
        <f>IF(OR(B15="",COUNT(K15:O15)=0),"",SUM(K15:O15))</f>
        <v/>
      </c>
      <c r="Q15" s="314" t="str">
        <f>IF(OR(B15="",COUNT(C15:I15)+COUNT(K15:O15)=0),"",ROUND(SUM(P15,J15),0))</f>
        <v/>
      </c>
      <c r="R15" s="315" t="str">
        <f>IF(Q15="","",IF(AP!$E$42="BE",VLOOKUP(Q15+0.5,NB!$V$822:$Y$837,4,TRUE),Q15))</f>
        <v/>
      </c>
      <c r="S15" s="560"/>
      <c r="T15" s="552"/>
      <c r="U15" s="554"/>
      <c r="V15" s="556" t="str">
        <f>IF(B15="","",SUM(S15:U15))</f>
        <v/>
      </c>
      <c r="W15" s="558" t="str">
        <f>IF(B15="","",IF(ISBLANK(S15),"",IF(AVERAGE(S15:U15)&lt;10,LEFT(AVERAGE(S15:U15),4),LEFT(AVERAGE(S15:U15),5))))</f>
        <v/>
      </c>
      <c r="X15" s="550" t="str">
        <f>IF(B15="","",IF(W15="","",IF(LEFT(W15,1)="0",0,ROUND(W15,0))))</f>
        <v/>
      </c>
      <c r="Y15" s="316" t="str">
        <f>IF(B15="","",ROUNDUP(AVERAGE(R15,R15,X15),2))</f>
        <v/>
      </c>
      <c r="Z15" s="317" t="str">
        <f>IF(B15="","",IF(TRUNC(Y15,0)=0,0,ROUND(Y15,0)))</f>
        <v/>
      </c>
    </row>
    <row r="16" spans="1:28" ht="13.5" customHeight="1" thickBot="1" x14ac:dyDescent="0.25">
      <c r="A16" s="563"/>
      <c r="B16" s="563"/>
      <c r="C16" s="325"/>
      <c r="D16" s="319"/>
      <c r="E16" s="319"/>
      <c r="F16" s="319"/>
      <c r="G16" s="319"/>
      <c r="H16" s="319"/>
      <c r="I16" s="319"/>
      <c r="J16" s="375" t="str">
        <f>IF(OR(B15="",COUNT(C16:I16)=0),"",SUM(C16:I16))</f>
        <v/>
      </c>
      <c r="K16" s="319"/>
      <c r="L16" s="319"/>
      <c r="M16" s="326"/>
      <c r="N16" s="319"/>
      <c r="O16" s="327"/>
      <c r="P16" s="366" t="str">
        <f>IF(OR(B15="",COUNT(K16:O16)=0),"",SUM(K16:O16))</f>
        <v/>
      </c>
      <c r="Q16" s="333" t="str">
        <f>IF(OR(B15="",COUNT(C16:I16)+COUNT(K16:O16)=0),"",ROUND(SUM(P16,J16),0))</f>
        <v/>
      </c>
      <c r="R16" s="315" t="str">
        <f>IF(Q16="","",IF(AP!$E$42="BE",VLOOKUP(Q16+0.5,NB!$V$822:$Y$837,4,TRUE),Q16))</f>
        <v/>
      </c>
      <c r="S16" s="564"/>
      <c r="T16" s="565"/>
      <c r="U16" s="566"/>
      <c r="V16" s="567"/>
      <c r="W16" s="559"/>
      <c r="X16" s="551"/>
      <c r="Y16" s="322" t="str">
        <f>IF(B15="","",ROUNDUP(AVERAGE(R16,R16,X15),2))</f>
        <v/>
      </c>
      <c r="Z16" s="321" t="str">
        <f>IF(B15="","",IF(TRUNC(Y16,0)=0,0,ROUND(Y16,0)))</f>
        <v/>
      </c>
    </row>
    <row r="17" spans="1:26" ht="12.75" customHeight="1" x14ac:dyDescent="0.2">
      <c r="A17" s="562">
        <f>Notenbogen!A9</f>
        <v>6</v>
      </c>
      <c r="B17" s="562" t="str">
        <f>IF(Notenbogen!B10="","",Notenbogen!B10)</f>
        <v/>
      </c>
      <c r="C17" s="323"/>
      <c r="D17" s="307"/>
      <c r="E17" s="307"/>
      <c r="F17" s="307"/>
      <c r="G17" s="307"/>
      <c r="H17" s="307"/>
      <c r="I17" s="307"/>
      <c r="J17" s="309" t="str">
        <f>IF(OR(B17="",COUNT(C17:I17)=0),"",SUM(C17:I17))</f>
        <v/>
      </c>
      <c r="K17" s="310"/>
      <c r="L17" s="311"/>
      <c r="M17" s="310"/>
      <c r="N17" s="312"/>
      <c r="O17" s="311"/>
      <c r="P17" s="313" t="str">
        <f>IF(OR(B17="",COUNT(K17:O17)=0),"",SUM(K17:O17))</f>
        <v/>
      </c>
      <c r="Q17" s="314" t="str">
        <f>IF(OR(B17="",COUNT(C17:I17)+COUNT(K17:O17)=0),"",ROUND(SUM(P17,J17),0))</f>
        <v/>
      </c>
      <c r="R17" s="315" t="str">
        <f>IF(Q17="","",IF(AP!$E$42="BE",VLOOKUP(Q17+0.5,NB!$V$822:$Y$837,4,TRUE),Q17))</f>
        <v/>
      </c>
      <c r="S17" s="560"/>
      <c r="T17" s="552"/>
      <c r="U17" s="554"/>
      <c r="V17" s="556" t="str">
        <f>IF(B17="","",SUM(S17:U17))</f>
        <v/>
      </c>
      <c r="W17" s="558" t="str">
        <f>IF(B17="","",IF(ISBLANK(S17),"",IF(AVERAGE(S17:U17)&lt;10,LEFT(AVERAGE(S17:U17),4),LEFT(AVERAGE(S17:U17),5))))</f>
        <v/>
      </c>
      <c r="X17" s="550" t="str">
        <f>IF(B17="","",IF(W17="","",IF(LEFT(W17,1)="0",0,ROUND(W17,0))))</f>
        <v/>
      </c>
      <c r="Y17" s="316" t="str">
        <f>IF(B17="","",ROUNDUP(AVERAGE(R17,R17,X17),2))</f>
        <v/>
      </c>
      <c r="Z17" s="317" t="str">
        <f>IF(B17="","",IF(TRUNC(Y17,0)=0,0,ROUND(Y17,0)))</f>
        <v/>
      </c>
    </row>
    <row r="18" spans="1:26" ht="13.5" customHeight="1" thickBot="1" x14ac:dyDescent="0.25">
      <c r="A18" s="563"/>
      <c r="B18" s="563"/>
      <c r="C18" s="325"/>
      <c r="D18" s="319"/>
      <c r="E18" s="319"/>
      <c r="F18" s="319"/>
      <c r="G18" s="319"/>
      <c r="H18" s="319"/>
      <c r="I18" s="319"/>
      <c r="J18" s="375" t="str">
        <f>IF(OR(B17="",COUNT(C18:I18)=0),"",SUM(C18:I18))</f>
        <v/>
      </c>
      <c r="K18" s="319"/>
      <c r="L18" s="319"/>
      <c r="M18" s="326"/>
      <c r="N18" s="319"/>
      <c r="O18" s="327"/>
      <c r="P18" s="366" t="str">
        <f>IF(OR(B17="",COUNT(K18:O18)=0),"",SUM(K18:O18))</f>
        <v/>
      </c>
      <c r="Q18" s="333" t="str">
        <f>IF(OR(B17="",COUNT(C18:I18)+COUNT(K18:O18)=0),"",ROUND(SUM(P18,J18),0))</f>
        <v/>
      </c>
      <c r="R18" s="315" t="str">
        <f>IF(Q18="","",IF(AP!$E$42="BE",VLOOKUP(Q18+0.5,NB!$V$822:$Y$837,4,TRUE),Q18))</f>
        <v/>
      </c>
      <c r="S18" s="564"/>
      <c r="T18" s="565"/>
      <c r="U18" s="566"/>
      <c r="V18" s="567"/>
      <c r="W18" s="559"/>
      <c r="X18" s="551"/>
      <c r="Y18" s="322" t="str">
        <f>IF(B17="","",ROUNDUP(AVERAGE(R18,R18,X17),2))</f>
        <v/>
      </c>
      <c r="Z18" s="321" t="str">
        <f>IF(B17="","",IF(TRUNC(Y18,0)=0,0,ROUND(Y18,0)))</f>
        <v/>
      </c>
    </row>
    <row r="19" spans="1:26" ht="12.75" customHeight="1" x14ac:dyDescent="0.2">
      <c r="A19" s="562">
        <f>Notenbogen!A11</f>
        <v>8</v>
      </c>
      <c r="B19" s="562" t="str">
        <f>IF(Notenbogen!B12="","",Notenbogen!B12)</f>
        <v/>
      </c>
      <c r="C19" s="323"/>
      <c r="D19" s="307"/>
      <c r="E19" s="307"/>
      <c r="F19" s="307"/>
      <c r="G19" s="307"/>
      <c r="H19" s="307"/>
      <c r="I19" s="307"/>
      <c r="J19" s="373" t="str">
        <f>IF(OR(B19="",COUNT(C19:I19)=0),"",SUM(C19:I19))</f>
        <v/>
      </c>
      <c r="K19" s="310"/>
      <c r="L19" s="311"/>
      <c r="M19" s="310"/>
      <c r="N19" s="312"/>
      <c r="O19" s="311"/>
      <c r="P19" s="313" t="str">
        <f>IF(OR(B19="",COUNT(K19:O19)=0),"",SUM(K19:O19))</f>
        <v/>
      </c>
      <c r="Q19" s="314" t="str">
        <f>IF(OR(B19="",COUNT(C19:I19)+COUNT(K19:O19)=0),"",ROUND(SUM(P19,J19),0))</f>
        <v/>
      </c>
      <c r="R19" s="315" t="str">
        <f>IF(Q19="","",IF(AP!$E$42="BE",VLOOKUP(Q19+0.5,NB!$V$822:$Y$837,4,TRUE),Q19))</f>
        <v/>
      </c>
      <c r="S19" s="560"/>
      <c r="T19" s="552"/>
      <c r="U19" s="554"/>
      <c r="V19" s="556" t="str">
        <f>IF(B19="","",SUM(S19:U19))</f>
        <v/>
      </c>
      <c r="W19" s="558" t="str">
        <f>IF(B19="","",IF(ISBLANK(S19),"",IF(AVERAGE(S19:U19)&lt;10,LEFT(AVERAGE(S19:U19),4),LEFT(AVERAGE(S19:U19),5))))</f>
        <v/>
      </c>
      <c r="X19" s="550" t="str">
        <f>IF(B19="","",IF(W19="","",IF(LEFT(W19,1)="0",0,ROUND(W19,0))))</f>
        <v/>
      </c>
      <c r="Y19" s="316" t="str">
        <f>IF(B19="","",ROUNDUP(AVERAGE(R19,R19,X19),2))</f>
        <v/>
      </c>
      <c r="Z19" s="317" t="str">
        <f>IF(B19="","",IF(TRUNC(Y19,0)=0,0,ROUND(Y19,0)))</f>
        <v/>
      </c>
    </row>
    <row r="20" spans="1:26" ht="13.5" customHeight="1" thickBot="1" x14ac:dyDescent="0.25">
      <c r="A20" s="563"/>
      <c r="B20" s="563"/>
      <c r="C20" s="325"/>
      <c r="D20" s="319"/>
      <c r="E20" s="319"/>
      <c r="F20" s="319"/>
      <c r="G20" s="319"/>
      <c r="H20" s="319"/>
      <c r="I20" s="319"/>
      <c r="J20" s="366" t="str">
        <f>IF(OR(B19="",COUNT(C20:I20)=0),"",SUM(C20:I20))</f>
        <v/>
      </c>
      <c r="K20" s="319"/>
      <c r="L20" s="319"/>
      <c r="M20" s="326"/>
      <c r="N20" s="319"/>
      <c r="O20" s="327"/>
      <c r="P20" s="366" t="str">
        <f>IF(OR(B19="",COUNT(K20:O20)=0),"",SUM(K20:O20))</f>
        <v/>
      </c>
      <c r="Q20" s="333" t="str">
        <f>IF(OR(B19="",COUNT(C20:I20)+COUNT(K20:O20)=0),"",ROUND(SUM(P20,J20),0))</f>
        <v/>
      </c>
      <c r="R20" s="315" t="str">
        <f>IF(Q20="","",IF(AP!$E$42="BE",VLOOKUP(Q20+0.5,NB!$V$822:$Y$837,4,TRUE),Q20))</f>
        <v/>
      </c>
      <c r="S20" s="564"/>
      <c r="T20" s="565"/>
      <c r="U20" s="566"/>
      <c r="V20" s="567"/>
      <c r="W20" s="559"/>
      <c r="X20" s="551"/>
      <c r="Y20" s="322" t="str">
        <f>IF(B19="","",ROUNDUP(AVERAGE(R20,R20,X19),2))</f>
        <v/>
      </c>
      <c r="Z20" s="321" t="str">
        <f>IF(B19="","",IF(TRUNC(Y20,0)=0,0,ROUND(Y20,0)))</f>
        <v/>
      </c>
    </row>
    <row r="21" spans="1:26" ht="12.75" customHeight="1" x14ac:dyDescent="0.2">
      <c r="A21" s="562">
        <f>Notenbogen!A13</f>
        <v>10</v>
      </c>
      <c r="B21" s="562" t="str">
        <f>IF(Notenbogen!B14="","",Notenbogen!B14)</f>
        <v/>
      </c>
      <c r="C21" s="323"/>
      <c r="D21" s="307"/>
      <c r="E21" s="307"/>
      <c r="F21" s="307"/>
      <c r="G21" s="307"/>
      <c r="H21" s="307"/>
      <c r="I21" s="307"/>
      <c r="J21" s="373" t="str">
        <f>IF(OR(B21="",COUNT(C21:I21)=0),"",SUM(C21:I21))</f>
        <v/>
      </c>
      <c r="K21" s="310"/>
      <c r="L21" s="311"/>
      <c r="M21" s="310"/>
      <c r="N21" s="312"/>
      <c r="O21" s="311"/>
      <c r="P21" s="313" t="str">
        <f>IF(OR(B21="",COUNT(K21:O21)=0),"",SUM(K21:O21))</f>
        <v/>
      </c>
      <c r="Q21" s="314" t="str">
        <f>IF(OR(B21="",COUNT(C21:I21)+COUNT(K21:O21)=0),"",ROUND(SUM(P21,J21),0))</f>
        <v/>
      </c>
      <c r="R21" s="315" t="str">
        <f>IF(Q21="","",IF(AP!$E$42="BE",VLOOKUP(Q21+0.5,NB!$V$822:$Y$837,4,TRUE),Q21))</f>
        <v/>
      </c>
      <c r="S21" s="560"/>
      <c r="T21" s="552"/>
      <c r="U21" s="554"/>
      <c r="V21" s="556" t="str">
        <f>IF(B21="","",SUM(S21:U21))</f>
        <v/>
      </c>
      <c r="W21" s="558" t="str">
        <f>IF(B21="","",IF(ISBLANK(S21),"",IF(AVERAGE(S21:U21)&lt;10,LEFT(AVERAGE(S21:U21),4),LEFT(AVERAGE(S21:U21),5))))</f>
        <v/>
      </c>
      <c r="X21" s="550" t="str">
        <f>IF(B21="","",IF(W21="","",IF(LEFT(W21,1)="0",0,ROUND(W21,0))))</f>
        <v/>
      </c>
      <c r="Y21" s="316" t="str">
        <f>IF(B21="","",ROUNDUP(AVERAGE(R21,R21,X21),2))</f>
        <v/>
      </c>
      <c r="Z21" s="317" t="str">
        <f>IF(B21="","",IF(TRUNC(Y21,0)=0,0,ROUND(Y21,0)))</f>
        <v/>
      </c>
    </row>
    <row r="22" spans="1:26" ht="13.5" customHeight="1" thickBot="1" x14ac:dyDescent="0.25">
      <c r="A22" s="563"/>
      <c r="B22" s="563"/>
      <c r="C22" s="325"/>
      <c r="D22" s="319"/>
      <c r="E22" s="319"/>
      <c r="F22" s="319"/>
      <c r="G22" s="319"/>
      <c r="H22" s="319"/>
      <c r="I22" s="319"/>
      <c r="J22" s="366" t="str">
        <f>IF(OR(B21="",COUNT(C22:I22)=0),"",SUM(C22:I22))</f>
        <v/>
      </c>
      <c r="K22" s="319"/>
      <c r="L22" s="319"/>
      <c r="M22" s="326"/>
      <c r="N22" s="319"/>
      <c r="O22" s="327"/>
      <c r="P22" s="366" t="str">
        <f>IF(OR(B21="",COUNT(K22:O22)=0),"",SUM(K22:O22))</f>
        <v/>
      </c>
      <c r="Q22" s="333" t="str">
        <f>IF(OR(B21="",COUNT(C22:I22)+COUNT(K22:O22)=0),"",ROUND(SUM(P22,J22),0))</f>
        <v/>
      </c>
      <c r="R22" s="315" t="str">
        <f>IF(Q22="","",IF(AP!$E$42="BE",VLOOKUP(Q22+0.5,NB!$V$822:$Y$837,4,TRUE),Q22))</f>
        <v/>
      </c>
      <c r="S22" s="564"/>
      <c r="T22" s="565"/>
      <c r="U22" s="566"/>
      <c r="V22" s="567"/>
      <c r="W22" s="559"/>
      <c r="X22" s="551"/>
      <c r="Y22" s="322" t="str">
        <f>IF(B21="","",ROUNDUP(AVERAGE(R22,R22,X21),2))</f>
        <v/>
      </c>
      <c r="Z22" s="321" t="str">
        <f>IF(B21="","",IF(TRUNC(Y22,0)=0,0,ROUND(Y22,0)))</f>
        <v/>
      </c>
    </row>
    <row r="23" spans="1:26" ht="12.75" customHeight="1" x14ac:dyDescent="0.2">
      <c r="A23" s="562">
        <f>Notenbogen!A15</f>
        <v>12</v>
      </c>
      <c r="B23" s="562" t="str">
        <f>IF(Notenbogen!B16="","",Notenbogen!B16)</f>
        <v/>
      </c>
      <c r="C23" s="323"/>
      <c r="D23" s="307"/>
      <c r="E23" s="307"/>
      <c r="F23" s="307"/>
      <c r="G23" s="307"/>
      <c r="H23" s="307"/>
      <c r="I23" s="307"/>
      <c r="J23" s="373" t="str">
        <f>IF(OR(B23="",COUNT(C23:I23)=0),"",SUM(C23:I23))</f>
        <v/>
      </c>
      <c r="K23" s="310"/>
      <c r="L23" s="311"/>
      <c r="M23" s="310"/>
      <c r="N23" s="312"/>
      <c r="O23" s="311"/>
      <c r="P23" s="313" t="str">
        <f>IF(OR(B23="",COUNT(K23:O23)=0),"",SUM(K23:O23))</f>
        <v/>
      </c>
      <c r="Q23" s="314" t="str">
        <f>IF(OR(B23="",COUNT(C23:I23)+COUNT(K23:O23)=0),"",ROUND(SUM(P23,J23),0))</f>
        <v/>
      </c>
      <c r="R23" s="315" t="str">
        <f>IF(Q23="","",IF(AP!$E$42="BE",VLOOKUP(Q23+0.5,NB!$V$822:$Y$837,4,TRUE),Q23))</f>
        <v/>
      </c>
      <c r="S23" s="560"/>
      <c r="T23" s="552"/>
      <c r="U23" s="554"/>
      <c r="V23" s="556" t="str">
        <f>IF(B23="","",SUM(S23:U23))</f>
        <v/>
      </c>
      <c r="W23" s="558" t="str">
        <f>IF(B23="","",IF(ISBLANK(S23),"",IF(AVERAGE(S23:U23)&lt;10,LEFT(AVERAGE(S23:U23),4),LEFT(AVERAGE(S23:U23),5))))</f>
        <v/>
      </c>
      <c r="X23" s="550" t="str">
        <f>IF(B23="","",IF(W23="","",IF(LEFT(W23,1)="0",0,ROUND(W23,0))))</f>
        <v/>
      </c>
      <c r="Y23" s="316" t="str">
        <f>IF(B23="","",ROUNDUP(AVERAGE(R23,R23,X23),2))</f>
        <v/>
      </c>
      <c r="Z23" s="317" t="str">
        <f>IF(B23="","",IF(TRUNC(Y23,0)=0,0,ROUND(Y23,0)))</f>
        <v/>
      </c>
    </row>
    <row r="24" spans="1:26" ht="13.5" customHeight="1" thickBot="1" x14ac:dyDescent="0.25">
      <c r="A24" s="563"/>
      <c r="B24" s="563"/>
      <c r="C24" s="325"/>
      <c r="D24" s="319"/>
      <c r="E24" s="319"/>
      <c r="F24" s="319"/>
      <c r="G24" s="319"/>
      <c r="H24" s="319"/>
      <c r="I24" s="319"/>
      <c r="J24" s="366" t="str">
        <f>IF(OR(B23="",COUNT(C24:I24)=0),"",SUM(C24:I24))</f>
        <v/>
      </c>
      <c r="K24" s="319"/>
      <c r="L24" s="319"/>
      <c r="M24" s="326"/>
      <c r="N24" s="319"/>
      <c r="O24" s="327"/>
      <c r="P24" s="366" t="str">
        <f>IF(OR(B23="",COUNT(K24:O24)=0),"",SUM(K24:O24))</f>
        <v/>
      </c>
      <c r="Q24" s="333" t="str">
        <f>IF(OR(B23="",COUNT(C24:I24)+COUNT(K24:O24)=0),"",ROUND(SUM(P24,J24),0))</f>
        <v/>
      </c>
      <c r="R24" s="315" t="str">
        <f>IF(Q24="","",IF(AP!$E$42="BE",VLOOKUP(Q24+0.5,NB!$V$822:$Y$837,4,TRUE),Q24))</f>
        <v/>
      </c>
      <c r="S24" s="564"/>
      <c r="T24" s="565"/>
      <c r="U24" s="566"/>
      <c r="V24" s="567"/>
      <c r="W24" s="559"/>
      <c r="X24" s="551"/>
      <c r="Y24" s="322" t="str">
        <f>IF(B23="","",ROUNDUP(AVERAGE(R24,R24,X23),2))</f>
        <v/>
      </c>
      <c r="Z24" s="321" t="str">
        <f>IF(B23="","",IF(TRUNC(Y24,0)=0,0,ROUND(Y24,0)))</f>
        <v/>
      </c>
    </row>
    <row r="25" spans="1:26" ht="12.75" customHeight="1" x14ac:dyDescent="0.2">
      <c r="A25" s="562">
        <f>Notenbogen!A17</f>
        <v>14</v>
      </c>
      <c r="B25" s="562" t="str">
        <f>IF(Notenbogen!B18="","",Notenbogen!B18)</f>
        <v/>
      </c>
      <c r="C25" s="323"/>
      <c r="D25" s="307"/>
      <c r="E25" s="307"/>
      <c r="F25" s="307"/>
      <c r="G25" s="307"/>
      <c r="H25" s="307"/>
      <c r="I25" s="307"/>
      <c r="J25" s="373" t="str">
        <f>IF(OR(B25="",COUNT(C25:I25)=0),"",SUM(C25:I25))</f>
        <v/>
      </c>
      <c r="K25" s="310"/>
      <c r="L25" s="311"/>
      <c r="M25" s="310"/>
      <c r="N25" s="312"/>
      <c r="O25" s="311"/>
      <c r="P25" s="313" t="str">
        <f>IF(OR(B25="",COUNT(K25:O25)=0),"",SUM(K25:O25))</f>
        <v/>
      </c>
      <c r="Q25" s="314" t="str">
        <f>IF(OR(B25="",COUNT(C25:I25)+COUNT(K25:O25)=0),"",ROUND(SUM(P25,J25),0))</f>
        <v/>
      </c>
      <c r="R25" s="315" t="str">
        <f>IF(Q25="","",IF(AP!$E$42="BE",VLOOKUP(Q25+0.5,NB!$V$822:$Y$837,4,TRUE),Q25))</f>
        <v/>
      </c>
      <c r="S25" s="560"/>
      <c r="T25" s="552"/>
      <c r="U25" s="554"/>
      <c r="V25" s="556" t="str">
        <f>IF(B25="","",SUM(S25:U25))</f>
        <v/>
      </c>
      <c r="W25" s="558" t="str">
        <f>IF(B25="","",IF(ISBLANK(S25),"",IF(AVERAGE(S25:U25)&lt;10,LEFT(AVERAGE(S25:U25),4),LEFT(AVERAGE(S25:U25),5))))</f>
        <v/>
      </c>
      <c r="X25" s="550" t="str">
        <f>IF(B25="","",IF(W25="","",IF(LEFT(W25,1)="0",0,ROUND(W25,0))))</f>
        <v/>
      </c>
      <c r="Y25" s="316" t="str">
        <f>IF(B25="","",ROUNDUP(AVERAGE(R25,R25,X25),2))</f>
        <v/>
      </c>
      <c r="Z25" s="317" t="str">
        <f>IF(B25="","",IF(TRUNC(Y25,0)=0,0,ROUND(Y25,0)))</f>
        <v/>
      </c>
    </row>
    <row r="26" spans="1:26" ht="13.5" customHeight="1" thickBot="1" x14ac:dyDescent="0.25">
      <c r="A26" s="563"/>
      <c r="B26" s="563"/>
      <c r="C26" s="325"/>
      <c r="D26" s="319"/>
      <c r="E26" s="319"/>
      <c r="F26" s="319"/>
      <c r="G26" s="319"/>
      <c r="H26" s="319"/>
      <c r="I26" s="319"/>
      <c r="J26" s="366" t="str">
        <f>IF(OR(B25="",COUNT(C26:I26)=0),"",SUM(C26:I26))</f>
        <v/>
      </c>
      <c r="K26" s="319"/>
      <c r="L26" s="319"/>
      <c r="M26" s="326"/>
      <c r="N26" s="319"/>
      <c r="O26" s="327"/>
      <c r="P26" s="366" t="str">
        <f>IF(OR(B25="",COUNT(K26:O26)=0),"",SUM(K26:O26))</f>
        <v/>
      </c>
      <c r="Q26" s="333" t="str">
        <f>IF(OR(B25="",COUNT(C26:I26)+COUNT(K26:O26)=0),"",ROUND(SUM(P26,J26),0))</f>
        <v/>
      </c>
      <c r="R26" s="315" t="str">
        <f>IF(Q26="","",IF(AP!$E$42="BE",VLOOKUP(Q26+0.5,NB!$V$822:$Y$837,4,TRUE),Q26))</f>
        <v/>
      </c>
      <c r="S26" s="564"/>
      <c r="T26" s="565"/>
      <c r="U26" s="566"/>
      <c r="V26" s="567"/>
      <c r="W26" s="559"/>
      <c r="X26" s="551"/>
      <c r="Y26" s="322" t="str">
        <f>IF(B25="","",ROUNDUP(AVERAGE(R26,R26,X25),2))</f>
        <v/>
      </c>
      <c r="Z26" s="321" t="str">
        <f>IF(B25="","",IF(TRUNC(Y26,0)=0,0,ROUND(Y26,0)))</f>
        <v/>
      </c>
    </row>
    <row r="27" spans="1:26" ht="12.75" customHeight="1" x14ac:dyDescent="0.2">
      <c r="A27" s="562">
        <f>Notenbogen!A19</f>
        <v>16</v>
      </c>
      <c r="B27" s="562" t="str">
        <f>IF(Notenbogen!B20="","",Notenbogen!B20)</f>
        <v/>
      </c>
      <c r="C27" s="323"/>
      <c r="D27" s="307"/>
      <c r="E27" s="307"/>
      <c r="F27" s="307"/>
      <c r="G27" s="307"/>
      <c r="H27" s="307"/>
      <c r="I27" s="307"/>
      <c r="J27" s="373" t="str">
        <f>IF(OR(B27="",COUNT(C27:I27)=0),"",SUM(C27:I27))</f>
        <v/>
      </c>
      <c r="K27" s="310"/>
      <c r="L27" s="311"/>
      <c r="M27" s="310"/>
      <c r="N27" s="312"/>
      <c r="O27" s="311"/>
      <c r="P27" s="313" t="str">
        <f>IF(OR(B27="",COUNT(K27:O27)=0),"",SUM(K27:O27))</f>
        <v/>
      </c>
      <c r="Q27" s="314" t="str">
        <f>IF(OR(B27="",COUNT(C27:I27)+COUNT(K27:O27)=0),"",ROUND(SUM(P27,J27),0))</f>
        <v/>
      </c>
      <c r="R27" s="315" t="str">
        <f>IF(Q27="","",IF(AP!$E$42="BE",VLOOKUP(Q27+0.5,NB!$V$822:$Y$837,4,TRUE),Q27))</f>
        <v/>
      </c>
      <c r="S27" s="560"/>
      <c r="T27" s="552"/>
      <c r="U27" s="554"/>
      <c r="V27" s="556" t="str">
        <f>IF(B27="","",SUM(S27:U27))</f>
        <v/>
      </c>
      <c r="W27" s="558" t="str">
        <f>IF(B27="","",IF(ISBLANK(S27),"",IF(AVERAGE(S27:U27)&lt;10,LEFT(AVERAGE(S27:U27),4),LEFT(AVERAGE(S27:U27),5))))</f>
        <v/>
      </c>
      <c r="X27" s="550" t="str">
        <f>IF(B27="","",IF(W27="","",IF(LEFT(W27,1)="0",0,ROUND(W27,0))))</f>
        <v/>
      </c>
      <c r="Y27" s="316" t="str">
        <f>IF(B27="","",ROUNDUP(AVERAGE(R27,R27,X27),2))</f>
        <v/>
      </c>
      <c r="Z27" s="317" t="str">
        <f>IF(B27="","",IF(TRUNC(Y27,0)=0,0,ROUND(Y27,0)))</f>
        <v/>
      </c>
    </row>
    <row r="28" spans="1:26" ht="13.5" customHeight="1" thickBot="1" x14ac:dyDescent="0.25">
      <c r="A28" s="563"/>
      <c r="B28" s="563"/>
      <c r="C28" s="325"/>
      <c r="D28" s="319"/>
      <c r="E28" s="319"/>
      <c r="F28" s="319"/>
      <c r="G28" s="319"/>
      <c r="H28" s="319"/>
      <c r="I28" s="319"/>
      <c r="J28" s="366" t="str">
        <f>IF(OR(B27="",COUNT(C28:I28)=0),"",SUM(C28:I28))</f>
        <v/>
      </c>
      <c r="K28" s="319"/>
      <c r="L28" s="319"/>
      <c r="M28" s="326"/>
      <c r="N28" s="319"/>
      <c r="O28" s="327"/>
      <c r="P28" s="366" t="str">
        <f>IF(OR(B27="",COUNT(K28:O28)=0),"",SUM(K28:O28))</f>
        <v/>
      </c>
      <c r="Q28" s="333" t="str">
        <f>IF(OR(B27="",COUNT(C28:I28)+COUNT(K28:O28)=0),"",ROUND(SUM(P28,J28),0))</f>
        <v/>
      </c>
      <c r="R28" s="315" t="str">
        <f>IF(Q28="","",IF(AP!$E$42="BE",VLOOKUP(Q28+0.5,NB!$V$822:$Y$837,4,TRUE),Q28))</f>
        <v/>
      </c>
      <c r="S28" s="564"/>
      <c r="T28" s="565"/>
      <c r="U28" s="566"/>
      <c r="V28" s="567"/>
      <c r="W28" s="559"/>
      <c r="X28" s="551"/>
      <c r="Y28" s="322" t="str">
        <f>IF(B27="","",ROUNDUP(AVERAGE(R28,R28,X27),2))</f>
        <v/>
      </c>
      <c r="Z28" s="321" t="str">
        <f>IF(B27="","",IF(TRUNC(Y28,0)=0,0,ROUND(Y28,0)))</f>
        <v/>
      </c>
    </row>
    <row r="29" spans="1:26" ht="12.75" customHeight="1" x14ac:dyDescent="0.2">
      <c r="A29" s="562">
        <f>Notenbogen!A21</f>
        <v>18</v>
      </c>
      <c r="B29" s="562" t="str">
        <f>IF(Notenbogen!B22="","",Notenbogen!B22)</f>
        <v/>
      </c>
      <c r="C29" s="323"/>
      <c r="D29" s="307"/>
      <c r="E29" s="307"/>
      <c r="F29" s="307"/>
      <c r="G29" s="307"/>
      <c r="H29" s="307"/>
      <c r="I29" s="307"/>
      <c r="J29" s="373" t="str">
        <f>IF(OR(B29="",COUNT(C29:I29)=0),"",SUM(C29:I29))</f>
        <v/>
      </c>
      <c r="K29" s="310"/>
      <c r="L29" s="311"/>
      <c r="M29" s="310"/>
      <c r="N29" s="312"/>
      <c r="O29" s="311"/>
      <c r="P29" s="313" t="str">
        <f>IF(OR(B29="",COUNT(K29:O29)=0),"",SUM(K29:O29))</f>
        <v/>
      </c>
      <c r="Q29" s="314" t="str">
        <f>IF(OR(B29="",COUNT(C29:I29)+COUNT(K29:O29)=0),"",ROUND(SUM(P29,J29),0))</f>
        <v/>
      </c>
      <c r="R29" s="315" t="str">
        <f>IF(Q29="","",IF(AP!$E$42="BE",VLOOKUP(Q29+0.5,NB!$V$822:$Y$837,4,TRUE),Q29))</f>
        <v/>
      </c>
      <c r="S29" s="560"/>
      <c r="T29" s="552"/>
      <c r="U29" s="554"/>
      <c r="V29" s="556" t="str">
        <f>IF(B29="","",SUM(S29:U29))</f>
        <v/>
      </c>
      <c r="W29" s="558" t="str">
        <f>IF(B29="","",IF(ISBLANK(S29),"",IF(AVERAGE(S29:U29)&lt;10,LEFT(AVERAGE(S29:U29),4),LEFT(AVERAGE(S29:U29),5))))</f>
        <v/>
      </c>
      <c r="X29" s="550" t="str">
        <f>IF(B29="","",IF(W29="","",IF(LEFT(W29,1)="0",0,ROUND(W29,0))))</f>
        <v/>
      </c>
      <c r="Y29" s="316" t="str">
        <f>IF(B29="","",ROUNDUP(AVERAGE(R29,R29,X29),2))</f>
        <v/>
      </c>
      <c r="Z29" s="317" t="str">
        <f>IF(B29="","",IF(TRUNC(Y29,0)=0,0,ROUND(Y29,0)))</f>
        <v/>
      </c>
    </row>
    <row r="30" spans="1:26" ht="13.5" customHeight="1" thickBot="1" x14ac:dyDescent="0.25">
      <c r="A30" s="563"/>
      <c r="B30" s="563"/>
      <c r="C30" s="325"/>
      <c r="D30" s="319"/>
      <c r="E30" s="319"/>
      <c r="F30" s="319"/>
      <c r="G30" s="319"/>
      <c r="H30" s="319"/>
      <c r="I30" s="319"/>
      <c r="J30" s="366" t="str">
        <f>IF(OR(B29="",COUNT(C30:I30)=0),"",SUM(C30:I30))</f>
        <v/>
      </c>
      <c r="K30" s="319"/>
      <c r="L30" s="319"/>
      <c r="M30" s="326"/>
      <c r="N30" s="319"/>
      <c r="O30" s="327"/>
      <c r="P30" s="366" t="str">
        <f>IF(OR(B29="",COUNT(K30:O30)=0),"",SUM(K30:O30))</f>
        <v/>
      </c>
      <c r="Q30" s="333" t="str">
        <f>IF(OR(B29="",COUNT(C30:I30)+COUNT(K30:O30)=0),"",ROUND(SUM(P30,J30),0))</f>
        <v/>
      </c>
      <c r="R30" s="315" t="str">
        <f>IF(Q30="","",IF(AP!$E$42="BE",VLOOKUP(Q30+0.5,NB!$V$822:$Y$837,4,TRUE),Q30))</f>
        <v/>
      </c>
      <c r="S30" s="564"/>
      <c r="T30" s="565"/>
      <c r="U30" s="566"/>
      <c r="V30" s="567"/>
      <c r="W30" s="559"/>
      <c r="X30" s="551"/>
      <c r="Y30" s="322" t="str">
        <f>IF(B29="","",ROUNDUP(AVERAGE(R30,R30,X29),2))</f>
        <v/>
      </c>
      <c r="Z30" s="321" t="str">
        <f>IF(B29="","",IF(TRUNC(Y30,0)=0,0,ROUND(Y30,0)))</f>
        <v/>
      </c>
    </row>
    <row r="31" spans="1:26" ht="12.75" customHeight="1" x14ac:dyDescent="0.2">
      <c r="A31" s="562">
        <f>Notenbogen!A23</f>
        <v>20</v>
      </c>
      <c r="B31" s="562" t="str">
        <f>IF(Notenbogen!B24="","",Notenbogen!B24)</f>
        <v/>
      </c>
      <c r="C31" s="323"/>
      <c r="D31" s="307"/>
      <c r="E31" s="307"/>
      <c r="F31" s="307"/>
      <c r="G31" s="307"/>
      <c r="H31" s="307"/>
      <c r="I31" s="307"/>
      <c r="J31" s="373" t="str">
        <f>IF(OR(B31="",COUNT(C31:I31)=0),"",SUM(C31:I31))</f>
        <v/>
      </c>
      <c r="K31" s="310"/>
      <c r="L31" s="311"/>
      <c r="M31" s="310"/>
      <c r="N31" s="312"/>
      <c r="O31" s="311"/>
      <c r="P31" s="313" t="str">
        <f>IF(OR(B31="",COUNT(K31:O31)=0),"",SUM(K31:O31))</f>
        <v/>
      </c>
      <c r="Q31" s="314" t="str">
        <f>IF(OR(B31="",COUNT(C31:I31)+COUNT(K31:O31)=0),"",ROUND(SUM(P31,J31),0))</f>
        <v/>
      </c>
      <c r="R31" s="315" t="str">
        <f>IF(Q31="","",IF(AP!$E$42="BE",VLOOKUP(Q31+0.5,NB!$V$822:$Y$837,4,TRUE),Q31))</f>
        <v/>
      </c>
      <c r="S31" s="560"/>
      <c r="T31" s="552"/>
      <c r="U31" s="554"/>
      <c r="V31" s="556" t="str">
        <f>IF(B31="","",SUM(S31:U31))</f>
        <v/>
      </c>
      <c r="W31" s="558" t="str">
        <f>IF(B31="","",IF(ISBLANK(S31),"",IF(AVERAGE(S31:U31)&lt;10,LEFT(AVERAGE(S31:U31),4),LEFT(AVERAGE(S31:U31),5))))</f>
        <v/>
      </c>
      <c r="X31" s="550" t="str">
        <f>IF(B31="","",IF(W31="","",IF(LEFT(W31,1)="0",0,ROUND(W31,0))))</f>
        <v/>
      </c>
      <c r="Y31" s="316" t="str">
        <f>IF(B31="","",ROUNDUP(AVERAGE(R31,R31,X31),2))</f>
        <v/>
      </c>
      <c r="Z31" s="317" t="str">
        <f>IF(B31="","",IF(TRUNC(Y31,0)=0,0,ROUND(Y31,0)))</f>
        <v/>
      </c>
    </row>
    <row r="32" spans="1:26" ht="13.5" customHeight="1" thickBot="1" x14ac:dyDescent="0.25">
      <c r="A32" s="563"/>
      <c r="B32" s="563"/>
      <c r="C32" s="325"/>
      <c r="D32" s="319"/>
      <c r="E32" s="319"/>
      <c r="F32" s="319"/>
      <c r="G32" s="319"/>
      <c r="H32" s="319"/>
      <c r="I32" s="319"/>
      <c r="J32" s="366" t="str">
        <f>IF(OR(B31="",COUNT(C32:I32)=0),"",SUM(C32:I32))</f>
        <v/>
      </c>
      <c r="K32" s="319"/>
      <c r="L32" s="319"/>
      <c r="M32" s="326"/>
      <c r="N32" s="319"/>
      <c r="O32" s="327"/>
      <c r="P32" s="366" t="str">
        <f>IF(OR(B31="",COUNT(K32:O32)=0),"",SUM(K32:O32))</f>
        <v/>
      </c>
      <c r="Q32" s="333" t="str">
        <f>IF(OR(B31="",COUNT(C32:I32)+COUNT(K32:O32)=0),"",ROUND(SUM(P32,J32),0))</f>
        <v/>
      </c>
      <c r="R32" s="315" t="str">
        <f>IF(Q32="","",IF(AP!$E$42="BE",VLOOKUP(Q32+0.5,NB!$V$822:$Y$837,4,TRUE),Q32))</f>
        <v/>
      </c>
      <c r="S32" s="564"/>
      <c r="T32" s="565"/>
      <c r="U32" s="566"/>
      <c r="V32" s="567"/>
      <c r="W32" s="559"/>
      <c r="X32" s="551"/>
      <c r="Y32" s="322" t="str">
        <f>IF(B31="","",ROUNDUP(AVERAGE(R32,R32,X31),2))</f>
        <v/>
      </c>
      <c r="Z32" s="321" t="str">
        <f>IF(B31="","",IF(TRUNC(Y32,0)=0,0,ROUND(Y32,0)))</f>
        <v/>
      </c>
    </row>
    <row r="33" spans="1:26" ht="12.75" customHeight="1" x14ac:dyDescent="0.2">
      <c r="A33" s="562">
        <f>Notenbogen!A25</f>
        <v>22</v>
      </c>
      <c r="B33" s="562" t="str">
        <f>IF(Notenbogen!B26="","",Notenbogen!B26)</f>
        <v/>
      </c>
      <c r="C33" s="323"/>
      <c r="D33" s="307"/>
      <c r="E33" s="307"/>
      <c r="F33" s="307"/>
      <c r="G33" s="307"/>
      <c r="H33" s="307"/>
      <c r="I33" s="307"/>
      <c r="J33" s="373" t="str">
        <f>IF(OR(B33="",COUNT(C33:I33)=0),"",SUM(C33:I33))</f>
        <v/>
      </c>
      <c r="K33" s="310"/>
      <c r="L33" s="311"/>
      <c r="M33" s="310"/>
      <c r="N33" s="312"/>
      <c r="O33" s="311"/>
      <c r="P33" s="313" t="str">
        <f>IF(OR(B33="",COUNT(K33:O33)=0),"",SUM(K33:O33))</f>
        <v/>
      </c>
      <c r="Q33" s="314" t="str">
        <f>IF(OR(B33="",COUNT(C33:I33)+COUNT(K33:O33)=0),"",ROUND(SUM(P33,J33),0))</f>
        <v/>
      </c>
      <c r="R33" s="315" t="str">
        <f>IF(Q33="","",IF(AP!$E$42="BE",VLOOKUP(Q33+0.5,NB!$V$822:$Y$837,4,TRUE),Q33))</f>
        <v/>
      </c>
      <c r="S33" s="560"/>
      <c r="T33" s="552"/>
      <c r="U33" s="554"/>
      <c r="V33" s="556" t="str">
        <f>IF(B33="","",SUM(S33:U33))</f>
        <v/>
      </c>
      <c r="W33" s="558" t="str">
        <f>IF(B33="","",IF(ISBLANK(S33),"",IF(AVERAGE(S33:U33)&lt;10,LEFT(AVERAGE(S33:U33),4),LEFT(AVERAGE(S33:U33),5))))</f>
        <v/>
      </c>
      <c r="X33" s="550" t="str">
        <f>IF(B33="","",IF(W33="","",IF(LEFT(W33,1)="0",0,ROUND(W33,0))))</f>
        <v/>
      </c>
      <c r="Y33" s="316" t="str">
        <f>IF(B33="","",ROUNDUP(AVERAGE(R33,R33,X33),2))</f>
        <v/>
      </c>
      <c r="Z33" s="317" t="str">
        <f>IF(B33="","",IF(TRUNC(Y33,0)=0,0,ROUND(Y33,0)))</f>
        <v/>
      </c>
    </row>
    <row r="34" spans="1:26" ht="13.5" customHeight="1" thickBot="1" x14ac:dyDescent="0.25">
      <c r="A34" s="563"/>
      <c r="B34" s="563"/>
      <c r="C34" s="325"/>
      <c r="D34" s="319"/>
      <c r="E34" s="319"/>
      <c r="F34" s="319"/>
      <c r="G34" s="319"/>
      <c r="H34" s="319"/>
      <c r="I34" s="319"/>
      <c r="J34" s="366" t="str">
        <f>IF(OR(B33="",COUNT(C34:I34)=0),"",SUM(C34:I34))</f>
        <v/>
      </c>
      <c r="K34" s="319"/>
      <c r="L34" s="319"/>
      <c r="M34" s="326"/>
      <c r="N34" s="319"/>
      <c r="O34" s="327"/>
      <c r="P34" s="366" t="str">
        <f>IF(OR(B33="",COUNT(K34:O34)=0),"",SUM(K34:O34))</f>
        <v/>
      </c>
      <c r="Q34" s="333" t="str">
        <f>IF(OR(B33="",COUNT(C34:I34)+COUNT(K34:O34)=0),"",ROUND(SUM(P34,J34),0))</f>
        <v/>
      </c>
      <c r="R34" s="315" t="str">
        <f>IF(Q34="","",IF(AP!$E$42="BE",VLOOKUP(Q34+0.5,NB!$V$822:$Y$837,4,TRUE),Q34))</f>
        <v/>
      </c>
      <c r="S34" s="564"/>
      <c r="T34" s="565"/>
      <c r="U34" s="566"/>
      <c r="V34" s="567"/>
      <c r="W34" s="559"/>
      <c r="X34" s="551"/>
      <c r="Y34" s="322" t="str">
        <f>IF(B33="","",ROUNDUP(AVERAGE(R34,R34,X33),2))</f>
        <v/>
      </c>
      <c r="Z34" s="321" t="str">
        <f>IF(B33="","",IF(TRUNC(Y34,0)=0,0,ROUND(Y34,0)))</f>
        <v/>
      </c>
    </row>
    <row r="35" spans="1:26" ht="12.75" customHeight="1" x14ac:dyDescent="0.2">
      <c r="A35" s="562">
        <f>Notenbogen!A27</f>
        <v>24</v>
      </c>
      <c r="B35" s="562" t="str">
        <f>IF(Notenbogen!B28="","",Notenbogen!B28)</f>
        <v/>
      </c>
      <c r="C35" s="323"/>
      <c r="D35" s="307"/>
      <c r="E35" s="307"/>
      <c r="F35" s="307"/>
      <c r="G35" s="307"/>
      <c r="H35" s="307"/>
      <c r="I35" s="307"/>
      <c r="J35" s="309" t="str">
        <f>IF(OR(B35="",COUNT(C35:I35)=0),"",SUM(C35:I35))</f>
        <v/>
      </c>
      <c r="K35" s="310"/>
      <c r="L35" s="311"/>
      <c r="M35" s="310"/>
      <c r="N35" s="312"/>
      <c r="O35" s="311"/>
      <c r="P35" s="313" t="str">
        <f>IF(OR(B35="",COUNT(K35:O35)=0),"",SUM(K35:O35))</f>
        <v/>
      </c>
      <c r="Q35" s="314" t="str">
        <f>IF(OR(B35="",COUNT(C35:I35)+COUNT(K35:O35)=0),"",ROUND(SUM(P35,J35),0))</f>
        <v/>
      </c>
      <c r="R35" s="315" t="str">
        <f>IF(Q35="","",IF(AP!$E$42="BE",VLOOKUP(Q35+0.5,NB!$V$822:$Y$837,4,TRUE),Q35))</f>
        <v/>
      </c>
      <c r="S35" s="560"/>
      <c r="T35" s="552"/>
      <c r="U35" s="554"/>
      <c r="V35" s="556" t="str">
        <f>IF(B35="","",SUM(S35:U35))</f>
        <v/>
      </c>
      <c r="W35" s="558" t="str">
        <f>IF(B35="","",IF(ISBLANK(S35),"",IF(AVERAGE(S35:U35)&lt;10,LEFT(AVERAGE(S35:U35),4),LEFT(AVERAGE(S35:U35),5))))</f>
        <v/>
      </c>
      <c r="X35" s="550" t="str">
        <f>IF(B35="","",IF(W35="","",IF(LEFT(W35,1)="0",0,ROUND(W35,0))))</f>
        <v/>
      </c>
      <c r="Y35" s="316" t="str">
        <f>IF(B35="","",ROUNDUP(AVERAGE(R35,R35,X35),2))</f>
        <v/>
      </c>
      <c r="Z35" s="317" t="str">
        <f>IF(B35="","",IF(TRUNC(Y35,0)=0,0,ROUND(Y35,0)))</f>
        <v/>
      </c>
    </row>
    <row r="36" spans="1:26" ht="13.5" customHeight="1" thickBot="1" x14ac:dyDescent="0.25">
      <c r="A36" s="563"/>
      <c r="B36" s="563"/>
      <c r="C36" s="325"/>
      <c r="D36" s="319"/>
      <c r="E36" s="319"/>
      <c r="F36" s="319"/>
      <c r="G36" s="319"/>
      <c r="H36" s="319"/>
      <c r="I36" s="319"/>
      <c r="J36" s="375" t="str">
        <f>IF(OR(B35="",COUNT(C36:I36)=0),"",SUM(C36:I36))</f>
        <v/>
      </c>
      <c r="K36" s="319"/>
      <c r="L36" s="319"/>
      <c r="M36" s="326"/>
      <c r="N36" s="319"/>
      <c r="O36" s="327"/>
      <c r="P36" s="366" t="str">
        <f>IF(OR(B35="",COUNT(K36:O36)=0),"",SUM(K36:O36))</f>
        <v/>
      </c>
      <c r="Q36" s="333" t="str">
        <f>IF(OR(B35="",COUNT(C36:I36)+COUNT(K36:O36)=0),"",ROUND(SUM(P36,J36),0))</f>
        <v/>
      </c>
      <c r="R36" s="315" t="str">
        <f>IF(Q36="","",IF(AP!$E$42="BE",VLOOKUP(Q36+0.5,NB!$V$822:$Y$837,4,TRUE),Q36))</f>
        <v/>
      </c>
      <c r="S36" s="564"/>
      <c r="T36" s="565"/>
      <c r="U36" s="566"/>
      <c r="V36" s="567"/>
      <c r="W36" s="559"/>
      <c r="X36" s="551"/>
      <c r="Y36" s="322" t="str">
        <f>IF(B35="","",ROUNDUP(AVERAGE(R36,R36,X35),2))</f>
        <v/>
      </c>
      <c r="Z36" s="321" t="str">
        <f>IF(B35="","",IF(TRUNC(Y36,0)=0,0,ROUND(Y36,0)))</f>
        <v/>
      </c>
    </row>
    <row r="37" spans="1:26" ht="12.75" customHeight="1" x14ac:dyDescent="0.2">
      <c r="A37" s="562">
        <f>Notenbogen!A29</f>
        <v>26</v>
      </c>
      <c r="B37" s="562" t="str">
        <f>IF(Notenbogen!B30="","",Notenbogen!B30)</f>
        <v/>
      </c>
      <c r="C37" s="323"/>
      <c r="D37" s="307"/>
      <c r="E37" s="307"/>
      <c r="F37" s="307"/>
      <c r="G37" s="307"/>
      <c r="H37" s="307"/>
      <c r="I37" s="307"/>
      <c r="J37" s="373" t="str">
        <f>IF(OR(B37="",COUNT(C37:I37)=0),"",SUM(C37:I37))</f>
        <v/>
      </c>
      <c r="K37" s="310"/>
      <c r="L37" s="311"/>
      <c r="M37" s="310"/>
      <c r="N37" s="312"/>
      <c r="O37" s="311"/>
      <c r="P37" s="313" t="str">
        <f>IF(OR(B37="",COUNT(K37:O37)=0),"",SUM(K37:O37))</f>
        <v/>
      </c>
      <c r="Q37" s="314" t="str">
        <f>IF(OR(B37="",COUNT(C37:I37)+COUNT(K37:O37)=0),"",ROUND(SUM(P37,J37),0))</f>
        <v/>
      </c>
      <c r="R37" s="315" t="str">
        <f>IF(Q37="","",IF(AP!$E$42="BE",VLOOKUP(Q37+0.5,NB!$V$822:$Y$837,4,TRUE),Q37))</f>
        <v/>
      </c>
      <c r="S37" s="560"/>
      <c r="T37" s="552"/>
      <c r="U37" s="554"/>
      <c r="V37" s="556" t="str">
        <f>IF(B37="","",SUM(S37:U37))</f>
        <v/>
      </c>
      <c r="W37" s="558" t="str">
        <f>IF(B37="","",IF(ISBLANK(S37),"",IF(AVERAGE(S37:U37)&lt;10,LEFT(AVERAGE(S37:U37),4),LEFT(AVERAGE(S37:U37),5))))</f>
        <v/>
      </c>
      <c r="X37" s="550" t="str">
        <f>IF(B37="","",IF(W37="","",IF(LEFT(W37,1)="0",0,ROUND(W37,0))))</f>
        <v/>
      </c>
      <c r="Y37" s="316" t="str">
        <f>IF(B37="","",ROUNDUP(AVERAGE(R37,R37,X37),2))</f>
        <v/>
      </c>
      <c r="Z37" s="317" t="str">
        <f>IF(B37="","",IF(TRUNC(Y37,0)=0,0,ROUND(Y37,0)))</f>
        <v/>
      </c>
    </row>
    <row r="38" spans="1:26" ht="13.5" customHeight="1" thickBot="1" x14ac:dyDescent="0.25">
      <c r="A38" s="563"/>
      <c r="B38" s="563"/>
      <c r="C38" s="325"/>
      <c r="D38" s="319"/>
      <c r="E38" s="319"/>
      <c r="F38" s="319"/>
      <c r="G38" s="319"/>
      <c r="H38" s="319"/>
      <c r="I38" s="319"/>
      <c r="J38" s="366" t="str">
        <f>IF(OR(B37="",COUNT(C38:I38)=0),"",SUM(C38:I38))</f>
        <v/>
      </c>
      <c r="K38" s="319"/>
      <c r="L38" s="319"/>
      <c r="M38" s="326"/>
      <c r="N38" s="319"/>
      <c r="O38" s="327"/>
      <c r="P38" s="366" t="str">
        <f>IF(OR(B37="",COUNT(K38:O38)=0),"",SUM(K38:O38))</f>
        <v/>
      </c>
      <c r="Q38" s="333" t="str">
        <f>IF(OR(B37="",COUNT(C38:I38)+COUNT(K38:O38)=0),"",ROUND(SUM(P38,J38),0))</f>
        <v/>
      </c>
      <c r="R38" s="315" t="str">
        <f>IF(Q38="","",IF(AP!$E$42="BE",VLOOKUP(Q38+0.5,NB!$V$822:$Y$837,4,TRUE),Q38))</f>
        <v/>
      </c>
      <c r="S38" s="564"/>
      <c r="T38" s="565"/>
      <c r="U38" s="566"/>
      <c r="V38" s="567"/>
      <c r="W38" s="559"/>
      <c r="X38" s="551"/>
      <c r="Y38" s="322" t="str">
        <f>IF(B37="","",ROUNDUP(AVERAGE(R38,R38,X37),2))</f>
        <v/>
      </c>
      <c r="Z38" s="321" t="str">
        <f>IF(B37="","",IF(TRUNC(Y38,0)=0,0,ROUND(Y38,0)))</f>
        <v/>
      </c>
    </row>
    <row r="39" spans="1:26" ht="12.75" customHeight="1" x14ac:dyDescent="0.2">
      <c r="A39" s="562">
        <f>Notenbogen!A31</f>
        <v>28</v>
      </c>
      <c r="B39" s="562" t="str">
        <f>IF(Notenbogen!B32="","",Notenbogen!B32)</f>
        <v/>
      </c>
      <c r="C39" s="323"/>
      <c r="D39" s="307"/>
      <c r="E39" s="307"/>
      <c r="F39" s="307"/>
      <c r="G39" s="307"/>
      <c r="H39" s="307"/>
      <c r="I39" s="307"/>
      <c r="J39" s="373" t="str">
        <f>IF(OR(B39="",COUNT(C39:I39)=0),"",SUM(C39:I39))</f>
        <v/>
      </c>
      <c r="K39" s="310"/>
      <c r="L39" s="311"/>
      <c r="M39" s="310"/>
      <c r="N39" s="312"/>
      <c r="O39" s="311"/>
      <c r="P39" s="313" t="str">
        <f>IF(OR(B39="",COUNT(K39:O39)=0),"",SUM(K39:O39))</f>
        <v/>
      </c>
      <c r="Q39" s="314" t="str">
        <f>IF(OR(B39="",COUNT(C39:I39)+COUNT(K39:O39)=0),"",ROUND(SUM(P39,J39),0))</f>
        <v/>
      </c>
      <c r="R39" s="315" t="str">
        <f>IF(Q39="","",IF(AP!$E$42="BE",VLOOKUP(Q39+0.5,NB!$V$822:$Y$837,4,TRUE),Q39))</f>
        <v/>
      </c>
      <c r="S39" s="561"/>
      <c r="T39" s="553"/>
      <c r="U39" s="555"/>
      <c r="V39" s="557" t="str">
        <f>IF(B39="","",SUM(S39:U39))</f>
        <v/>
      </c>
      <c r="W39" s="558" t="str">
        <f>IF(B39="","",IF(ISBLANK(S39),"",IF(AVERAGE(S39:U39)&lt;10,LEFT(AVERAGE(S39:U39),4),LEFT(AVERAGE(S39:U39),5))))</f>
        <v/>
      </c>
      <c r="X39" s="550" t="str">
        <f>IF(B39="","",IF(W39="","",IF(LEFT(W39,1)="0",0,ROUND(W39,0))))</f>
        <v/>
      </c>
      <c r="Y39" s="316" t="str">
        <f>IF(B39="","",ROUNDUP(AVERAGE(R39,R39,X39),2))</f>
        <v/>
      </c>
      <c r="Z39" s="317" t="str">
        <f>IF(B39="","",IF(TRUNC(Y39,0)=0,0,ROUND(Y39,0)))</f>
        <v/>
      </c>
    </row>
    <row r="40" spans="1:26" ht="13.5" customHeight="1" thickBot="1" x14ac:dyDescent="0.25">
      <c r="A40" s="563"/>
      <c r="B40" s="563"/>
      <c r="C40" s="325"/>
      <c r="D40" s="319"/>
      <c r="E40" s="319"/>
      <c r="F40" s="319"/>
      <c r="G40" s="319"/>
      <c r="H40" s="319"/>
      <c r="I40" s="319"/>
      <c r="J40" s="366" t="str">
        <f>IF(OR(B39="",COUNT(C40:I40)=0),"",SUM(C40:I40))</f>
        <v/>
      </c>
      <c r="K40" s="319"/>
      <c r="L40" s="319"/>
      <c r="M40" s="326"/>
      <c r="N40" s="319"/>
      <c r="O40" s="327"/>
      <c r="P40" s="366" t="str">
        <f>IF(OR(B39="",COUNT(K40:O40)=0),"",SUM(K40:O40))</f>
        <v/>
      </c>
      <c r="Q40" s="333" t="str">
        <f>IF(OR(B39="",COUNT(C40:I40)+COUNT(K40:O40)=0),"",ROUND(SUM(P40,J40),0))</f>
        <v/>
      </c>
      <c r="R40" s="315" t="str">
        <f>IF(Q40="","",IF(AP!$E$42="BE",VLOOKUP(Q40+0.5,NB!$V$822:$Y$837,4,TRUE),Q40))</f>
        <v/>
      </c>
      <c r="S40" s="564"/>
      <c r="T40" s="565"/>
      <c r="U40" s="566"/>
      <c r="V40" s="567"/>
      <c r="W40" s="559"/>
      <c r="X40" s="551"/>
      <c r="Y40" s="322" t="str">
        <f>IF(B39="","",ROUNDUP(AVERAGE(R40,R40,X39),2))</f>
        <v/>
      </c>
      <c r="Z40" s="321" t="str">
        <f>IF(B39="","",IF(TRUNC(Y40,0)=0,0,ROUND(Y40,0)))</f>
        <v/>
      </c>
    </row>
    <row r="41" spans="1:26" ht="12.75" customHeight="1" x14ac:dyDescent="0.2">
      <c r="A41" s="562">
        <f>Notenbogen!A33</f>
        <v>30</v>
      </c>
      <c r="B41" s="562" t="str">
        <f>IF(Notenbogen!B34="","",Notenbogen!B34)</f>
        <v/>
      </c>
      <c r="C41" s="323"/>
      <c r="D41" s="307"/>
      <c r="E41" s="307"/>
      <c r="F41" s="307"/>
      <c r="G41" s="307"/>
      <c r="H41" s="307"/>
      <c r="I41" s="307"/>
      <c r="J41" s="373" t="str">
        <f>IF(OR(B41="",COUNT(C41:I41)=0),"",SUM(C41:I41))</f>
        <v/>
      </c>
      <c r="K41" s="310"/>
      <c r="L41" s="311"/>
      <c r="M41" s="310"/>
      <c r="N41" s="312"/>
      <c r="O41" s="311"/>
      <c r="P41" s="313" t="str">
        <f>IF(OR(B41="",COUNT(K41:O41)=0),"",SUM(K41:O41))</f>
        <v/>
      </c>
      <c r="Q41" s="314" t="str">
        <f>IF(OR(B41="",COUNT(C41:I41)+COUNT(K41:O41)=0),"",ROUND(SUM(P41,J41),0))</f>
        <v/>
      </c>
      <c r="R41" s="315" t="str">
        <f>IF(Q41="","",IF(AP!$E$42="BE",VLOOKUP(Q41+0.5,NB!$V$822:$Y$837,4,TRUE),Q41))</f>
        <v/>
      </c>
      <c r="S41" s="560"/>
      <c r="T41" s="552"/>
      <c r="U41" s="554"/>
      <c r="V41" s="556" t="str">
        <f>IF(B41="","",SUM(S41:U41))</f>
        <v/>
      </c>
      <c r="W41" s="558" t="str">
        <f>IF(B41="","",IF(ISBLANK(S41),"",IF(AVERAGE(S41:U41)&lt;10,LEFT(AVERAGE(S41:U41),4),LEFT(AVERAGE(S41:U41),5))))</f>
        <v/>
      </c>
      <c r="X41" s="550" t="str">
        <f>IF(B41="","",IF(W41="","",IF(LEFT(W41,1)="0",0,ROUND(W41,0))))</f>
        <v/>
      </c>
      <c r="Y41" s="316" t="str">
        <f>IF(B41="","",ROUNDUP(AVERAGE(R41,R41,X41),2))</f>
        <v/>
      </c>
      <c r="Z41" s="317" t="str">
        <f>IF(B41="","",IF(TRUNC(Y41,0)=0,0,ROUND(Y41,0)))</f>
        <v/>
      </c>
    </row>
    <row r="42" spans="1:26" ht="13.5" customHeight="1" thickBot="1" x14ac:dyDescent="0.25">
      <c r="A42" s="563"/>
      <c r="B42" s="563"/>
      <c r="C42" s="325"/>
      <c r="D42" s="319"/>
      <c r="E42" s="319"/>
      <c r="F42" s="319"/>
      <c r="G42" s="319"/>
      <c r="H42" s="319"/>
      <c r="I42" s="319"/>
      <c r="J42" s="366" t="str">
        <f>IF(OR(B41="",COUNT(C42:I42)=0),"",SUM(C42:I42))</f>
        <v/>
      </c>
      <c r="K42" s="319"/>
      <c r="L42" s="319"/>
      <c r="M42" s="326"/>
      <c r="N42" s="319"/>
      <c r="O42" s="327"/>
      <c r="P42" s="366" t="str">
        <f>IF(OR(B41="",COUNT(K42:O42)=0),"",SUM(K42:O42))</f>
        <v/>
      </c>
      <c r="Q42" s="333" t="str">
        <f>IF(OR(B41="",COUNT(C42:I42)+COUNT(K42:O42)=0),"",ROUND(SUM(P42,J42),0))</f>
        <v/>
      </c>
      <c r="R42" s="315" t="str">
        <f>IF(Q42="","",IF(AP!$E$42="BE",VLOOKUP(Q42+0.5,NB!$V$822:$Y$837,4,TRUE),Q42))</f>
        <v/>
      </c>
      <c r="S42" s="564"/>
      <c r="T42" s="565"/>
      <c r="U42" s="566"/>
      <c r="V42" s="567"/>
      <c r="W42" s="559"/>
      <c r="X42" s="551"/>
      <c r="Y42" s="322" t="str">
        <f>IF(B41="","",ROUNDUP(AVERAGE(R42,R42,X41),2))</f>
        <v/>
      </c>
      <c r="Z42" s="321" t="str">
        <f>IF(B41="","",IF(TRUNC(Y42,0)=0,0,ROUND(Y42,0)))</f>
        <v/>
      </c>
    </row>
    <row r="43" spans="1:26" ht="12.75" customHeight="1" x14ac:dyDescent="0.2">
      <c r="A43" s="562">
        <f>Notenbogen!A35</f>
        <v>32</v>
      </c>
      <c r="B43" s="562" t="str">
        <f>IF(Notenbogen!B36="","",Notenbogen!B36)</f>
        <v/>
      </c>
      <c r="C43" s="323"/>
      <c r="D43" s="307"/>
      <c r="E43" s="307"/>
      <c r="F43" s="307"/>
      <c r="G43" s="307"/>
      <c r="H43" s="307"/>
      <c r="I43" s="307"/>
      <c r="J43" s="309" t="str">
        <f>IF(OR(B43="",COUNT(C43:I43)=0),"",SUM(C43:I43))</f>
        <v/>
      </c>
      <c r="K43" s="310"/>
      <c r="L43" s="311"/>
      <c r="M43" s="310"/>
      <c r="N43" s="312"/>
      <c r="O43" s="311"/>
      <c r="P43" s="313" t="str">
        <f>IF(OR(B43="",COUNT(K43:O43)=0),"",SUM(K43:O43))</f>
        <v/>
      </c>
      <c r="Q43" s="314" t="str">
        <f>IF(OR(B43="",COUNT(C43:I43)+COUNT(K43:O43)=0),"",ROUND(SUM(P43,J43),0))</f>
        <v/>
      </c>
      <c r="R43" s="315" t="str">
        <f>IF(Q43="","",IF(AP!$E$42="BE",VLOOKUP(Q43+0.5,NB!$V$822:$Y$837,4,TRUE),Q43))</f>
        <v/>
      </c>
      <c r="S43" s="560"/>
      <c r="T43" s="552"/>
      <c r="U43" s="554"/>
      <c r="V43" s="556" t="str">
        <f>IF(B43="","",SUM(S43:U43))</f>
        <v/>
      </c>
      <c r="W43" s="558" t="str">
        <f>IF(B43="","",IF(ISBLANK(S43),"",IF(AVERAGE(S43:U43)&lt;10,LEFT(AVERAGE(S43:U43),4),LEFT(AVERAGE(S43:U43),5))))</f>
        <v/>
      </c>
      <c r="X43" s="550" t="str">
        <f>IF(B43="","",IF(W43="","",IF(LEFT(W43,1)="0",0,ROUND(W43,0))))</f>
        <v/>
      </c>
      <c r="Y43" s="316" t="str">
        <f>IF(B43="","",ROUNDUP(AVERAGE(R43,R43,X43),2))</f>
        <v/>
      </c>
      <c r="Z43" s="317" t="str">
        <f>IF(B43="","",IF(TRUNC(Y43,0)=0,0,ROUND(Y43,0)))</f>
        <v/>
      </c>
    </row>
    <row r="44" spans="1:26" ht="13.5" customHeight="1" thickBot="1" x14ac:dyDescent="0.25">
      <c r="A44" s="563"/>
      <c r="B44" s="563"/>
      <c r="C44" s="325"/>
      <c r="D44" s="319"/>
      <c r="E44" s="319"/>
      <c r="F44" s="319"/>
      <c r="G44" s="319"/>
      <c r="H44" s="319"/>
      <c r="I44" s="319"/>
      <c r="J44" s="375" t="str">
        <f>IF(OR(B43="",COUNT(C44:I44)=0),"",SUM(C44:I44))</f>
        <v/>
      </c>
      <c r="K44" s="319"/>
      <c r="L44" s="319"/>
      <c r="M44" s="326"/>
      <c r="N44" s="319"/>
      <c r="O44" s="327"/>
      <c r="P44" s="366" t="str">
        <f>IF(OR(B43="",COUNT(K44:O44)=0),"",SUM(K44:O44))</f>
        <v/>
      </c>
      <c r="Q44" s="333" t="str">
        <f>IF(OR(B43="",COUNT(C44:I44)+COUNT(K44:O44)=0),"",ROUND(SUM(P44,J44),0))</f>
        <v/>
      </c>
      <c r="R44" s="315" t="str">
        <f>IF(Q44="","",IF(AP!$E$42="BE",VLOOKUP(Q44+0.5,NB!$V$822:$Y$837,4,TRUE),Q44))</f>
        <v/>
      </c>
      <c r="S44" s="564"/>
      <c r="T44" s="565"/>
      <c r="U44" s="566"/>
      <c r="V44" s="567"/>
      <c r="W44" s="559"/>
      <c r="X44" s="551"/>
      <c r="Y44" s="322" t="str">
        <f>IF(B43="","",ROUNDUP(AVERAGE(R44,R44,X43),2))</f>
        <v/>
      </c>
      <c r="Z44" s="321" t="str">
        <f>IF(B43="","",IF(TRUNC(Y44,0)=0,0,ROUND(Y44,0)))</f>
        <v/>
      </c>
    </row>
    <row r="45" spans="1:26" ht="12.75" customHeight="1" x14ac:dyDescent="0.2">
      <c r="A45" s="562">
        <f>Notenbogen!A37</f>
        <v>34</v>
      </c>
      <c r="B45" s="562" t="str">
        <f>IF(Notenbogen!B38="","",Notenbogen!B38)</f>
        <v/>
      </c>
      <c r="C45" s="323"/>
      <c r="D45" s="307"/>
      <c r="E45" s="307"/>
      <c r="F45" s="307"/>
      <c r="G45" s="307"/>
      <c r="H45" s="307"/>
      <c r="I45" s="307"/>
      <c r="J45" s="373" t="str">
        <f>IF(OR(B45="",COUNT(C45:I45)=0),"",SUM(C45:I45))</f>
        <v/>
      </c>
      <c r="K45" s="310"/>
      <c r="L45" s="311"/>
      <c r="M45" s="310"/>
      <c r="N45" s="312"/>
      <c r="O45" s="311"/>
      <c r="P45" s="313" t="str">
        <f>IF(OR(B45="",COUNT(K45:O45)=0),"",SUM(K45:O45))</f>
        <v/>
      </c>
      <c r="Q45" s="314" t="str">
        <f>IF(OR(B45="",COUNT(C45:I45)+COUNT(K45:O45)=0),"",ROUND(SUM(P45,J45),0))</f>
        <v/>
      </c>
      <c r="R45" s="315" t="str">
        <f>IF(Q45="","",IF(AP!$E$42="BE",VLOOKUP(Q45+0.5,NB!$V$822:$Y$837,4,TRUE),Q45))</f>
        <v/>
      </c>
      <c r="S45" s="560"/>
      <c r="T45" s="552"/>
      <c r="U45" s="554"/>
      <c r="V45" s="556" t="str">
        <f>IF(B45="","",SUM(S45:U45))</f>
        <v/>
      </c>
      <c r="W45" s="558" t="str">
        <f>IF(B45="","",IF(ISBLANK(S45),"",IF(AVERAGE(S45:U45)&lt;10,LEFT(AVERAGE(S45:U45),4),LEFT(AVERAGE(S45:U45),5))))</f>
        <v/>
      </c>
      <c r="X45" s="550" t="str">
        <f>IF(B45="","",IF(W45="","",IF(LEFT(W45,1)="0",0,ROUND(W45,0))))</f>
        <v/>
      </c>
      <c r="Y45" s="316" t="str">
        <f>IF(B45="","",ROUNDUP(AVERAGE(R45,R45,X45),2))</f>
        <v/>
      </c>
      <c r="Z45" s="317" t="str">
        <f>IF(B45="","",IF(TRUNC(Y45,0)=0,0,ROUND(Y45,0)))</f>
        <v/>
      </c>
    </row>
    <row r="46" spans="1:26" s="20" customFormat="1" ht="13.5" customHeight="1" thickBot="1" x14ac:dyDescent="0.25">
      <c r="A46" s="563"/>
      <c r="B46" s="563"/>
      <c r="C46" s="328"/>
      <c r="D46" s="329"/>
      <c r="E46" s="329"/>
      <c r="F46" s="329"/>
      <c r="G46" s="329"/>
      <c r="H46" s="329"/>
      <c r="I46" s="329"/>
      <c r="J46" s="366" t="str">
        <f>IF(OR(B45="",COUNT(C46:I46)=0),"",SUM(C46:I46))</f>
        <v/>
      </c>
      <c r="K46" s="329"/>
      <c r="L46" s="329"/>
      <c r="M46" s="330"/>
      <c r="N46" s="329"/>
      <c r="O46" s="331"/>
      <c r="P46" s="366" t="str">
        <f>IF(OR(B45="",COUNT(K46:O46)=0),"",SUM(K46:O46))</f>
        <v/>
      </c>
      <c r="Q46" s="333" t="str">
        <f>IF(OR(B45="",COUNT(C46:I46)+COUNT(K46:O46)=0),"",ROUND(SUM(P46,J46),0))</f>
        <v/>
      </c>
      <c r="R46" s="315" t="str">
        <f>IF(Q46="","",IF(AP!$E$42="BE",VLOOKUP(Q46+0.5,NB!$V$822:$Y$837,4,TRUE),Q46))</f>
        <v/>
      </c>
      <c r="S46" s="564"/>
      <c r="T46" s="565"/>
      <c r="U46" s="566"/>
      <c r="V46" s="567"/>
      <c r="W46" s="559"/>
      <c r="X46" s="551"/>
      <c r="Y46" s="322" t="str">
        <f>IF(B45="","",ROUNDUP(AVERAGE(R46,R46,X45),2))</f>
        <v/>
      </c>
      <c r="Z46" s="334" t="str">
        <f>IF(B45="","",IF(TRUNC(Y46,0)=0,0,ROUND(Y46,0)))</f>
        <v/>
      </c>
    </row>
    <row r="47" spans="1:26" ht="12.75" customHeight="1" x14ac:dyDescent="0.2">
      <c r="A47" s="562">
        <f>Notenbogen!A39</f>
        <v>0</v>
      </c>
      <c r="B47" s="562" t="str">
        <f>IF(Notenbogen!B40="","",Notenbogen!B40)</f>
        <v/>
      </c>
      <c r="C47" s="323"/>
      <c r="D47" s="307"/>
      <c r="E47" s="307"/>
      <c r="F47" s="307"/>
      <c r="G47" s="307"/>
      <c r="H47" s="307"/>
      <c r="I47" s="307"/>
      <c r="J47" s="373" t="str">
        <f>IF(OR(B47="",COUNT(C47:I47)=0),"",SUM(C47:I47))</f>
        <v/>
      </c>
      <c r="K47" s="310"/>
      <c r="L47" s="311"/>
      <c r="M47" s="310"/>
      <c r="N47" s="312"/>
      <c r="O47" s="311"/>
      <c r="P47" s="313" t="str">
        <f>IF(OR(B47="",COUNT(K47:O47)=0),"",SUM(K47:O47))</f>
        <v/>
      </c>
      <c r="Q47" s="314" t="str">
        <f>IF(OR(B47="",COUNT(C47:I47)+COUNT(K47:O47)=0),"",ROUND(SUM(P47,J47),0))</f>
        <v/>
      </c>
      <c r="R47" s="315" t="str">
        <f>IF(Q47="","",IF(AP!$E$42="BE",VLOOKUP(Q47+0.5,NB!$V$822:$Y$837,4,TRUE),Q47))</f>
        <v/>
      </c>
      <c r="S47" s="560"/>
      <c r="T47" s="552"/>
      <c r="U47" s="554"/>
      <c r="V47" s="556" t="str">
        <f>IF(B47="","",SUM(S47:U47))</f>
        <v/>
      </c>
      <c r="W47" s="558" t="str">
        <f>IF(B47="","",IF(ISBLANK(S47),"",IF(AVERAGE(S47:U47)&lt;10,LEFT(AVERAGE(S47:U47),4),LEFT(AVERAGE(S47:U47),5))))</f>
        <v/>
      </c>
      <c r="X47" s="550" t="str">
        <f>IF(B47="","",IF(W47="","",IF(LEFT(W47,1)="0",0,ROUND(W47,0))))</f>
        <v/>
      </c>
      <c r="Y47" s="316" t="str">
        <f>IF(B47="","",ROUNDUP(AVERAGE(R47,R47,X47),2))</f>
        <v/>
      </c>
      <c r="Z47" s="317" t="str">
        <f>IF(B47="","",IF(TRUNC(Y47,0)=0,0,ROUND(Y47,0)))</f>
        <v/>
      </c>
    </row>
    <row r="48" spans="1:26" ht="13.5" customHeight="1" thickBot="1" x14ac:dyDescent="0.25">
      <c r="A48" s="563"/>
      <c r="B48" s="563"/>
      <c r="C48" s="325"/>
      <c r="D48" s="319"/>
      <c r="E48" s="319"/>
      <c r="F48" s="319"/>
      <c r="G48" s="319"/>
      <c r="H48" s="319"/>
      <c r="I48" s="319"/>
      <c r="J48" s="366" t="str">
        <f>IF(OR(B47="",COUNT(C48:I48)=0),"",SUM(C48:I48))</f>
        <v/>
      </c>
      <c r="K48" s="319"/>
      <c r="L48" s="319"/>
      <c r="M48" s="326"/>
      <c r="N48" s="319"/>
      <c r="O48" s="327"/>
      <c r="P48" s="366" t="str">
        <f>IF(OR(B47="",COUNT(K48:O48)=0),"",SUM(K48:O48))</f>
        <v/>
      </c>
      <c r="Q48" s="333" t="str">
        <f>IF(OR(B47="",COUNT(C48:I48)+COUNT(K48:O48)=0),"",ROUND(SUM(P48,J48),0))</f>
        <v/>
      </c>
      <c r="R48" s="315" t="str">
        <f>IF(Q48="","",IF(AP!$E$42="BE",VLOOKUP(Q48+0.5,NB!$V$822:$Y$837,4,TRUE),Q48))</f>
        <v/>
      </c>
      <c r="S48" s="564"/>
      <c r="T48" s="565"/>
      <c r="U48" s="566"/>
      <c r="V48" s="567"/>
      <c r="W48" s="559"/>
      <c r="X48" s="551"/>
      <c r="Y48" s="322" t="str">
        <f>IF(B47="","",ROUNDUP(AVERAGE(R48,R48,X47),2))</f>
        <v/>
      </c>
      <c r="Z48" s="321" t="str">
        <f>IF(B47="","",IF(TRUNC(Y48,0)=0,0,ROUND(Y48,0)))</f>
        <v/>
      </c>
    </row>
    <row r="49" spans="1:26" ht="12.75" customHeight="1" x14ac:dyDescent="0.2">
      <c r="A49" s="562">
        <f>Notenbogen!A41</f>
        <v>0</v>
      </c>
      <c r="B49" s="562" t="str">
        <f>IF(Notenbogen!B42="","",Notenbogen!B42)</f>
        <v/>
      </c>
      <c r="C49" s="323"/>
      <c r="D49" s="307"/>
      <c r="E49" s="307"/>
      <c r="F49" s="307"/>
      <c r="G49" s="307"/>
      <c r="H49" s="307"/>
      <c r="I49" s="307"/>
      <c r="J49" s="373" t="str">
        <f>IF(OR(B49="",COUNT(C49:I49)=0),"",SUM(C49:I49))</f>
        <v/>
      </c>
      <c r="K49" s="310"/>
      <c r="L49" s="311"/>
      <c r="M49" s="310"/>
      <c r="N49" s="312"/>
      <c r="O49" s="311"/>
      <c r="P49" s="313" t="str">
        <f>IF(OR(B49="",COUNT(K49:O49)=0),"",SUM(K49:O49))</f>
        <v/>
      </c>
      <c r="Q49" s="314" t="str">
        <f>IF(OR(B49="",COUNT(C49:I49)+COUNT(K49:O49)=0),"",ROUND(SUM(P49,J49),0))</f>
        <v/>
      </c>
      <c r="R49" s="315" t="str">
        <f>IF(Q49="","",IF(AP!$E$42="BE",VLOOKUP(Q49+0.5,NB!$V$822:$Y$837,4,TRUE),Q49))</f>
        <v/>
      </c>
      <c r="S49" s="560"/>
      <c r="T49" s="552"/>
      <c r="U49" s="554"/>
      <c r="V49" s="556" t="str">
        <f>IF(B49="","",SUM(S49:U49))</f>
        <v/>
      </c>
      <c r="W49" s="558" t="str">
        <f>IF(B49="","",IF(ISBLANK(S49),"",IF(AVERAGE(S49:U49)&lt;10,LEFT(AVERAGE(S49:U49),4),LEFT(AVERAGE(S49:U49),5))))</f>
        <v/>
      </c>
      <c r="X49" s="550" t="str">
        <f>IF(B49="","",IF(W49="","",IF(LEFT(W49,1)="0",0,ROUND(W49,0))))</f>
        <v/>
      </c>
      <c r="Y49" s="316" t="str">
        <f>IF(B49="","",ROUNDUP(AVERAGE(R49,R49,X49),2))</f>
        <v/>
      </c>
      <c r="Z49" s="317" t="str">
        <f>IF(B49="","",IF(TRUNC(Y49,0)=0,0,ROUND(Y49,0)))</f>
        <v/>
      </c>
    </row>
    <row r="50" spans="1:26" ht="13.5" customHeight="1" thickBot="1" x14ac:dyDescent="0.25">
      <c r="A50" s="563"/>
      <c r="B50" s="563"/>
      <c r="C50" s="325"/>
      <c r="D50" s="319"/>
      <c r="E50" s="319"/>
      <c r="F50" s="319"/>
      <c r="G50" s="319"/>
      <c r="H50" s="319"/>
      <c r="I50" s="319"/>
      <c r="J50" s="366" t="str">
        <f>IF(OR(B49="",COUNT(C50:I50)=0),"",SUM(C50:I50))</f>
        <v/>
      </c>
      <c r="K50" s="319"/>
      <c r="L50" s="319"/>
      <c r="M50" s="326"/>
      <c r="N50" s="319"/>
      <c r="O50" s="327"/>
      <c r="P50" s="366" t="str">
        <f>IF(OR(B49="",COUNT(K50:O50)=0),"",SUM(K50:O50))</f>
        <v/>
      </c>
      <c r="Q50" s="333" t="str">
        <f>IF(OR(B49="",COUNT(C50:I50)+COUNT(K50:O50)=0),"",ROUND(SUM(P50,J50),0))</f>
        <v/>
      </c>
      <c r="R50" s="315" t="str">
        <f>IF(Q50="","",IF(AP!$E$42="BE",VLOOKUP(Q50+0.5,NB!$V$822:$Y$837,4,TRUE),Q50))</f>
        <v/>
      </c>
      <c r="S50" s="564"/>
      <c r="T50" s="565"/>
      <c r="U50" s="566"/>
      <c r="V50" s="567"/>
      <c r="W50" s="559"/>
      <c r="X50" s="551"/>
      <c r="Y50" s="322" t="str">
        <f>IF(B49="","",ROUNDUP(AVERAGE(R50,R50,X49),2))</f>
        <v/>
      </c>
      <c r="Z50" s="321" t="str">
        <f>IF(B49="","",IF(TRUNC(Y50,0)=0,0,ROUND(Y50,0)))</f>
        <v/>
      </c>
    </row>
    <row r="51" spans="1:26" ht="12.75" customHeight="1" x14ac:dyDescent="0.2">
      <c r="A51" s="562">
        <f>Notenbogen!A43</f>
        <v>0</v>
      </c>
      <c r="B51" s="562" t="str">
        <f>IF(Notenbogen!B44="","",Notenbogen!B44)</f>
        <v/>
      </c>
      <c r="C51" s="323"/>
      <c r="D51" s="307"/>
      <c r="E51" s="307"/>
      <c r="F51" s="307"/>
      <c r="G51" s="307"/>
      <c r="H51" s="307"/>
      <c r="I51" s="307"/>
      <c r="J51" s="309" t="str">
        <f>IF(OR(B51="",COUNT(C51:I51)=0),"",SUM(C51:I51))</f>
        <v/>
      </c>
      <c r="K51" s="310"/>
      <c r="L51" s="311"/>
      <c r="M51" s="310"/>
      <c r="N51" s="312"/>
      <c r="O51" s="311"/>
      <c r="P51" s="313" t="str">
        <f>IF(OR(B51="",COUNT(K51:O51)=0),"",SUM(K51:O51))</f>
        <v/>
      </c>
      <c r="Q51" s="314" t="str">
        <f>IF(OR(B51="",COUNT(C51:I51)+COUNT(K51:O51)=0),"",ROUND(SUM(P51,J51),0))</f>
        <v/>
      </c>
      <c r="R51" s="315" t="str">
        <f>IF(Q51="","",IF(AP!$E$42="BE",VLOOKUP(Q51+0.5,NB!$V$822:$Y$837,4,TRUE),Q51))</f>
        <v/>
      </c>
      <c r="S51" s="560"/>
      <c r="T51" s="552"/>
      <c r="U51" s="554"/>
      <c r="V51" s="556" t="str">
        <f>IF(B51="","",SUM(S51:U51))</f>
        <v/>
      </c>
      <c r="W51" s="558" t="str">
        <f>IF(B51="","",IF(ISBLANK(S51),"",IF(AVERAGE(S51:U51)&lt;10,LEFT(AVERAGE(S51:U51),4),LEFT(AVERAGE(S51:U51),5))))</f>
        <v/>
      </c>
      <c r="X51" s="550" t="str">
        <f>IF(B51="","",IF(W51="","",IF(LEFT(W51,1)="0",0,ROUND(W51,0))))</f>
        <v/>
      </c>
      <c r="Y51" s="316" t="str">
        <f>IF(B51="","",ROUNDUP(AVERAGE(R51,R51,X51),2))</f>
        <v/>
      </c>
      <c r="Z51" s="317" t="str">
        <f>IF(B51="","",IF(TRUNC(Y51,0)=0,0,ROUND(Y51,0)))</f>
        <v/>
      </c>
    </row>
    <row r="52" spans="1:26" ht="13.5" customHeight="1" thickBot="1" x14ac:dyDescent="0.25">
      <c r="A52" s="563"/>
      <c r="B52" s="563"/>
      <c r="C52" s="325"/>
      <c r="D52" s="319"/>
      <c r="E52" s="319"/>
      <c r="F52" s="319"/>
      <c r="G52" s="319"/>
      <c r="H52" s="319"/>
      <c r="I52" s="319"/>
      <c r="J52" s="375" t="str">
        <f>IF(OR(B51="",COUNT(C52:I52)=0),"",SUM(C52:I52))</f>
        <v/>
      </c>
      <c r="K52" s="319"/>
      <c r="L52" s="319"/>
      <c r="M52" s="326"/>
      <c r="N52" s="319"/>
      <c r="O52" s="327"/>
      <c r="P52" s="366" t="str">
        <f>IF(OR(B51="",COUNT(K52:O52)=0),"",SUM(K52:O52))</f>
        <v/>
      </c>
      <c r="Q52" s="333" t="str">
        <f>IF(OR(B51="",COUNT(C52:I52)+COUNT(K52:O52)=0),"",ROUND(SUM(P52,J52),0))</f>
        <v/>
      </c>
      <c r="R52" s="315" t="str">
        <f>IF(Q52="","",IF(AP!$E$42="BE",VLOOKUP(Q52+0.5,NB!$V$822:$Y$837,4,TRUE),Q52))</f>
        <v/>
      </c>
      <c r="S52" s="564"/>
      <c r="T52" s="565"/>
      <c r="U52" s="566"/>
      <c r="V52" s="567"/>
      <c r="W52" s="559"/>
      <c r="X52" s="551"/>
      <c r="Y52" s="322" t="str">
        <f>IF(B51="","",ROUNDUP(AVERAGE(R52,R52,X51),2))</f>
        <v/>
      </c>
      <c r="Z52" s="321" t="str">
        <f>IF(B51="","",IF(TRUNC(Y52,0)=0,0,ROUND(Y52,0)))</f>
        <v/>
      </c>
    </row>
    <row r="53" spans="1:26" ht="12.75" customHeight="1" x14ac:dyDescent="0.2">
      <c r="A53" s="562">
        <f>Notenbogen!A45</f>
        <v>0</v>
      </c>
      <c r="B53" s="562" t="str">
        <f>IF(Notenbogen!B46="","",Notenbogen!B46)</f>
        <v/>
      </c>
      <c r="C53" s="323"/>
      <c r="D53" s="307"/>
      <c r="E53" s="307"/>
      <c r="F53" s="307"/>
      <c r="G53" s="307"/>
      <c r="H53" s="307"/>
      <c r="I53" s="307"/>
      <c r="J53" s="309" t="str">
        <f>IF(OR(B53="",COUNT(C53:I53)=0),"",SUM(C53:I53))</f>
        <v/>
      </c>
      <c r="K53" s="310"/>
      <c r="L53" s="311"/>
      <c r="M53" s="310"/>
      <c r="N53" s="312"/>
      <c r="O53" s="311"/>
      <c r="P53" s="313" t="str">
        <f>IF(OR(B53="",COUNT(K53:O53)=0),"",SUM(K53:O53))</f>
        <v/>
      </c>
      <c r="Q53" s="314" t="str">
        <f>IF(OR(B53="",COUNT(C53:I53)+COUNT(K53:O53)=0),"",ROUND(SUM(P53,J53),0))</f>
        <v/>
      </c>
      <c r="R53" s="315" t="str">
        <f>IF(Q53="","",IF(AP!$E$42="BE",VLOOKUP(Q53+0.5,NB!$V$822:$Y$837,4,TRUE),Q53))</f>
        <v/>
      </c>
      <c r="S53" s="560"/>
      <c r="T53" s="552"/>
      <c r="U53" s="554"/>
      <c r="V53" s="556" t="str">
        <f>IF(B53="","",SUM(S53:U53))</f>
        <v/>
      </c>
      <c r="W53" s="558" t="str">
        <f>IF(B53="","",IF(ISBLANK(S53),"",IF(AVERAGE(S53:U53)&lt;10,LEFT(AVERAGE(S53:U53),4),LEFT(AVERAGE(S53:U53),5))))</f>
        <v/>
      </c>
      <c r="X53" s="550" t="str">
        <f>IF(B53="","",IF(W53="","",IF(LEFT(W53,1)="0",0,ROUND(W53,0))))</f>
        <v/>
      </c>
      <c r="Y53" s="316" t="str">
        <f>IF(B53="","",ROUNDUP(AVERAGE(R53,R53,X53),2))</f>
        <v/>
      </c>
      <c r="Z53" s="317" t="str">
        <f>IF(B53="","",IF(TRUNC(Y53,0)=0,0,ROUND(Y53,0)))</f>
        <v/>
      </c>
    </row>
    <row r="54" spans="1:26" ht="13.5" customHeight="1" thickBot="1" x14ac:dyDescent="0.25">
      <c r="A54" s="563"/>
      <c r="B54" s="563"/>
      <c r="C54" s="325"/>
      <c r="D54" s="319"/>
      <c r="E54" s="319"/>
      <c r="F54" s="319"/>
      <c r="G54" s="319"/>
      <c r="H54" s="319"/>
      <c r="I54" s="319"/>
      <c r="J54" s="375" t="str">
        <f>IF(OR(B53="",COUNT(C54:I54)=0),"",SUM(C54:I54))</f>
        <v/>
      </c>
      <c r="K54" s="319"/>
      <c r="L54" s="319"/>
      <c r="M54" s="326"/>
      <c r="N54" s="319"/>
      <c r="O54" s="327"/>
      <c r="P54" s="366" t="str">
        <f>IF(OR(B53="",COUNT(K54:O54)=0),"",SUM(K54:O54))</f>
        <v/>
      </c>
      <c r="Q54" s="333" t="str">
        <f>IF(OR(B53="",COUNT(C54:I54)+COUNT(K54:O54)=0),"",ROUND(SUM(P54,J54),0))</f>
        <v/>
      </c>
      <c r="R54" s="315" t="str">
        <f>IF(Q54="","",IF(AP!$E$42="BE",VLOOKUP(Q54+0.5,NB!$V$822:$Y$837,4,TRUE),Q54))</f>
        <v/>
      </c>
      <c r="S54" s="564"/>
      <c r="T54" s="565"/>
      <c r="U54" s="566"/>
      <c r="V54" s="567"/>
      <c r="W54" s="559"/>
      <c r="X54" s="551"/>
      <c r="Y54" s="322" t="str">
        <f>IF(B53="","",ROUNDUP(AVERAGE(R54,R54,X53),2))</f>
        <v/>
      </c>
      <c r="Z54" s="321" t="str">
        <f>IF(B53="","",IF(TRUNC(Y54,0)=0,0,ROUND(Y54,0)))</f>
        <v/>
      </c>
    </row>
    <row r="55" spans="1:26" ht="12.75" customHeight="1" x14ac:dyDescent="0.2">
      <c r="A55" s="562">
        <f>Notenbogen!A47</f>
        <v>0</v>
      </c>
      <c r="B55" s="562" t="str">
        <f>IF(Notenbogen!B48="","",Notenbogen!B48)</f>
        <v/>
      </c>
      <c r="C55" s="323"/>
      <c r="D55" s="307"/>
      <c r="E55" s="307"/>
      <c r="F55" s="307"/>
      <c r="G55" s="307"/>
      <c r="H55" s="307"/>
      <c r="I55" s="307"/>
      <c r="J55" s="309" t="str">
        <f>IF(OR(B55="",COUNT(C55:I55)=0),"",SUM(C55:I55))</f>
        <v/>
      </c>
      <c r="K55" s="310"/>
      <c r="L55" s="311"/>
      <c r="M55" s="310"/>
      <c r="N55" s="312"/>
      <c r="O55" s="311"/>
      <c r="P55" s="313" t="str">
        <f>IF(OR(B55="",COUNT(K55:O55)=0),"",SUM(K55:O55))</f>
        <v/>
      </c>
      <c r="Q55" s="314" t="str">
        <f>IF(OR(B55="",COUNT(C55:I55)+COUNT(K55:O55)=0),"",ROUND(SUM(P55,J55),0))</f>
        <v/>
      </c>
      <c r="R55" s="315" t="str">
        <f>IF(Q55="","",IF(AP!$E$42="BE",VLOOKUP(Q55+0.5,NB!$V$822:$Y$837,4,TRUE),Q55))</f>
        <v/>
      </c>
      <c r="S55" s="560"/>
      <c r="T55" s="552"/>
      <c r="U55" s="554"/>
      <c r="V55" s="556" t="str">
        <f>IF(B55="","",SUM(S55:U55))</f>
        <v/>
      </c>
      <c r="W55" s="558" t="str">
        <f>IF(B55="","",IF(ISBLANK(S55),"",IF(AVERAGE(S55:U55)&lt;10,LEFT(AVERAGE(S55:U55),4),LEFT(AVERAGE(S55:U55),5))))</f>
        <v/>
      </c>
      <c r="X55" s="550" t="str">
        <f>IF(B55="","",IF(W55="","",IF(LEFT(W55,1)="0",0,ROUND(W55,0))))</f>
        <v/>
      </c>
      <c r="Y55" s="316" t="str">
        <f>IF(B55="","",ROUNDUP(AVERAGE(R55,R55,X55),2))</f>
        <v/>
      </c>
      <c r="Z55" s="317" t="str">
        <f>IF(B55="","",IF(TRUNC(Y55,0)=0,0,ROUND(Y55,0)))</f>
        <v/>
      </c>
    </row>
    <row r="56" spans="1:26" ht="13.5" customHeight="1" thickBot="1" x14ac:dyDescent="0.25">
      <c r="A56" s="563"/>
      <c r="B56" s="563"/>
      <c r="C56" s="325"/>
      <c r="D56" s="319"/>
      <c r="E56" s="319"/>
      <c r="F56" s="319"/>
      <c r="G56" s="319"/>
      <c r="H56" s="319"/>
      <c r="I56" s="319"/>
      <c r="J56" s="375" t="str">
        <f>IF(OR(B55="",COUNT(C56:I56)=0),"",SUM(C56:I56))</f>
        <v/>
      </c>
      <c r="K56" s="319"/>
      <c r="L56" s="319"/>
      <c r="M56" s="326"/>
      <c r="N56" s="319"/>
      <c r="O56" s="327"/>
      <c r="P56" s="366" t="str">
        <f>IF(OR(B55="",COUNT(K56:O56)=0),"",SUM(K56:O56))</f>
        <v/>
      </c>
      <c r="Q56" s="333" t="str">
        <f>IF(OR(B55="",COUNT(C56:I56)+COUNT(K56:O56)=0),"",ROUND(SUM(P56,J56),0))</f>
        <v/>
      </c>
      <c r="R56" s="315" t="str">
        <f>IF(Q56="","",IF(AP!$E$42="BE",VLOOKUP(Q56+0.5,NB!$V$822:$Y$837,4,TRUE),Q56))</f>
        <v/>
      </c>
      <c r="S56" s="564"/>
      <c r="T56" s="565"/>
      <c r="U56" s="566"/>
      <c r="V56" s="567"/>
      <c r="W56" s="559"/>
      <c r="X56" s="551"/>
      <c r="Y56" s="322" t="str">
        <f>IF(B55="","",ROUNDUP(AVERAGE(R56,R56,X55),2))</f>
        <v/>
      </c>
      <c r="Z56" s="321" t="str">
        <f>IF(B55="","",IF(TRUNC(Y56,0)=0,0,ROUND(Y56,0)))</f>
        <v/>
      </c>
    </row>
    <row r="57" spans="1:26" ht="12.75" customHeight="1" x14ac:dyDescent="0.2">
      <c r="A57" s="562">
        <f>Notenbogen!A49</f>
        <v>0</v>
      </c>
      <c r="B57" s="562" t="str">
        <f>IF(Notenbogen!B50="","",Notenbogen!B50)</f>
        <v/>
      </c>
      <c r="C57" s="323"/>
      <c r="D57" s="307"/>
      <c r="E57" s="307"/>
      <c r="F57" s="307"/>
      <c r="G57" s="307"/>
      <c r="H57" s="307"/>
      <c r="I57" s="307"/>
      <c r="J57" s="309" t="str">
        <f>IF(OR(B57="",COUNT(C57:I57)=0),"",SUM(C57:I57))</f>
        <v/>
      </c>
      <c r="K57" s="310"/>
      <c r="L57" s="311"/>
      <c r="M57" s="310"/>
      <c r="N57" s="312"/>
      <c r="O57" s="311"/>
      <c r="P57" s="313" t="str">
        <f>IF(OR(B57="",COUNT(K57:O57)=0),"",SUM(K57:O57))</f>
        <v/>
      </c>
      <c r="Q57" s="314" t="str">
        <f>IF(OR(B57="",COUNT(C57:I57)+COUNT(K57:O57)=0),"",ROUND(SUM(P57,J57),0))</f>
        <v/>
      </c>
      <c r="R57" s="315" t="str">
        <f>IF(Q57="","",IF(AP!$E$42="BE",VLOOKUP(Q57+0.5,NB!$V$822:$Y$837,4,TRUE),Q57))</f>
        <v/>
      </c>
      <c r="S57" s="560"/>
      <c r="T57" s="552"/>
      <c r="U57" s="554"/>
      <c r="V57" s="556" t="str">
        <f>IF(B57="","",SUM(S57:U57))</f>
        <v/>
      </c>
      <c r="W57" s="558" t="str">
        <f>IF(B57="","",IF(ISBLANK(S57),"",IF(AVERAGE(S57:U57)&lt;10,LEFT(AVERAGE(S57:U57),4),LEFT(AVERAGE(S57:U57),5))))</f>
        <v/>
      </c>
      <c r="X57" s="550" t="str">
        <f>IF(B57="","",IF(W57="","",IF(LEFT(W57,1)="0",0,ROUND(W57,0))))</f>
        <v/>
      </c>
      <c r="Y57" s="316" t="str">
        <f>IF(B57="","",ROUNDUP(AVERAGE(R57,R57,X57),2))</f>
        <v/>
      </c>
      <c r="Z57" s="317" t="str">
        <f>IF(B57="","",IF(TRUNC(Y57,0)=0,0,ROUND(Y57,0)))</f>
        <v/>
      </c>
    </row>
    <row r="58" spans="1:26" ht="13.5" customHeight="1" thickBot="1" x14ac:dyDescent="0.25">
      <c r="A58" s="563"/>
      <c r="B58" s="563"/>
      <c r="C58" s="325"/>
      <c r="D58" s="319"/>
      <c r="E58" s="319"/>
      <c r="F58" s="319"/>
      <c r="G58" s="319"/>
      <c r="H58" s="319"/>
      <c r="I58" s="319"/>
      <c r="J58" s="375" t="str">
        <f>IF(OR(B57="",COUNT(C58:I58)=0),"",SUM(C58:I58))</f>
        <v/>
      </c>
      <c r="K58" s="319"/>
      <c r="L58" s="319"/>
      <c r="M58" s="326"/>
      <c r="N58" s="319"/>
      <c r="O58" s="327"/>
      <c r="P58" s="366" t="str">
        <f>IF(OR(B57="",COUNT(K58:O58)=0),"",SUM(K58:O58))</f>
        <v/>
      </c>
      <c r="Q58" s="333" t="str">
        <f>IF(OR(B57="",COUNT(C58:I58)+COUNT(K58:O58)=0),"",ROUND(SUM(P58,J58),0))</f>
        <v/>
      </c>
      <c r="R58" s="315" t="str">
        <f>IF(Q58="","",IF(AP!$E$42="BE",VLOOKUP(Q58+0.5,NB!$V$822:$Y$837,4,TRUE),Q58))</f>
        <v/>
      </c>
      <c r="S58" s="564"/>
      <c r="T58" s="565"/>
      <c r="U58" s="566"/>
      <c r="V58" s="567"/>
      <c r="W58" s="559"/>
      <c r="X58" s="551"/>
      <c r="Y58" s="322" t="str">
        <f>IF(B57="","",ROUNDUP(AVERAGE(R58,R58,X57),2))</f>
        <v/>
      </c>
      <c r="Z58" s="321" t="str">
        <f>IF(B57="","",IF(TRUNC(Y58,0)=0,0,ROUND(Y58,0)))</f>
        <v/>
      </c>
    </row>
    <row r="59" spans="1:26" ht="12.75" customHeight="1" x14ac:dyDescent="0.2">
      <c r="A59" s="562">
        <f>Notenbogen!A51</f>
        <v>0</v>
      </c>
      <c r="B59" s="562" t="str">
        <f>IF(Notenbogen!B52="","",Notenbogen!B52)</f>
        <v/>
      </c>
      <c r="C59" s="323"/>
      <c r="D59" s="307"/>
      <c r="E59" s="307"/>
      <c r="F59" s="307"/>
      <c r="G59" s="307"/>
      <c r="H59" s="307"/>
      <c r="I59" s="307"/>
      <c r="J59" s="373" t="str">
        <f>IF(OR(B59="",COUNT(C59:I59)=0),"",SUM(C59:I59))</f>
        <v/>
      </c>
      <c r="K59" s="310"/>
      <c r="L59" s="311"/>
      <c r="M59" s="310"/>
      <c r="N59" s="312"/>
      <c r="O59" s="311"/>
      <c r="P59" s="313" t="str">
        <f>IF(OR(B59="",COUNT(K59:O59)=0),"",SUM(K59:O59))</f>
        <v/>
      </c>
      <c r="Q59" s="314" t="str">
        <f>IF(OR(B59="",COUNT(C59:I59)+COUNT(K59:O59)=0),"",ROUND(SUM(P59,J59),0))</f>
        <v/>
      </c>
      <c r="R59" s="315" t="str">
        <f>IF(Q59="","",IF(AP!$E$42="BE",VLOOKUP(Q59+0.5,NB!$V$822:$Y$837,4,TRUE),Q59))</f>
        <v/>
      </c>
      <c r="S59" s="560"/>
      <c r="T59" s="552"/>
      <c r="U59" s="554"/>
      <c r="V59" s="556" t="str">
        <f>IF(B59="","",SUM(S59:U59))</f>
        <v/>
      </c>
      <c r="W59" s="558" t="str">
        <f>IF(B59="","",IF(ISBLANK(S59),"",IF(AVERAGE(S59:U59)&lt;10,LEFT(AVERAGE(S59:U59),4),LEFT(AVERAGE(S59:U59),5))))</f>
        <v/>
      </c>
      <c r="X59" s="550" t="str">
        <f>IF(B59="","",IF(W59="","",IF(LEFT(W59,1)="0",0,ROUND(W59,0))))</f>
        <v/>
      </c>
      <c r="Y59" s="316" t="str">
        <f>IF(B59="","",ROUNDUP(AVERAGE(R59,R59,X59),2))</f>
        <v/>
      </c>
      <c r="Z59" s="317" t="str">
        <f>IF(B59="","",IF(TRUNC(Y59,0)=0,0,ROUND(Y59,0)))</f>
        <v/>
      </c>
    </row>
    <row r="60" spans="1:26" ht="13.5" customHeight="1" thickBot="1" x14ac:dyDescent="0.25">
      <c r="A60" s="563"/>
      <c r="B60" s="563"/>
      <c r="C60" s="325"/>
      <c r="D60" s="319"/>
      <c r="E60" s="319"/>
      <c r="F60" s="319"/>
      <c r="G60" s="319"/>
      <c r="H60" s="319"/>
      <c r="I60" s="319"/>
      <c r="J60" s="366" t="str">
        <f>IF(OR(B59="",COUNT(C60:I60)=0),"",SUM(C60:I60))</f>
        <v/>
      </c>
      <c r="K60" s="319"/>
      <c r="L60" s="319"/>
      <c r="M60" s="326"/>
      <c r="N60" s="319"/>
      <c r="O60" s="327"/>
      <c r="P60" s="366" t="str">
        <f>IF(OR(B59="",COUNT(K60:O60)=0),"",SUM(K60:O60))</f>
        <v/>
      </c>
      <c r="Q60" s="333" t="str">
        <f>IF(OR(B59="",COUNT(C60:I60)+COUNT(K60:O60)=0),"",ROUND(SUM(P60,J60),0))</f>
        <v/>
      </c>
      <c r="R60" s="315" t="str">
        <f>IF(Q60="","",IF(AP!$E$42="BE",VLOOKUP(Q60+0.5,NB!$V$822:$Y$837,4,TRUE),Q60))</f>
        <v/>
      </c>
      <c r="S60" s="564"/>
      <c r="T60" s="565"/>
      <c r="U60" s="566"/>
      <c r="V60" s="567"/>
      <c r="W60" s="559"/>
      <c r="X60" s="551"/>
      <c r="Y60" s="322" t="str">
        <f>IF(B59="","",ROUNDUP(AVERAGE(R60,R60,X59),2))</f>
        <v/>
      </c>
      <c r="Z60" s="321" t="str">
        <f>IF(B59="","",IF(TRUNC(Y60,0)=0,0,ROUND(Y60,0)))</f>
        <v/>
      </c>
    </row>
    <row r="61" spans="1:26" ht="12.75" customHeight="1" x14ac:dyDescent="0.2">
      <c r="A61" s="562">
        <f>Notenbogen!A53</f>
        <v>0</v>
      </c>
      <c r="B61" s="562" t="str">
        <f>IF(Notenbogen!B54="","",Notenbogen!B54)</f>
        <v/>
      </c>
      <c r="C61" s="323"/>
      <c r="D61" s="307"/>
      <c r="E61" s="307"/>
      <c r="F61" s="307"/>
      <c r="G61" s="307"/>
      <c r="H61" s="307"/>
      <c r="I61" s="307"/>
      <c r="J61" s="373" t="str">
        <f>IF(OR(B61="",COUNT(C61:I61)=0),"",SUM(C61:I61))</f>
        <v/>
      </c>
      <c r="K61" s="310"/>
      <c r="L61" s="311"/>
      <c r="M61" s="310"/>
      <c r="N61" s="312"/>
      <c r="O61" s="311"/>
      <c r="P61" s="313" t="str">
        <f>IF(OR(B61="",COUNT(K61:O61)=0),"",SUM(K61:O61))</f>
        <v/>
      </c>
      <c r="Q61" s="314" t="str">
        <f>IF(OR(B61="",COUNT(C61:I61)+COUNT(K61:O61)=0),"",ROUND(SUM(P61,J61),0))</f>
        <v/>
      </c>
      <c r="R61" s="315" t="str">
        <f>IF(Q61="","",IF(AP!$E$42="BE",VLOOKUP(Q61+0.5,NB!$V$822:$Y$837,4,TRUE),Q61))</f>
        <v/>
      </c>
      <c r="S61" s="560"/>
      <c r="T61" s="552"/>
      <c r="U61" s="554"/>
      <c r="V61" s="556" t="str">
        <f>IF(B61="","",SUM(S61:U61))</f>
        <v/>
      </c>
      <c r="W61" s="558" t="str">
        <f>IF(B61="","",IF(ISBLANK(S61),"",IF(AVERAGE(S61:U61)&lt;10,LEFT(AVERAGE(S61:U61),4),LEFT(AVERAGE(S61:U61),5))))</f>
        <v/>
      </c>
      <c r="X61" s="550" t="str">
        <f>IF(B61="","",IF(W61="","",IF(LEFT(W61,1)="0",0,ROUND(W61,0))))</f>
        <v/>
      </c>
      <c r="Y61" s="316" t="str">
        <f>IF(B61="","",ROUNDUP(AVERAGE(R61,R61,X61),2))</f>
        <v/>
      </c>
      <c r="Z61" s="317" t="str">
        <f>IF(B61="","",IF(TRUNC(Y61,0)=0,0,ROUND(Y61,0)))</f>
        <v/>
      </c>
    </row>
    <row r="62" spans="1:26" ht="13.5" customHeight="1" thickBot="1" x14ac:dyDescent="0.25">
      <c r="A62" s="563"/>
      <c r="B62" s="563"/>
      <c r="C62" s="325"/>
      <c r="D62" s="319"/>
      <c r="E62" s="319"/>
      <c r="F62" s="319"/>
      <c r="G62" s="319"/>
      <c r="H62" s="319"/>
      <c r="I62" s="319"/>
      <c r="J62" s="366" t="str">
        <f>IF(OR(B61="",COUNT(C62:I62)=0),"",SUM(C62:I62))</f>
        <v/>
      </c>
      <c r="K62" s="319"/>
      <c r="L62" s="319"/>
      <c r="M62" s="326"/>
      <c r="N62" s="319"/>
      <c r="O62" s="327"/>
      <c r="P62" s="366" t="str">
        <f>IF(OR(B61="",COUNT(K62:O62)=0),"",SUM(K62:O62))</f>
        <v/>
      </c>
      <c r="Q62" s="333" t="str">
        <f>IF(OR(B61="",COUNT(C62:I62)+COUNT(K62:O62)=0),"",ROUND(SUM(P62,J62),0))</f>
        <v/>
      </c>
      <c r="R62" s="315" t="str">
        <f>IF(Q62="","",IF(AP!$E$42="BE",VLOOKUP(Q62+0.5,NB!$V$822:$Y$837,4,TRUE),Q62))</f>
        <v/>
      </c>
      <c r="S62" s="564"/>
      <c r="T62" s="565"/>
      <c r="U62" s="566"/>
      <c r="V62" s="567"/>
      <c r="W62" s="559"/>
      <c r="X62" s="551"/>
      <c r="Y62" s="322" t="str">
        <f>IF(B61="","",ROUNDUP(AVERAGE(R62,R62,X61),2))</f>
        <v/>
      </c>
      <c r="Z62" s="321" t="str">
        <f>IF(B61="","",IF(TRUNC(Y62,0)=0,0,ROUND(Y62,0)))</f>
        <v/>
      </c>
    </row>
    <row r="63" spans="1:26" ht="12.75" customHeight="1" x14ac:dyDescent="0.2">
      <c r="A63" s="562">
        <f>Notenbogen!A55</f>
        <v>0</v>
      </c>
      <c r="B63" s="562" t="str">
        <f>IF(Notenbogen!B56="","",Notenbogen!B56)</f>
        <v/>
      </c>
      <c r="C63" s="323"/>
      <c r="D63" s="307"/>
      <c r="E63" s="307"/>
      <c r="F63" s="307"/>
      <c r="G63" s="307"/>
      <c r="H63" s="307"/>
      <c r="I63" s="307"/>
      <c r="J63" s="373" t="str">
        <f>IF(OR(B63="",COUNT(C63:I63)=0),"",SUM(C63:I63))</f>
        <v/>
      </c>
      <c r="K63" s="310"/>
      <c r="L63" s="311"/>
      <c r="M63" s="310"/>
      <c r="N63" s="312"/>
      <c r="O63" s="311"/>
      <c r="P63" s="313" t="str">
        <f>IF(OR(B63="",COUNT(K63:O63)=0),"",SUM(K63:O63))</f>
        <v/>
      </c>
      <c r="Q63" s="314" t="str">
        <f>IF(OR(B63="",COUNT(C63:I63)+COUNT(K63:O63)=0),"",ROUND(SUM(P63,J63),0))</f>
        <v/>
      </c>
      <c r="R63" s="315" t="str">
        <f>IF(Q63="","",IF(AP!$E$42="BE",VLOOKUP(Q63+0.5,NB!$V$822:$Y$837,4,TRUE),Q63))</f>
        <v/>
      </c>
      <c r="S63" s="560"/>
      <c r="T63" s="552"/>
      <c r="U63" s="554"/>
      <c r="V63" s="556" t="str">
        <f>IF(B63="","",SUM(S63:U63))</f>
        <v/>
      </c>
      <c r="W63" s="558" t="str">
        <f>IF(B63="","",IF(ISBLANK(S63),"",IF(AVERAGE(S63:U63)&lt;10,LEFT(AVERAGE(S63:U63),4),LEFT(AVERAGE(S63:U63),5))))</f>
        <v/>
      </c>
      <c r="X63" s="550" t="str">
        <f>IF(B63="","",IF(W63="","",IF(LEFT(W63,1)="0",0,ROUND(W63,0))))</f>
        <v/>
      </c>
      <c r="Y63" s="316" t="str">
        <f>IF(B63="","",ROUNDUP(AVERAGE(R63,R63,X63),2))</f>
        <v/>
      </c>
      <c r="Z63" s="317" t="str">
        <f>IF(B63="","",IF(TRUNC(Y63,0)=0,0,ROUND(Y63,0)))</f>
        <v/>
      </c>
    </row>
    <row r="64" spans="1:26" ht="13.5" customHeight="1" thickBot="1" x14ac:dyDescent="0.25">
      <c r="A64" s="563"/>
      <c r="B64" s="563"/>
      <c r="C64" s="325"/>
      <c r="D64" s="319"/>
      <c r="E64" s="319"/>
      <c r="F64" s="319"/>
      <c r="G64" s="319"/>
      <c r="H64" s="319"/>
      <c r="I64" s="319"/>
      <c r="J64" s="366" t="str">
        <f>IF(OR(B63="",COUNT(C64:I64)=0),"",SUM(C64:I64))</f>
        <v/>
      </c>
      <c r="K64" s="319"/>
      <c r="L64" s="319"/>
      <c r="M64" s="326"/>
      <c r="N64" s="319"/>
      <c r="O64" s="327"/>
      <c r="P64" s="366" t="str">
        <f>IF(OR(B63="",COUNT(K64:O64)=0),"",SUM(K64:O64))</f>
        <v/>
      </c>
      <c r="Q64" s="333" t="str">
        <f>IF(OR(B63="",COUNT(C64:I64)+COUNT(K64:O64)=0),"",ROUND(SUM(P64,J64),0))</f>
        <v/>
      </c>
      <c r="R64" s="315" t="str">
        <f>IF(Q64="","",IF(AP!$E$42="BE",VLOOKUP(Q64+0.5,NB!$V$822:$Y$837,4,TRUE),Q64))</f>
        <v/>
      </c>
      <c r="S64" s="564"/>
      <c r="T64" s="565"/>
      <c r="U64" s="566"/>
      <c r="V64" s="567"/>
      <c r="W64" s="559"/>
      <c r="X64" s="551"/>
      <c r="Y64" s="322" t="str">
        <f>IF(B63="","",ROUNDUP(AVERAGE(R64,R64,X63),2))</f>
        <v/>
      </c>
      <c r="Z64" s="321" t="str">
        <f>IF(B63="","",IF(TRUNC(Y64,0)=0,0,ROUND(Y64,0)))</f>
        <v/>
      </c>
    </row>
    <row r="65" spans="1:26" ht="12.75" customHeight="1" x14ac:dyDescent="0.2">
      <c r="A65" s="562">
        <f>Notenbogen!A57</f>
        <v>0</v>
      </c>
      <c r="B65" s="562" t="str">
        <f>IF(Notenbogen!B58="","",Notenbogen!B58)</f>
        <v/>
      </c>
      <c r="C65" s="323"/>
      <c r="D65" s="307"/>
      <c r="E65" s="307"/>
      <c r="F65" s="307"/>
      <c r="G65" s="307"/>
      <c r="H65" s="307"/>
      <c r="I65" s="307"/>
      <c r="J65" s="373" t="str">
        <f>IF(OR(B65="",COUNT(C65:I65)=0),"",SUM(C65:I65))</f>
        <v/>
      </c>
      <c r="K65" s="310"/>
      <c r="L65" s="311"/>
      <c r="M65" s="310"/>
      <c r="N65" s="312"/>
      <c r="O65" s="311"/>
      <c r="P65" s="313" t="str">
        <f>IF(OR(B65="",COUNT(K65:O65)=0),"",SUM(K65:O65))</f>
        <v/>
      </c>
      <c r="Q65" s="314" t="str">
        <f>IF(OR(B65="",COUNT(C65:I65)+COUNT(K65:O65)=0),"",ROUND(SUM(P65,J65),0))</f>
        <v/>
      </c>
      <c r="R65" s="315" t="str">
        <f>IF(Q65="","",IF(AP!$E$42="BE",VLOOKUP(Q65+0.5,NB!$V$822:$Y$837,4,TRUE),Q65))</f>
        <v/>
      </c>
      <c r="S65" s="560"/>
      <c r="T65" s="552"/>
      <c r="U65" s="554"/>
      <c r="V65" s="556" t="str">
        <f>IF(B65="","",SUM(S65:U65))</f>
        <v/>
      </c>
      <c r="W65" s="558" t="str">
        <f>IF(B65="","",IF(ISBLANK(S65),"",IF(AVERAGE(S65:U65)&lt;10,LEFT(AVERAGE(S65:U65),4),LEFT(AVERAGE(S65:U65),5))))</f>
        <v/>
      </c>
      <c r="X65" s="550" t="str">
        <f>IF(B65="","",IF(W65="","",IF(LEFT(W65,1)="0",0,ROUND(W65,0))))</f>
        <v/>
      </c>
      <c r="Y65" s="316" t="str">
        <f>IF(B65="","",ROUNDUP(AVERAGE(R65,R65,X65),2))</f>
        <v/>
      </c>
      <c r="Z65" s="317" t="str">
        <f>IF(B65="","",IF(TRUNC(Y65,0)=0,0,ROUND(Y65,0)))</f>
        <v/>
      </c>
    </row>
    <row r="66" spans="1:26" ht="13.5" customHeight="1" thickBot="1" x14ac:dyDescent="0.25">
      <c r="A66" s="563"/>
      <c r="B66" s="563"/>
      <c r="C66" s="325"/>
      <c r="D66" s="319"/>
      <c r="E66" s="319"/>
      <c r="F66" s="319"/>
      <c r="G66" s="319"/>
      <c r="H66" s="319"/>
      <c r="I66" s="319"/>
      <c r="J66" s="366" t="str">
        <f>IF(OR(B65="",COUNT(C66:I66)=0),"",SUM(C66:I66))</f>
        <v/>
      </c>
      <c r="K66" s="319"/>
      <c r="L66" s="319"/>
      <c r="M66" s="326"/>
      <c r="N66" s="319"/>
      <c r="O66" s="327"/>
      <c r="P66" s="366" t="str">
        <f>IF(OR(B65="",COUNT(K66:O66)=0),"",SUM(K66:O66))</f>
        <v/>
      </c>
      <c r="Q66" s="333" t="str">
        <f>IF(OR(B65="",COUNT(C66:I66)+COUNT(K66:O66)=0),"",ROUND(SUM(P66,J66),0))</f>
        <v/>
      </c>
      <c r="R66" s="315" t="str">
        <f>IF(Q66="","",IF(AP!$E$42="BE",VLOOKUP(Q66+0.5,NB!$V$822:$Y$837,4,TRUE),Q66))</f>
        <v/>
      </c>
      <c r="S66" s="564"/>
      <c r="T66" s="565"/>
      <c r="U66" s="566"/>
      <c r="V66" s="567"/>
      <c r="W66" s="559"/>
      <c r="X66" s="551"/>
      <c r="Y66" s="322" t="str">
        <f>IF(B65="","",ROUNDUP(AVERAGE(R66,R66,X65),2))</f>
        <v/>
      </c>
      <c r="Z66" s="321" t="str">
        <f>IF(B65="","",IF(TRUNC(Y66,0)=0,0,ROUND(Y66,0)))</f>
        <v/>
      </c>
    </row>
    <row r="67" spans="1:26" ht="12.75" customHeight="1" x14ac:dyDescent="0.2">
      <c r="A67" s="562">
        <f>Notenbogen!A59</f>
        <v>0</v>
      </c>
      <c r="B67" s="562" t="str">
        <f>IF(Notenbogen!B60="","",Notenbogen!B60)</f>
        <v/>
      </c>
      <c r="C67" s="323"/>
      <c r="D67" s="307"/>
      <c r="E67" s="307"/>
      <c r="F67" s="307"/>
      <c r="G67" s="307"/>
      <c r="H67" s="307"/>
      <c r="I67" s="307"/>
      <c r="J67" s="373" t="str">
        <f>IF(OR(B67="",COUNT(C67:I67)=0),"",SUM(C67:I67))</f>
        <v/>
      </c>
      <c r="K67" s="310"/>
      <c r="L67" s="311"/>
      <c r="M67" s="310"/>
      <c r="N67" s="312"/>
      <c r="O67" s="311"/>
      <c r="P67" s="313" t="str">
        <f>IF(OR(B67="",COUNT(K67:O67)=0),"",SUM(K67:O67))</f>
        <v/>
      </c>
      <c r="Q67" s="314" t="str">
        <f>IF(OR(B67="",COUNT(C67:I67)+COUNT(K67:O67)=0),"",ROUND(SUM(P67,J67),0))</f>
        <v/>
      </c>
      <c r="R67" s="315" t="str">
        <f>IF(Q67="","",IF(AP!$E$42="BE",VLOOKUP(Q67+0.5,NB!$V$822:$Y$837,4,TRUE),Q67))</f>
        <v/>
      </c>
      <c r="S67" s="560"/>
      <c r="T67" s="552"/>
      <c r="U67" s="554"/>
      <c r="V67" s="556" t="str">
        <f>IF(B67="","",SUM(S67:U67))</f>
        <v/>
      </c>
      <c r="W67" s="558" t="str">
        <f>IF(B67="","",IF(ISBLANK(S67),"",IF(AVERAGE(S67:U67)&lt;10,LEFT(AVERAGE(S67:U67),4),LEFT(AVERAGE(S67:U67),5))))</f>
        <v/>
      </c>
      <c r="X67" s="550" t="str">
        <f>IF(B67="","",IF(W67="","",IF(LEFT(W67,1)="0",0,ROUND(W67,0))))</f>
        <v/>
      </c>
      <c r="Y67" s="316" t="str">
        <f>IF(B67="","",ROUNDUP(AVERAGE(R67,R67,X67),2))</f>
        <v/>
      </c>
      <c r="Z67" s="317" t="str">
        <f>IF(B67="","",IF(TRUNC(Y67,0)=0,0,ROUND(Y67,0)))</f>
        <v/>
      </c>
    </row>
    <row r="68" spans="1:26" ht="13.5" customHeight="1" thickBot="1" x14ac:dyDescent="0.25">
      <c r="A68" s="563"/>
      <c r="B68" s="563"/>
      <c r="C68" s="325"/>
      <c r="D68" s="319"/>
      <c r="E68" s="319"/>
      <c r="F68" s="319"/>
      <c r="G68" s="319"/>
      <c r="H68" s="319"/>
      <c r="I68" s="319"/>
      <c r="J68" s="366" t="str">
        <f>IF(OR(B67="",COUNT(C68:I68)=0),"",SUM(C68:I68))</f>
        <v/>
      </c>
      <c r="K68" s="319"/>
      <c r="L68" s="319"/>
      <c r="M68" s="326"/>
      <c r="N68" s="319"/>
      <c r="O68" s="327"/>
      <c r="P68" s="366" t="str">
        <f>IF(OR(B67="",COUNT(K68:O68)=0),"",SUM(K68:O68))</f>
        <v/>
      </c>
      <c r="Q68" s="333" t="str">
        <f>IF(OR(B67="",COUNT(C68:I68)+COUNT(K68:O68)=0),"",ROUND(SUM(P68,J68),0))</f>
        <v/>
      </c>
      <c r="R68" s="315" t="str">
        <f>IF(Q68="","",IF(AP!$E$42="BE",VLOOKUP(Q68+0.5,NB!$V$822:$Y$837,4,TRUE),Q68))</f>
        <v/>
      </c>
      <c r="S68" s="564"/>
      <c r="T68" s="565"/>
      <c r="U68" s="566"/>
      <c r="V68" s="567"/>
      <c r="W68" s="559"/>
      <c r="X68" s="551"/>
      <c r="Y68" s="322" t="str">
        <f>IF(B67="","",ROUNDUP(AVERAGE(R68,R68,X67),2))</f>
        <v/>
      </c>
      <c r="Z68" s="321" t="str">
        <f>IF(B67="","",IF(TRUNC(Y68,0)=0,0,ROUND(Y68,0)))</f>
        <v/>
      </c>
    </row>
    <row r="69" spans="1:26" ht="12.75" customHeight="1" x14ac:dyDescent="0.2">
      <c r="A69" s="562">
        <f>Notenbogen!A61</f>
        <v>0</v>
      </c>
      <c r="B69" s="562" t="str">
        <f>IF(Notenbogen!B62="","",Notenbogen!B62)</f>
        <v/>
      </c>
      <c r="C69" s="323"/>
      <c r="D69" s="307"/>
      <c r="E69" s="307"/>
      <c r="F69" s="307"/>
      <c r="G69" s="307"/>
      <c r="H69" s="307"/>
      <c r="I69" s="307"/>
      <c r="J69" s="373" t="str">
        <f>IF(OR(B69="",COUNT(C69:I69)=0),"",SUM(C69:I69))</f>
        <v/>
      </c>
      <c r="K69" s="310"/>
      <c r="L69" s="311"/>
      <c r="M69" s="310"/>
      <c r="N69" s="312"/>
      <c r="O69" s="311"/>
      <c r="P69" s="313" t="str">
        <f>IF(OR(B69="",COUNT(K69:O69)=0),"",SUM(K69:O69))</f>
        <v/>
      </c>
      <c r="Q69" s="314" t="str">
        <f>IF(OR(B69="",COUNT(C69:I69)+COUNT(K69:O69)=0),"",ROUND(SUM(P69,J69),0))</f>
        <v/>
      </c>
      <c r="R69" s="315" t="str">
        <f>IF(Q69="","",IF(AP!$E$42="BE",VLOOKUP(Q69+0.5,NB!$V$822:$Y$837,4,TRUE),Q69))</f>
        <v/>
      </c>
      <c r="S69" s="560"/>
      <c r="T69" s="552"/>
      <c r="U69" s="554"/>
      <c r="V69" s="556" t="str">
        <f>IF(B69="","",SUM(S69:U69))</f>
        <v/>
      </c>
      <c r="W69" s="558" t="str">
        <f>IF(B69="","",IF(ISBLANK(S69),"",IF(AVERAGE(S69:U69)&lt;10,LEFT(AVERAGE(S69:U69),4),LEFT(AVERAGE(S69:U69),5))))</f>
        <v/>
      </c>
      <c r="X69" s="550" t="str">
        <f>IF(B69="","",IF(W69="","",IF(LEFT(W69,1)="0",0,ROUND(W69,0))))</f>
        <v/>
      </c>
      <c r="Y69" s="316" t="str">
        <f>IF(B69="","",ROUNDUP(AVERAGE(R69,R69,X69),2))</f>
        <v/>
      </c>
      <c r="Z69" s="317" t="str">
        <f>IF(B69="","",IF(TRUNC(Y69,0)=0,0,ROUND(Y69,0)))</f>
        <v/>
      </c>
    </row>
    <row r="70" spans="1:26" ht="13.5" customHeight="1" thickBot="1" x14ac:dyDescent="0.25">
      <c r="A70" s="563"/>
      <c r="B70" s="563"/>
      <c r="C70" s="325"/>
      <c r="D70" s="319"/>
      <c r="E70" s="319"/>
      <c r="F70" s="319"/>
      <c r="G70" s="319"/>
      <c r="H70" s="319"/>
      <c r="I70" s="319"/>
      <c r="J70" s="366" t="str">
        <f>IF(OR(B69="",COUNT(C70:I70)=0),"",SUM(C70:I70))</f>
        <v/>
      </c>
      <c r="K70" s="319"/>
      <c r="L70" s="319"/>
      <c r="M70" s="326"/>
      <c r="N70" s="319"/>
      <c r="O70" s="327"/>
      <c r="P70" s="366" t="str">
        <f>IF(OR(B69="",COUNT(K70:O70)=0),"",SUM(K70:O70))</f>
        <v/>
      </c>
      <c r="Q70" s="333" t="str">
        <f>IF(OR(B69="",COUNT(C70:I70)+COUNT(K70:O70)=0),"",ROUND(SUM(P70,J70),0))</f>
        <v/>
      </c>
      <c r="R70" s="315" t="str">
        <f>IF(Q70="","",IF(AP!$E$42="BE",VLOOKUP(Q70+0.5,NB!$V$822:$Y$837,4,TRUE),Q70))</f>
        <v/>
      </c>
      <c r="S70" s="564"/>
      <c r="T70" s="565"/>
      <c r="U70" s="566"/>
      <c r="V70" s="567"/>
      <c r="W70" s="559"/>
      <c r="X70" s="551"/>
      <c r="Y70" s="322" t="str">
        <f>IF(B69="","",ROUNDUP(AVERAGE(R70,R70,X69),2))</f>
        <v/>
      </c>
      <c r="Z70" s="321" t="str">
        <f>IF(B69="","",IF(TRUNC(Y70,0)=0,0,ROUND(Y70,0)))</f>
        <v/>
      </c>
    </row>
    <row r="71" spans="1:26" ht="12.75" customHeight="1" x14ac:dyDescent="0.2">
      <c r="A71" s="562">
        <f>Notenbogen!A63</f>
        <v>0</v>
      </c>
      <c r="B71" s="562" t="str">
        <f>IF(Notenbogen!B64="","",Notenbogen!B64)</f>
        <v/>
      </c>
      <c r="C71" s="323"/>
      <c r="D71" s="307"/>
      <c r="E71" s="307"/>
      <c r="F71" s="307"/>
      <c r="G71" s="307"/>
      <c r="H71" s="307"/>
      <c r="I71" s="307"/>
      <c r="J71" s="309" t="str">
        <f>IF(OR(B71="",COUNT(C71:I71)=0),"",SUM(C71:I71))</f>
        <v/>
      </c>
      <c r="K71" s="310"/>
      <c r="L71" s="311"/>
      <c r="M71" s="310"/>
      <c r="N71" s="312"/>
      <c r="O71" s="311"/>
      <c r="P71" s="313" t="str">
        <f>IF(OR(B71="",COUNT(K71:O71)=0),"",SUM(K71:O71))</f>
        <v/>
      </c>
      <c r="Q71" s="314" t="str">
        <f>IF(OR(B71="",COUNT(C71:I71)+COUNT(K71:O71)=0),"",ROUND(SUM(P71,J71),0))</f>
        <v/>
      </c>
      <c r="R71" s="315" t="str">
        <f>IF(Q71="","",IF(AP!$E$42="BE",VLOOKUP(Q71+0.5,NB!$V$822:$Y$837,4,TRUE),Q71))</f>
        <v/>
      </c>
      <c r="S71" s="560"/>
      <c r="T71" s="552"/>
      <c r="U71" s="554"/>
      <c r="V71" s="556" t="str">
        <f>IF(B71="","",SUM(S71:U71))</f>
        <v/>
      </c>
      <c r="W71" s="558" t="str">
        <f>IF(B71="","",IF(ISBLANK(S71),"",IF(AVERAGE(S71:U71)&lt;10,LEFT(AVERAGE(S71:U71),4),LEFT(AVERAGE(S71:U71),5))))</f>
        <v/>
      </c>
      <c r="X71" s="550" t="str">
        <f>IF(B71="","",IF(W71="","",IF(LEFT(W71,1)="0",0,ROUND(W71,0))))</f>
        <v/>
      </c>
      <c r="Y71" s="316" t="str">
        <f>IF(B71="","",ROUNDUP(AVERAGE(R71,R71,X71),2))</f>
        <v/>
      </c>
      <c r="Z71" s="317" t="str">
        <f>IF(B71="","",IF(TRUNC(Y71,0)=0,0,ROUND(Y71,0)))</f>
        <v/>
      </c>
    </row>
    <row r="72" spans="1:26" ht="13.5" customHeight="1" thickBot="1" x14ac:dyDescent="0.25">
      <c r="A72" s="563"/>
      <c r="B72" s="563"/>
      <c r="C72" s="325"/>
      <c r="D72" s="319"/>
      <c r="E72" s="319"/>
      <c r="F72" s="319"/>
      <c r="G72" s="319"/>
      <c r="H72" s="319"/>
      <c r="I72" s="319"/>
      <c r="J72" s="375" t="str">
        <f>IF(OR(B71="",COUNT(C72:I72)=0),"",SUM(C72:I72))</f>
        <v/>
      </c>
      <c r="K72" s="319"/>
      <c r="L72" s="319"/>
      <c r="M72" s="326"/>
      <c r="N72" s="319"/>
      <c r="O72" s="327"/>
      <c r="P72" s="366" t="str">
        <f>IF(OR(B71="",COUNT(K72:O72)=0),"",SUM(K72:O72))</f>
        <v/>
      </c>
      <c r="Q72" s="333" t="str">
        <f>IF(OR(B71="",COUNT(C72:I72)+COUNT(K72:O72)=0),"",ROUND(SUM(P72,J72),0))</f>
        <v/>
      </c>
      <c r="R72" s="315" t="str">
        <f>IF(Q72="","",IF(AP!$E$42="BE",VLOOKUP(Q72+0.5,NB!$V$822:$Y$837,4,TRUE),Q72))</f>
        <v/>
      </c>
      <c r="S72" s="564"/>
      <c r="T72" s="565"/>
      <c r="U72" s="566"/>
      <c r="V72" s="567"/>
      <c r="W72" s="559"/>
      <c r="X72" s="551"/>
      <c r="Y72" s="322" t="str">
        <f>IF(B71="","",ROUNDUP(AVERAGE(R72,R72,X71),2))</f>
        <v/>
      </c>
      <c r="Z72" s="321" t="str">
        <f>IF(B71="","",IF(TRUNC(Y72,0)=0,0,ROUND(Y72,0)))</f>
        <v/>
      </c>
    </row>
    <row r="73" spans="1:26" ht="12.75" customHeight="1" x14ac:dyDescent="0.2">
      <c r="A73" s="562">
        <f>Notenbogen!A65</f>
        <v>0</v>
      </c>
      <c r="B73" s="562" t="str">
        <f>IF(Notenbogen!B66="","",Notenbogen!B66)</f>
        <v/>
      </c>
      <c r="C73" s="323"/>
      <c r="D73" s="307"/>
      <c r="E73" s="307"/>
      <c r="F73" s="307"/>
      <c r="G73" s="307"/>
      <c r="H73" s="307"/>
      <c r="I73" s="307"/>
      <c r="J73" s="309" t="str">
        <f>IF(OR(B73="",COUNT(C73:I73)=0),"",SUM(C73:I73))</f>
        <v/>
      </c>
      <c r="K73" s="310"/>
      <c r="L73" s="311"/>
      <c r="M73" s="310"/>
      <c r="N73" s="312"/>
      <c r="O73" s="311"/>
      <c r="P73" s="313" t="str">
        <f>IF(OR(B73="",COUNT(K73:O73)=0),"",SUM(K73:O73))</f>
        <v/>
      </c>
      <c r="Q73" s="314" t="str">
        <f>IF(OR(B73="",COUNT(C73:I73)+COUNT(K73:O73)=0),"",ROUND(SUM(P73,J73),0))</f>
        <v/>
      </c>
      <c r="R73" s="315" t="str">
        <f>IF(Q73="","",IF(AP!$E$42="BE",VLOOKUP(Q73+0.5,NB!$V$822:$Y$837,4,TRUE),Q73))</f>
        <v/>
      </c>
      <c r="S73" s="560"/>
      <c r="T73" s="552"/>
      <c r="U73" s="554"/>
      <c r="V73" s="556" t="str">
        <f>IF(B73="","",SUM(S73:U73))</f>
        <v/>
      </c>
      <c r="W73" s="558" t="str">
        <f>IF(B73="","",IF(ISBLANK(S73),"",IF(AVERAGE(S73:U73)&lt;10,LEFT(AVERAGE(S73:U73),4),LEFT(AVERAGE(S73:U73),5))))</f>
        <v/>
      </c>
      <c r="X73" s="550" t="str">
        <f>IF(B73="","",IF(W73="","",IF(LEFT(W73,1)="0",0,ROUND(W73,0))))</f>
        <v/>
      </c>
      <c r="Y73" s="316" t="str">
        <f>IF(B73="","",ROUNDUP(AVERAGE(R73,R73,X73),2))</f>
        <v/>
      </c>
      <c r="Z73" s="317" t="str">
        <f>IF(B73="","",IF(TRUNC(Y73,0)=0,0,ROUND(Y73,0)))</f>
        <v/>
      </c>
    </row>
    <row r="74" spans="1:26" ht="13.5" customHeight="1" thickBot="1" x14ac:dyDescent="0.25">
      <c r="A74" s="563"/>
      <c r="B74" s="563"/>
      <c r="C74" s="325"/>
      <c r="D74" s="319"/>
      <c r="E74" s="319"/>
      <c r="F74" s="319"/>
      <c r="G74" s="319"/>
      <c r="H74" s="319"/>
      <c r="I74" s="319"/>
      <c r="J74" s="375" t="str">
        <f>IF(OR(B73="",COUNT(C74:I74)=0),"",SUM(C74:I74))</f>
        <v/>
      </c>
      <c r="K74" s="319"/>
      <c r="L74" s="319"/>
      <c r="M74" s="326"/>
      <c r="N74" s="319"/>
      <c r="O74" s="327"/>
      <c r="P74" s="366" t="str">
        <f>IF(OR(B73="",COUNT(K74:O74)=0),"",SUM(K74:O74))</f>
        <v/>
      </c>
      <c r="Q74" s="333" t="str">
        <f>IF(OR(B73="",COUNT(C74:I74)+COUNT(K74:O74)=0),"",ROUND(SUM(P74,J74),0))</f>
        <v/>
      </c>
      <c r="R74" s="315" t="str">
        <f>IF(Q74="","",IF(AP!$E$42="BE",VLOOKUP(Q74+0.5,NB!$V$822:$Y$837,4,TRUE),Q74))</f>
        <v/>
      </c>
      <c r="S74" s="564"/>
      <c r="T74" s="565"/>
      <c r="U74" s="566"/>
      <c r="V74" s="567"/>
      <c r="W74" s="559"/>
      <c r="X74" s="551"/>
      <c r="Y74" s="322" t="str">
        <f>IF(B73="","",ROUNDUP(AVERAGE(R74,R74,X73),2))</f>
        <v/>
      </c>
      <c r="Z74" s="321" t="str">
        <f>IF(B73="","",IF(TRUNC(Y74,0)=0,0,ROUND(Y74,0)))</f>
        <v/>
      </c>
    </row>
    <row r="75" spans="1:26" ht="12.75" customHeight="1" x14ac:dyDescent="0.2">
      <c r="A75" s="562">
        <f>Notenbogen!A67</f>
        <v>0</v>
      </c>
      <c r="B75" s="562" t="str">
        <f>IF(Notenbogen!B68="","",Notenbogen!B68)</f>
        <v/>
      </c>
      <c r="C75" s="323"/>
      <c r="D75" s="307"/>
      <c r="E75" s="307"/>
      <c r="F75" s="307"/>
      <c r="G75" s="307"/>
      <c r="H75" s="307"/>
      <c r="I75" s="307"/>
      <c r="J75" s="373" t="str">
        <f>IF(OR(B75="",COUNT(C75:I75)=0),"",SUM(C75:I75))</f>
        <v/>
      </c>
      <c r="K75" s="310"/>
      <c r="L75" s="311"/>
      <c r="M75" s="310"/>
      <c r="N75" s="312"/>
      <c r="O75" s="311"/>
      <c r="P75" s="313" t="str">
        <f>IF(OR(B75="",COUNT(K75:O75)=0),"",SUM(K75:O75))</f>
        <v/>
      </c>
      <c r="Q75" s="314" t="str">
        <f>IF(OR(B75="",COUNT(C75:I75)+COUNT(K75:O75)=0),"",ROUND(SUM(P75,J75),0))</f>
        <v/>
      </c>
      <c r="R75" s="315" t="str">
        <f>IF(Q75="","",IF(AP!$E$42="BE",VLOOKUP(Q75+0.5,NB!$V$822:$Y$837,4,TRUE),Q75))</f>
        <v/>
      </c>
      <c r="S75" s="560"/>
      <c r="T75" s="552"/>
      <c r="U75" s="554"/>
      <c r="V75" s="556" t="str">
        <f>IF(B75="","",SUM(S75:U75))</f>
        <v/>
      </c>
      <c r="W75" s="558" t="str">
        <f>IF(B75="","",IF(ISBLANK(S75),"",IF(AVERAGE(S75:U75)&lt;10,LEFT(AVERAGE(S75:U75),4),LEFT(AVERAGE(S75:U75),5))))</f>
        <v/>
      </c>
      <c r="X75" s="550" t="str">
        <f>IF(B75="","",IF(W75="","",IF(LEFT(W75,1)="0",0,ROUND(W75,0))))</f>
        <v/>
      </c>
      <c r="Y75" s="316" t="str">
        <f>IF(B75="","",ROUNDUP(AVERAGE(R75,R75,X75),2))</f>
        <v/>
      </c>
      <c r="Z75" s="317" t="str">
        <f>IF(B75="","",IF(TRUNC(Y75,0)=0,0,ROUND(Y75,0)))</f>
        <v/>
      </c>
    </row>
    <row r="76" spans="1:26" ht="13.5" customHeight="1" thickBot="1" x14ac:dyDescent="0.25">
      <c r="A76" s="563"/>
      <c r="B76" s="563"/>
      <c r="C76" s="325"/>
      <c r="D76" s="319"/>
      <c r="E76" s="319"/>
      <c r="F76" s="319"/>
      <c r="G76" s="319"/>
      <c r="H76" s="319"/>
      <c r="I76" s="319"/>
      <c r="J76" s="366" t="str">
        <f>IF(OR(B75="",COUNT(C76:I76)=0),"",SUM(C76:I76))</f>
        <v/>
      </c>
      <c r="K76" s="319"/>
      <c r="L76" s="319"/>
      <c r="M76" s="326"/>
      <c r="N76" s="319"/>
      <c r="O76" s="327"/>
      <c r="P76" s="366" t="str">
        <f>IF(OR(B75="",COUNT(K76:O76)=0),"",SUM(K76:O76))</f>
        <v/>
      </c>
      <c r="Q76" s="333" t="str">
        <f>IF(OR(B75="",COUNT(C76:I76)+COUNT(K76:O76)=0),"",ROUND(SUM(P76,J76),0))</f>
        <v/>
      </c>
      <c r="R76" s="315" t="str">
        <f>IF(Q76="","",IF(AP!$E$42="BE",VLOOKUP(Q76+0.5,NB!$V$822:$Y$837,4,TRUE),Q76))</f>
        <v/>
      </c>
      <c r="S76" s="564"/>
      <c r="T76" s="565"/>
      <c r="U76" s="566"/>
      <c r="V76" s="567"/>
      <c r="W76" s="559"/>
      <c r="X76" s="551"/>
      <c r="Y76" s="322" t="str">
        <f>IF(B75="","",ROUNDUP(AVERAGE(R76,R76,X75),2))</f>
        <v/>
      </c>
      <c r="Z76" s="321" t="str">
        <f>IF(B75="","",IF(TRUNC(Y76,0)=0,0,ROUND(Y76,0)))</f>
        <v/>
      </c>
    </row>
    <row r="77" spans="1:26" ht="12.75" customHeight="1" x14ac:dyDescent="0.2">
      <c r="A77" s="562">
        <f>Notenbogen!A69</f>
        <v>0</v>
      </c>
      <c r="B77" s="562" t="str">
        <f>IF(Notenbogen!B70="","",Notenbogen!B70)</f>
        <v/>
      </c>
      <c r="C77" s="323"/>
      <c r="D77" s="307"/>
      <c r="E77" s="307"/>
      <c r="F77" s="307"/>
      <c r="G77" s="307"/>
      <c r="H77" s="307"/>
      <c r="I77" s="307"/>
      <c r="J77" s="309" t="str">
        <f>IF(OR(B77="",COUNT(C77:I77)=0),"",SUM(C77:I77))</f>
        <v/>
      </c>
      <c r="K77" s="310"/>
      <c r="L77" s="311"/>
      <c r="M77" s="310"/>
      <c r="N77" s="312"/>
      <c r="O77" s="311"/>
      <c r="P77" s="313" t="str">
        <f>IF(OR(B77="",COUNT(K77:O77)=0),"",SUM(K77:O77))</f>
        <v/>
      </c>
      <c r="Q77" s="314" t="str">
        <f>IF(OR(B77="",COUNT(C77:I77)+COUNT(K77:O77)=0),"",ROUND(SUM(P77,J77),0))</f>
        <v/>
      </c>
      <c r="R77" s="315" t="str">
        <f>IF(Q77="","",IF(AP!$E$42="BE",VLOOKUP(Q77+0.5,NB!$V$822:$Y$837,4,TRUE),Q77))</f>
        <v/>
      </c>
      <c r="S77" s="560"/>
      <c r="T77" s="552"/>
      <c r="U77" s="554"/>
      <c r="V77" s="556" t="str">
        <f>IF(B77="","",SUM(S77:U77))</f>
        <v/>
      </c>
      <c r="W77" s="558" t="str">
        <f>IF(B77="","",IF(ISBLANK(S77),"",IF(AVERAGE(S77:U77)&lt;10,LEFT(AVERAGE(S77:U77),4),LEFT(AVERAGE(S77:U77),5))))</f>
        <v/>
      </c>
      <c r="X77" s="550" t="str">
        <f>IF(B77="","",IF(W77="","",IF(LEFT(W77,1)="0",0,ROUND(W77,0))))</f>
        <v/>
      </c>
      <c r="Y77" s="316" t="str">
        <f>IF(B77="","",ROUNDUP(AVERAGE(R77,R77,X77),2))</f>
        <v/>
      </c>
      <c r="Z77" s="317" t="str">
        <f>IF(B77="","",IF(TRUNC(Y77,0)=0,0,ROUND(Y77,0)))</f>
        <v/>
      </c>
    </row>
    <row r="78" spans="1:26" ht="13.5" customHeight="1" thickBot="1" x14ac:dyDescent="0.25">
      <c r="A78" s="563"/>
      <c r="B78" s="563"/>
      <c r="C78" s="325"/>
      <c r="D78" s="319"/>
      <c r="E78" s="319"/>
      <c r="F78" s="319"/>
      <c r="G78" s="319"/>
      <c r="H78" s="319"/>
      <c r="I78" s="319"/>
      <c r="J78" s="375" t="str">
        <f>IF(OR(B77="",COUNT(C78:I78)=0),"",SUM(C78:I78))</f>
        <v/>
      </c>
      <c r="K78" s="319"/>
      <c r="L78" s="319"/>
      <c r="M78" s="326"/>
      <c r="N78" s="319"/>
      <c r="O78" s="327"/>
      <c r="P78" s="366" t="str">
        <f>IF(OR(B77="",COUNT(K78:O78)=0),"",SUM(K78:O78))</f>
        <v/>
      </c>
      <c r="Q78" s="333" t="str">
        <f>IF(OR(B77="",COUNT(C78:I78)+COUNT(K78:O78)=0),"",ROUND(SUM(P78,J78),0))</f>
        <v/>
      </c>
      <c r="R78" s="315" t="str">
        <f>IF(Q78="","",IF(AP!$E$42="BE",VLOOKUP(Q78+0.5,NB!$V$822:$Y$837,4,TRUE),Q78))</f>
        <v/>
      </c>
      <c r="S78" s="561"/>
      <c r="T78" s="553"/>
      <c r="U78" s="555"/>
      <c r="V78" s="557"/>
      <c r="W78" s="559"/>
      <c r="X78" s="551"/>
      <c r="Y78" s="335" t="str">
        <f>IF(B77="","",ROUNDUP(AVERAGE(R78,R78,X77),2))</f>
        <v/>
      </c>
      <c r="Z78" s="321" t="str">
        <f>IF(B77="","",IF(TRUNC(Y78,0)=0,0,ROUND(Y78,0)))</f>
        <v/>
      </c>
    </row>
    <row r="79" spans="1:26" ht="12.75" customHeight="1" x14ac:dyDescent="0.2">
      <c r="A79" s="562">
        <f>Notenbogen!A71</f>
        <v>0</v>
      </c>
      <c r="B79" s="562" t="str">
        <f>IF(Notenbogen!B72="","",Notenbogen!B72)</f>
        <v/>
      </c>
      <c r="C79" s="323"/>
      <c r="D79" s="307"/>
      <c r="E79" s="307"/>
      <c r="F79" s="307"/>
      <c r="G79" s="307"/>
      <c r="H79" s="307"/>
      <c r="I79" s="307"/>
      <c r="J79" s="309" t="str">
        <f>IF(OR(B79="",COUNT(C79:I79)=0),"",SUM(C79:I79))</f>
        <v/>
      </c>
      <c r="K79" s="310"/>
      <c r="L79" s="311"/>
      <c r="M79" s="310"/>
      <c r="N79" s="312"/>
      <c r="O79" s="311"/>
      <c r="P79" s="313" t="str">
        <f>IF(OR(B79="",COUNT(K79:O79)=0),"",SUM(K79:O79))</f>
        <v/>
      </c>
      <c r="Q79" s="314" t="str">
        <f>IF(OR(B79="",COUNT(C79:I79)+COUNT(K79:O79)=0),"",ROUND(SUM(P79,J79),0))</f>
        <v/>
      </c>
      <c r="R79" s="315" t="str">
        <f>IF(Q79="","",IF(AP!$E$42="BE",VLOOKUP(Q79+0.5,NB!$V$822:$Y$837,4,TRUE),Q79))</f>
        <v/>
      </c>
      <c r="S79" s="560"/>
      <c r="T79" s="552"/>
      <c r="U79" s="554"/>
      <c r="V79" s="556" t="str">
        <f>IF(B79="","",SUM(S79:U79))</f>
        <v/>
      </c>
      <c r="W79" s="558" t="str">
        <f>IF(B79="","",IF(ISBLANK(S79),"",IF(AVERAGE(S79:U79)&lt;10,LEFT(AVERAGE(S79:U79),4),LEFT(AVERAGE(S79:U79),5))))</f>
        <v/>
      </c>
      <c r="X79" s="550" t="str">
        <f>IF(B79="","",IF(W79="","",IF(LEFT(W79,1)="0",0,ROUND(W79,0))))</f>
        <v/>
      </c>
      <c r="Y79" s="316" t="str">
        <f>IF(B79="","",ROUNDUP(AVERAGE(R79,R79,X79),2))</f>
        <v/>
      </c>
      <c r="Z79" s="317" t="str">
        <f>IF(B79="","",IF(TRUNC(Y79,0)=0,0,ROUND(Y79,0)))</f>
        <v/>
      </c>
    </row>
    <row r="80" spans="1:26" ht="13.5" customHeight="1" thickBot="1" x14ac:dyDescent="0.25">
      <c r="A80" s="563"/>
      <c r="B80" s="563"/>
      <c r="C80" s="328"/>
      <c r="D80" s="329"/>
      <c r="E80" s="329"/>
      <c r="F80" s="329"/>
      <c r="G80" s="329"/>
      <c r="H80" s="329"/>
      <c r="I80" s="329"/>
      <c r="J80" s="320" t="str">
        <f>IF(OR(B79="",COUNT(C80:I80)=0),"",SUM(C80:I80))</f>
        <v/>
      </c>
      <c r="K80" s="329"/>
      <c r="L80" s="329"/>
      <c r="M80" s="330"/>
      <c r="N80" s="329"/>
      <c r="O80" s="331"/>
      <c r="P80" s="366" t="str">
        <f>IF(OR(B79="",COUNT(K80:O80)=0),"",SUM(K80:O80))</f>
        <v/>
      </c>
      <c r="Q80" s="333" t="str">
        <f>IF(OR(B79="",COUNT(C80:I80)+COUNT(K80:O80)=0),"",ROUND(SUM(P80,J80),0))</f>
        <v/>
      </c>
      <c r="R80" s="315" t="str">
        <f>IF(Q80="","",IF(AP!$E$42="BE",VLOOKUP(Q80+0.5,NB!$V$822:$Y$837,4,TRUE),Q80))</f>
        <v/>
      </c>
      <c r="S80" s="564"/>
      <c r="T80" s="565"/>
      <c r="U80" s="566"/>
      <c r="V80" s="567"/>
      <c r="W80" s="559"/>
      <c r="X80" s="551"/>
      <c r="Y80" s="322" t="str">
        <f>IF(B79="","",ROUNDUP(AVERAGE(R80,R80,X79),2))</f>
        <v/>
      </c>
      <c r="Z80" s="334" t="str">
        <f>IF(B79="","",IF(TRUNC(Y80,0)=0,0,ROUND(Y80,0)))</f>
        <v/>
      </c>
    </row>
    <row r="81" spans="2:26" s="186" customFormat="1" x14ac:dyDescent="0.2">
      <c r="B81" s="336"/>
      <c r="C81" s="188"/>
      <c r="D81" s="188"/>
      <c r="E81" s="188"/>
      <c r="F81" s="188"/>
      <c r="G81" s="188"/>
      <c r="H81" s="188"/>
      <c r="I81" s="188"/>
      <c r="J81" s="376"/>
      <c r="K81" s="188"/>
      <c r="L81" s="188"/>
      <c r="M81" s="188"/>
      <c r="N81" s="188"/>
      <c r="O81" s="188"/>
      <c r="P81" s="188"/>
      <c r="Q81" s="188"/>
      <c r="R81" s="338"/>
      <c r="S81" s="339"/>
      <c r="T81" s="339"/>
      <c r="U81" s="339"/>
      <c r="V81" s="188"/>
      <c r="W81" s="338"/>
      <c r="X81" s="338"/>
      <c r="Y81" s="337"/>
      <c r="Z81" s="338"/>
    </row>
    <row r="82" spans="2:26" s="186" customFormat="1" x14ac:dyDescent="0.2">
      <c r="C82" s="188"/>
      <c r="D82" s="188"/>
      <c r="E82" s="188"/>
      <c r="F82" s="188"/>
      <c r="G82" s="188"/>
      <c r="H82" s="188"/>
      <c r="I82" s="188"/>
      <c r="J82" s="188"/>
      <c r="K82" s="188"/>
      <c r="L82" s="188"/>
      <c r="M82" s="188"/>
      <c r="N82" s="188"/>
      <c r="O82" s="188"/>
      <c r="P82" s="188"/>
      <c r="Q82" s="188"/>
      <c r="R82" s="338"/>
      <c r="S82" s="339"/>
      <c r="T82" s="339"/>
      <c r="U82" s="339"/>
      <c r="V82" s="188"/>
      <c r="W82" s="338"/>
      <c r="X82" s="338"/>
      <c r="Y82" s="337"/>
      <c r="Z82" s="338"/>
    </row>
    <row r="83" spans="2:26" s="186" customFormat="1" x14ac:dyDescent="0.2">
      <c r="B83" s="336"/>
      <c r="C83" s="188"/>
      <c r="D83" s="188"/>
      <c r="E83" s="188"/>
      <c r="F83" s="188"/>
      <c r="G83" s="188"/>
      <c r="H83" s="188"/>
      <c r="I83" s="188"/>
      <c r="J83" s="188"/>
      <c r="K83" s="188"/>
      <c r="L83" s="188"/>
      <c r="M83" s="188"/>
      <c r="N83" s="188"/>
      <c r="O83" s="188"/>
      <c r="P83" s="188"/>
      <c r="Q83" s="188"/>
      <c r="R83" s="338"/>
      <c r="S83" s="339"/>
      <c r="T83" s="339"/>
      <c r="U83" s="339"/>
      <c r="V83" s="188"/>
      <c r="W83" s="338"/>
      <c r="X83" s="338"/>
      <c r="Y83" s="337"/>
      <c r="Z83" s="338"/>
    </row>
  </sheetData>
  <sheetProtection password="CC71" sheet="1" objects="1" scenarios="1" selectLockedCells="1"/>
  <mergeCells count="288">
    <mergeCell ref="C6:R6"/>
    <mergeCell ref="S6:X6"/>
    <mergeCell ref="Y6:Z6"/>
    <mergeCell ref="C7:J7"/>
    <mergeCell ref="K7:P7"/>
    <mergeCell ref="S7:V7"/>
    <mergeCell ref="S11:S12"/>
    <mergeCell ref="T11:T12"/>
    <mergeCell ref="U11:U12"/>
    <mergeCell ref="V11:V12"/>
    <mergeCell ref="W11:W12"/>
    <mergeCell ref="X11:X12"/>
    <mergeCell ref="K8:L8"/>
    <mergeCell ref="M8:O8"/>
    <mergeCell ref="S13:S14"/>
    <mergeCell ref="A11:A12"/>
    <mergeCell ref="B11:B12"/>
    <mergeCell ref="A15:A16"/>
    <mergeCell ref="B15:B16"/>
    <mergeCell ref="A13:A14"/>
    <mergeCell ref="B13:B14"/>
    <mergeCell ref="S15:S16"/>
    <mergeCell ref="T15:T16"/>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S17:S18"/>
    <mergeCell ref="A23:A24"/>
    <mergeCell ref="B23:B24"/>
    <mergeCell ref="A21:A22"/>
    <mergeCell ref="B21:B22"/>
    <mergeCell ref="S23:S24"/>
    <mergeCell ref="T23:T24"/>
    <mergeCell ref="U23:U24"/>
    <mergeCell ref="V23:V24"/>
    <mergeCell ref="W23:W24"/>
    <mergeCell ref="X23:X24"/>
    <mergeCell ref="T21:T22"/>
    <mergeCell ref="U21:U22"/>
    <mergeCell ref="V21:V22"/>
    <mergeCell ref="W21:W22"/>
    <mergeCell ref="X21:X22"/>
    <mergeCell ref="S21:S22"/>
    <mergeCell ref="A19:A20"/>
    <mergeCell ref="B19:B20"/>
    <mergeCell ref="A17:A18"/>
    <mergeCell ref="B17:B18"/>
    <mergeCell ref="S19:S20"/>
    <mergeCell ref="T19:T20"/>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B31:B32"/>
    <mergeCell ref="A29:A30"/>
    <mergeCell ref="B29:B30"/>
    <mergeCell ref="S31:S32"/>
    <mergeCell ref="T31:T32"/>
    <mergeCell ref="U31:U32"/>
    <mergeCell ref="V31:V32"/>
    <mergeCell ref="W31:W32"/>
    <mergeCell ref="B27:B28"/>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B55:B56"/>
    <mergeCell ref="A53:A54"/>
    <mergeCell ref="B53:B54"/>
    <mergeCell ref="S55:S56"/>
    <mergeCell ref="T55:T56"/>
    <mergeCell ref="U55:U56"/>
    <mergeCell ref="V55:V56"/>
    <mergeCell ref="W55:W56"/>
    <mergeCell ref="B51:B52"/>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s>
  <conditionalFormatting sqref="C65 C67 C69 C71 C73 C75 C77 C79 C59 C61 C63 C21 C23 C25 C27 C29 C31 C33 C35 C37 C39 C41 C43 C45 C47 C49 C57 C13 C51 C53 C55 C15 C17 C19 C11">
    <cfRule type="cellIs" dxfId="39"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8"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7"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6"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5"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4"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3"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2"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31"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30"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9"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8"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7" priority="33" stopIfTrue="1" operator="notEqual">
      <formula>R11</formula>
    </cfRule>
  </conditionalFormatting>
  <conditionalFormatting sqref="Z12 Z78 Z14 Z16 Z18 Z20 Z22 Z24 Z26 Z28 Z30 Z32 Z34 Z36 Z38 Z40 Z42 Z44 Z46 Z48 Z50 Z52 Z54 Z56 Z58 Z60 Z62 Z64 Z66 Z68 Z70 Z72 Z74 Z76 Z80">
    <cfRule type="cellIs" dxfId="26"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5" priority="35" stopIfTrue="1" operator="notEqual">
      <formula>C11</formula>
    </cfRule>
  </conditionalFormatting>
  <conditionalFormatting sqref="G77 G79 G59 G61 G63 G65 G67 G69 G71 G73 G75 G21 G23 G25 G27 G29 G31 G33 G35 G37 G39 G41 G43 G45 G47 G49 G57 G13 G51 G53 G55 G15 G17 G19 G11">
    <cfRule type="cellIs" dxfId="24"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3"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2" priority="38" stopIfTrue="1" operator="greaterThan">
      <formula>$I$10</formula>
    </cfRule>
  </conditionalFormatting>
  <conditionalFormatting sqref="S11">
    <cfRule type="cellIs" dxfId="21" priority="20" stopIfTrue="1" operator="greaterThan">
      <formula>$S$10</formula>
    </cfRule>
  </conditionalFormatting>
  <conditionalFormatting sqref="T11">
    <cfRule type="cellIs" dxfId="20" priority="19" stopIfTrue="1" operator="greaterThan">
      <formula>$T$10</formula>
    </cfRule>
  </conditionalFormatting>
  <conditionalFormatting sqref="U11">
    <cfRule type="cellIs" dxfId="19" priority="18" stopIfTrue="1" operator="greaterThan">
      <formula>$U$10</formula>
    </cfRule>
  </conditionalFormatting>
  <conditionalFormatting sqref="C10:I10">
    <cfRule type="cellIs" dxfId="18" priority="17" stopIfTrue="1" operator="equal">
      <formula>"??"</formula>
    </cfRule>
  </conditionalFormatting>
  <conditionalFormatting sqref="K10:O10">
    <cfRule type="cellIs" dxfId="17" priority="16" stopIfTrue="1" operator="equal">
      <formula>"??"</formula>
    </cfRule>
  </conditionalFormatting>
  <conditionalFormatting sqref="C8:I8">
    <cfRule type="cellIs" dxfId="16" priority="15" stopIfTrue="1" operator="equal">
      <formula>"??"</formula>
    </cfRule>
  </conditionalFormatting>
  <conditionalFormatting sqref="C13">
    <cfRule type="cellIs" dxfId="15" priority="14" stopIfTrue="1" operator="greaterThan">
      <formula>$C$10</formula>
    </cfRule>
  </conditionalFormatting>
  <conditionalFormatting sqref="D13">
    <cfRule type="cellIs" dxfId="14" priority="13" stopIfTrue="1" operator="greaterThan">
      <formula>$D$10</formula>
    </cfRule>
  </conditionalFormatting>
  <conditionalFormatting sqref="E13">
    <cfRule type="cellIs" dxfId="13" priority="12" stopIfTrue="1" operator="greaterThan">
      <formula>$E$10</formula>
    </cfRule>
  </conditionalFormatting>
  <conditionalFormatting sqref="F13">
    <cfRule type="cellIs" dxfId="12" priority="11" stopIfTrue="1" operator="greaterThan">
      <formula>$F$10</formula>
    </cfRule>
  </conditionalFormatting>
  <conditionalFormatting sqref="C14:I14 C16:I16 C18:I18 C20:I20 C12:I12">
    <cfRule type="cellIs" dxfId="11" priority="10" stopIfTrue="1" operator="notEqual">
      <formula>C11</formula>
    </cfRule>
  </conditionalFormatting>
  <conditionalFormatting sqref="G13">
    <cfRule type="cellIs" dxfId="10" priority="9" stopIfTrue="1" operator="greaterThan">
      <formula>$G$10</formula>
    </cfRule>
  </conditionalFormatting>
  <conditionalFormatting sqref="H11">
    <cfRule type="cellIs" dxfId="9" priority="8" stopIfTrue="1" operator="greaterThan">
      <formula>$H$10</formula>
    </cfRule>
  </conditionalFormatting>
  <conditionalFormatting sqref="I11">
    <cfRule type="cellIs" dxfId="8" priority="7" stopIfTrue="1" operator="greaterThan">
      <formula>$I$10</formula>
    </cfRule>
  </conditionalFormatting>
  <conditionalFormatting sqref="K19">
    <cfRule type="cellIs" dxfId="7" priority="6" stopIfTrue="1" operator="greaterThan">
      <formula>$K$10</formula>
    </cfRule>
  </conditionalFormatting>
  <conditionalFormatting sqref="L19">
    <cfRule type="cellIs" dxfId="6" priority="5" stopIfTrue="1" operator="greaterThan">
      <formula>$L$10</formula>
    </cfRule>
  </conditionalFormatting>
  <conditionalFormatting sqref="M19">
    <cfRule type="cellIs" dxfId="5" priority="4" stopIfTrue="1" operator="greaterThan">
      <formula>$M$10</formula>
    </cfRule>
  </conditionalFormatting>
  <conditionalFormatting sqref="N11">
    <cfRule type="cellIs" dxfId="4" priority="3" stopIfTrue="1" operator="greaterThan">
      <formula>$N$10</formula>
    </cfRule>
  </conditionalFormatting>
  <conditionalFormatting sqref="O11">
    <cfRule type="cellIs" dxfId="3" priority="2" stopIfTrue="1" operator="greaterThan">
      <formula>$O$10</formula>
    </cfRule>
  </conditionalFormatting>
  <conditionalFormatting sqref="K14:O14 K16:O16 K18:O18 K20:O20 K12:O12">
    <cfRule type="cellIs" dxfId="2"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B11" sqref="B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8" t="s">
        <v>144</v>
      </c>
      <c r="B2" s="354"/>
      <c r="C2" s="354"/>
      <c r="D2" s="354"/>
      <c r="E2" s="354"/>
      <c r="F2" s="354"/>
      <c r="G2" s="353"/>
    </row>
    <row r="3" spans="1:7" x14ac:dyDescent="0.2">
      <c r="A3" s="357" t="s">
        <v>178</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95" t="s">
        <v>138</v>
      </c>
      <c r="B7" s="596"/>
      <c r="C7" s="596"/>
      <c r="D7" s="596"/>
      <c r="E7" s="596"/>
      <c r="F7" s="596"/>
      <c r="G7" s="597"/>
    </row>
    <row r="8" spans="1:7" x14ac:dyDescent="0.2">
      <c r="A8" s="355"/>
      <c r="B8" s="354"/>
      <c r="C8" s="354"/>
      <c r="D8" s="354"/>
      <c r="E8" s="354"/>
      <c r="F8" s="354"/>
      <c r="G8" s="353"/>
    </row>
    <row r="9" spans="1:7" x14ac:dyDescent="0.2">
      <c r="A9" s="344"/>
      <c r="B9" s="352" t="s">
        <v>137</v>
      </c>
      <c r="C9" s="598" t="s">
        <v>136</v>
      </c>
      <c r="D9" s="598"/>
      <c r="E9" s="69"/>
      <c r="F9" s="69"/>
      <c r="G9" s="343"/>
    </row>
    <row r="10" spans="1:7" ht="25.5" customHeight="1" x14ac:dyDescent="0.2">
      <c r="A10" s="344"/>
      <c r="B10" s="352"/>
      <c r="C10" s="351" t="s">
        <v>135</v>
      </c>
      <c r="D10" s="351" t="s">
        <v>134</v>
      </c>
      <c r="E10" s="351" t="s">
        <v>142</v>
      </c>
      <c r="F10" s="69"/>
      <c r="G10" s="343"/>
    </row>
    <row r="11" spans="1:7" x14ac:dyDescent="0.2">
      <c r="A11" s="350">
        <v>1</v>
      </c>
      <c r="B11" s="2" t="str">
        <f>IF(Notenbogen!B4="","",Notenbogen!B4)</f>
        <v/>
      </c>
      <c r="C11" s="349" t="str">
        <f>'Eingabe Abitur'!Q11</f>
        <v/>
      </c>
      <c r="D11" s="349" t="str">
        <f>'Eingabe Abitur'!Q12</f>
        <v/>
      </c>
      <c r="E11" s="349" t="str">
        <f>IF('Eingabe Abitur'!R11='Eingabe Abitur'!R12,'Eingabe Abitur'!R11,"Keine Einigung!")</f>
        <v/>
      </c>
      <c r="F11" s="69"/>
      <c r="G11" s="343"/>
    </row>
    <row r="12" spans="1:7" x14ac:dyDescent="0.2">
      <c r="A12" s="350">
        <v>2</v>
      </c>
      <c r="B12" s="2" t="str">
        <f>IF(Notenbogen!B5="","",Notenbogen!B5)</f>
        <v/>
      </c>
      <c r="C12" s="349" t="str">
        <f>'Eingabe Abitur'!Q13</f>
        <v/>
      </c>
      <c r="D12" s="349" t="str">
        <f>'Eingabe Abitur'!Q14</f>
        <v/>
      </c>
      <c r="E12" s="349" t="str">
        <f>IF('Eingabe Abitur'!R13='Eingabe Abitur'!R14,'Eingabe Abitur'!R13,"Keine Einigung!")</f>
        <v/>
      </c>
      <c r="F12" s="69"/>
      <c r="G12" s="343"/>
    </row>
    <row r="13" spans="1:7" x14ac:dyDescent="0.2">
      <c r="A13" s="350">
        <v>3</v>
      </c>
      <c r="B13" s="2" t="str">
        <f>IF(Notenbogen!B6="","",Notenbogen!B6)</f>
        <v/>
      </c>
      <c r="C13" s="349" t="str">
        <f>'Eingabe Abitur'!Q15</f>
        <v/>
      </c>
      <c r="D13" s="349" t="str">
        <f>'Eingabe Abitur'!Q16</f>
        <v/>
      </c>
      <c r="E13" s="349" t="str">
        <f>IF('Eingabe Abitur'!R15='Eingabe Abitur'!R16,'Eingabe Abitur'!R15,"Keine Einigung!")</f>
        <v/>
      </c>
      <c r="F13" s="69"/>
      <c r="G13" s="343"/>
    </row>
    <row r="14" spans="1:7" x14ac:dyDescent="0.2">
      <c r="A14" s="350">
        <v>4</v>
      </c>
      <c r="B14" s="2" t="str">
        <f>IF(Notenbogen!B7="","",Notenbogen!B7)</f>
        <v/>
      </c>
      <c r="C14" s="349" t="str">
        <f>'Eingabe Abitur'!Q17</f>
        <v/>
      </c>
      <c r="D14" s="349" t="str">
        <f>'Eingabe Abitur'!Q18</f>
        <v/>
      </c>
      <c r="E14" s="349" t="str">
        <f>IF('Eingabe Abitur'!R17='Eingabe Abitur'!R18,'Eingabe Abitur'!R17,"Keine Einigung!")</f>
        <v/>
      </c>
      <c r="F14" s="69"/>
      <c r="G14" s="343"/>
    </row>
    <row r="15" spans="1:7" x14ac:dyDescent="0.2">
      <c r="A15" s="350">
        <v>5</v>
      </c>
      <c r="B15" s="2" t="str">
        <f>IF(Notenbogen!B8="","",Notenbogen!B8)</f>
        <v/>
      </c>
      <c r="C15" s="349" t="str">
        <f>'Eingabe Abitur'!Q19</f>
        <v/>
      </c>
      <c r="D15" s="349" t="str">
        <f>'Eingabe Abitur'!Q20</f>
        <v/>
      </c>
      <c r="E15" s="349" t="str">
        <f>IF('Eingabe Abitur'!R19='Eingabe Abitur'!R20,'Eingabe Abitur'!R19,"Keine Einigung!")</f>
        <v/>
      </c>
      <c r="F15" s="69"/>
      <c r="G15" s="343"/>
    </row>
    <row r="16" spans="1:7" x14ac:dyDescent="0.2">
      <c r="A16" s="350">
        <v>6</v>
      </c>
      <c r="B16" s="2" t="str">
        <f>IF(Notenbogen!B9="","",Notenbogen!B9)</f>
        <v/>
      </c>
      <c r="C16" s="349" t="str">
        <f>'Eingabe Abitur'!Q21</f>
        <v/>
      </c>
      <c r="D16" s="349" t="str">
        <f>'Eingabe Abitur'!Q22</f>
        <v/>
      </c>
      <c r="E16" s="349" t="str">
        <f>IF('Eingabe Abitur'!R21='Eingabe Abitur'!R22,'Eingabe Abitur'!R21,"Keine Einigung!")</f>
        <v/>
      </c>
      <c r="F16" s="69"/>
      <c r="G16" s="343"/>
    </row>
    <row r="17" spans="1:7" x14ac:dyDescent="0.2">
      <c r="A17" s="350">
        <v>7</v>
      </c>
      <c r="B17" s="2" t="str">
        <f>IF(Notenbogen!B10="","",Notenbogen!B10)</f>
        <v/>
      </c>
      <c r="C17" s="349" t="str">
        <f>'Eingabe Abitur'!Q23</f>
        <v/>
      </c>
      <c r="D17" s="349" t="str">
        <f>'Eingabe Abitur'!Q24</f>
        <v/>
      </c>
      <c r="E17" s="349" t="str">
        <f>IF('Eingabe Abitur'!R23='Eingabe Abitur'!R24,'Eingabe Abitur'!R23,"Keine Einigung!")</f>
        <v/>
      </c>
      <c r="F17" s="69"/>
      <c r="G17" s="343"/>
    </row>
    <row r="18" spans="1:7" x14ac:dyDescent="0.2">
      <c r="A18" s="350">
        <v>8</v>
      </c>
      <c r="B18" s="2" t="str">
        <f>IF(Notenbogen!B11="","",Notenbogen!B11)</f>
        <v/>
      </c>
      <c r="C18" s="349" t="str">
        <f>'Eingabe Abitur'!Q25</f>
        <v/>
      </c>
      <c r="D18" s="349" t="str">
        <f>'Eingabe Abitur'!Q26</f>
        <v/>
      </c>
      <c r="E18" s="349" t="str">
        <f>IF('Eingabe Abitur'!R25='Eingabe Abitur'!R26,'Eingabe Abitur'!R25,"Keine Einigung!")</f>
        <v/>
      </c>
      <c r="F18" s="69"/>
      <c r="G18" s="343"/>
    </row>
    <row r="19" spans="1:7" x14ac:dyDescent="0.2">
      <c r="A19" s="350">
        <v>9</v>
      </c>
      <c r="B19" s="2" t="str">
        <f>IF(Notenbogen!B12="","",Notenbogen!B12)</f>
        <v/>
      </c>
      <c r="C19" s="349" t="str">
        <f>'Eingabe Abitur'!Q27</f>
        <v/>
      </c>
      <c r="D19" s="349" t="str">
        <f>'Eingabe Abitur'!Q28</f>
        <v/>
      </c>
      <c r="E19" s="349" t="str">
        <f>IF('Eingabe Abitur'!R27='Eingabe Abitur'!R28,'Eingabe Abitur'!R27,"Keine Einigung!")</f>
        <v/>
      </c>
      <c r="F19" s="69"/>
      <c r="G19" s="343"/>
    </row>
    <row r="20" spans="1:7" x14ac:dyDescent="0.2">
      <c r="A20" s="350">
        <v>10</v>
      </c>
      <c r="B20" s="2" t="str">
        <f>IF(Notenbogen!B13="","",Notenbogen!B13)</f>
        <v/>
      </c>
      <c r="C20" s="349" t="str">
        <f>'Eingabe Abitur'!Q29</f>
        <v/>
      </c>
      <c r="D20" s="349" t="str">
        <f>'Eingabe Abitur'!Q30</f>
        <v/>
      </c>
      <c r="E20" s="349" t="str">
        <f>IF('Eingabe Abitur'!R29='Eingabe Abitur'!R30,'Eingabe Abitur'!R29,"Keine Einigung!")</f>
        <v/>
      </c>
      <c r="F20" s="69"/>
      <c r="G20" s="343"/>
    </row>
    <row r="21" spans="1:7" x14ac:dyDescent="0.2">
      <c r="A21" s="350">
        <v>11</v>
      </c>
      <c r="B21" s="2" t="str">
        <f>IF(Notenbogen!B14="","",Notenbogen!B14)</f>
        <v/>
      </c>
      <c r="C21" s="349" t="str">
        <f>'Eingabe Abitur'!Q31</f>
        <v/>
      </c>
      <c r="D21" s="349" t="str">
        <f>'Eingabe Abitur'!Q32</f>
        <v/>
      </c>
      <c r="E21" s="349" t="str">
        <f>IF('Eingabe Abitur'!R31='Eingabe Abitur'!R32,'Eingabe Abitur'!R31,"Keine Einigung!")</f>
        <v/>
      </c>
      <c r="F21" s="69"/>
      <c r="G21" s="343"/>
    </row>
    <row r="22" spans="1:7" x14ac:dyDescent="0.2">
      <c r="A22" s="350">
        <v>12</v>
      </c>
      <c r="B22" s="2" t="str">
        <f>IF(Notenbogen!B15="","",Notenbogen!B15)</f>
        <v/>
      </c>
      <c r="C22" s="349" t="str">
        <f>'Eingabe Abitur'!Q33</f>
        <v/>
      </c>
      <c r="D22" s="349" t="str">
        <f>'Eingabe Abitur'!Q34</f>
        <v/>
      </c>
      <c r="E22" s="349" t="str">
        <f>IF('Eingabe Abitur'!R33='Eingabe Abitur'!R34,'Eingabe Abitur'!R33,"Keine Einigung!")</f>
        <v/>
      </c>
      <c r="F22" s="69"/>
      <c r="G22" s="343"/>
    </row>
    <row r="23" spans="1:7" x14ac:dyDescent="0.2">
      <c r="A23" s="350">
        <v>13</v>
      </c>
      <c r="B23" s="2" t="str">
        <f>IF(Notenbogen!B16="","",Notenbogen!B16)</f>
        <v/>
      </c>
      <c r="C23" s="349" t="str">
        <f>'Eingabe Abitur'!Q35</f>
        <v/>
      </c>
      <c r="D23" s="349" t="str">
        <f>'Eingabe Abitur'!Q36</f>
        <v/>
      </c>
      <c r="E23" s="349" t="str">
        <f>IF('Eingabe Abitur'!R35='Eingabe Abitur'!R36,'Eingabe Abitur'!R35,"Keine Einigung!")</f>
        <v/>
      </c>
      <c r="F23" s="69"/>
      <c r="G23" s="343"/>
    </row>
    <row r="24" spans="1:7" x14ac:dyDescent="0.2">
      <c r="A24" s="350">
        <v>14</v>
      </c>
      <c r="B24" s="2" t="str">
        <f>IF(Notenbogen!B17="","",Notenbogen!B17)</f>
        <v/>
      </c>
      <c r="C24" s="349" t="str">
        <f>'Eingabe Abitur'!Q37</f>
        <v/>
      </c>
      <c r="D24" s="349" t="str">
        <f>'Eingabe Abitur'!Q38</f>
        <v/>
      </c>
      <c r="E24" s="349" t="str">
        <f>IF('Eingabe Abitur'!R37='Eingabe Abitur'!R38,'Eingabe Abitur'!R37,"Keine Einigung!")</f>
        <v/>
      </c>
      <c r="F24" s="69"/>
      <c r="G24" s="343"/>
    </row>
    <row r="25" spans="1:7" x14ac:dyDescent="0.2">
      <c r="A25" s="350">
        <v>15</v>
      </c>
      <c r="B25" s="2" t="str">
        <f>IF(Notenbogen!B18="","",Notenbogen!B18)</f>
        <v/>
      </c>
      <c r="C25" s="349" t="str">
        <f>'Eingabe Abitur'!Q39</f>
        <v/>
      </c>
      <c r="D25" s="349" t="str">
        <f>'Eingabe Abitur'!Q40</f>
        <v/>
      </c>
      <c r="E25" s="349" t="str">
        <f>IF('Eingabe Abitur'!R39='Eingabe Abitur'!R40,'Eingabe Abitur'!R39,"Keine Einigung!")</f>
        <v/>
      </c>
      <c r="F25" s="69"/>
      <c r="G25" s="343"/>
    </row>
    <row r="26" spans="1:7" x14ac:dyDescent="0.2">
      <c r="A26" s="350">
        <v>16</v>
      </c>
      <c r="B26" s="2" t="str">
        <f>IF(Notenbogen!B19="","",Notenbogen!B19)</f>
        <v/>
      </c>
      <c r="C26" s="349" t="str">
        <f>'Eingabe Abitur'!Q41</f>
        <v/>
      </c>
      <c r="D26" s="349" t="str">
        <f>'Eingabe Abitur'!Q42</f>
        <v/>
      </c>
      <c r="E26" s="349" t="str">
        <f>IF('Eingabe Abitur'!R41='Eingabe Abitur'!R42,'Eingabe Abitur'!R41,"Keine Einigung!")</f>
        <v/>
      </c>
      <c r="F26" s="69"/>
      <c r="G26" s="343"/>
    </row>
    <row r="27" spans="1:7" x14ac:dyDescent="0.2">
      <c r="A27" s="350">
        <v>17</v>
      </c>
      <c r="B27" s="2" t="str">
        <f>IF(Notenbogen!B20="","",Notenbogen!B20)</f>
        <v/>
      </c>
      <c r="C27" s="349" t="str">
        <f>'Eingabe Abitur'!Q43</f>
        <v/>
      </c>
      <c r="D27" s="349" t="str">
        <f>'Eingabe Abitur'!Q44</f>
        <v/>
      </c>
      <c r="E27" s="349" t="str">
        <f>IF('Eingabe Abitur'!R43='Eingabe Abitur'!R44,'Eingabe Abitur'!R43,"Keine Einigung!")</f>
        <v/>
      </c>
      <c r="F27" s="69"/>
      <c r="G27" s="343"/>
    </row>
    <row r="28" spans="1:7" x14ac:dyDescent="0.2">
      <c r="A28" s="350">
        <v>18</v>
      </c>
      <c r="B28" s="2" t="str">
        <f>IF(Notenbogen!B21="","",Notenbogen!B21)</f>
        <v/>
      </c>
      <c r="C28" s="349" t="str">
        <f>'Eingabe Abitur'!Q45</f>
        <v/>
      </c>
      <c r="D28" s="349" t="str">
        <f>'Eingabe Abitur'!Q46</f>
        <v/>
      </c>
      <c r="E28" s="349" t="str">
        <f>IF('Eingabe Abitur'!R45='Eingabe Abitur'!R46,'Eingabe Abitur'!R45,"Keine Einigung!")</f>
        <v/>
      </c>
      <c r="F28" s="69"/>
      <c r="G28" s="343"/>
    </row>
    <row r="29" spans="1:7" x14ac:dyDescent="0.2">
      <c r="A29" s="350">
        <v>19</v>
      </c>
      <c r="B29" s="2" t="str">
        <f>IF(Notenbogen!B22="","",Notenbogen!B22)</f>
        <v/>
      </c>
      <c r="C29" s="349" t="str">
        <f>'Eingabe Abitur'!Q47</f>
        <v/>
      </c>
      <c r="D29" s="349" t="str">
        <f>'Eingabe Abitur'!Q48</f>
        <v/>
      </c>
      <c r="E29" s="349" t="str">
        <f>IF('Eingabe Abitur'!R47='Eingabe Abitur'!R48,'Eingabe Abitur'!R47,"Keine Einigung!")</f>
        <v/>
      </c>
      <c r="F29" s="69"/>
      <c r="G29" s="343"/>
    </row>
    <row r="30" spans="1:7" x14ac:dyDescent="0.2">
      <c r="A30" s="350">
        <v>20</v>
      </c>
      <c r="B30" s="2" t="str">
        <f>IF(Notenbogen!B23="","",Notenbogen!B23)</f>
        <v/>
      </c>
      <c r="C30" s="349" t="str">
        <f>'Eingabe Abitur'!Q49</f>
        <v/>
      </c>
      <c r="D30" s="349" t="str">
        <f>'Eingabe Abitur'!Q50</f>
        <v/>
      </c>
      <c r="E30" s="349" t="str">
        <f>IF('Eingabe Abitur'!R49='Eingabe Abitur'!R50,'Eingabe Abitur'!R49,"Keine Einigung!")</f>
        <v/>
      </c>
      <c r="F30" s="69"/>
      <c r="G30" s="343"/>
    </row>
    <row r="31" spans="1:7" x14ac:dyDescent="0.2">
      <c r="A31" s="350">
        <v>21</v>
      </c>
      <c r="B31" s="2" t="str">
        <f>IF(Notenbogen!B24="","",Notenbogen!B24)</f>
        <v/>
      </c>
      <c r="C31" s="349" t="str">
        <f>'Eingabe Abitur'!Q51</f>
        <v/>
      </c>
      <c r="D31" s="349" t="str">
        <f>'Eingabe Abitur'!Q52</f>
        <v/>
      </c>
      <c r="E31" s="349" t="str">
        <f>IF('Eingabe Abitur'!R51='Eingabe Abitur'!R52,'Eingabe Abitur'!R51,"Keine Einigung!")</f>
        <v/>
      </c>
      <c r="F31" s="69"/>
      <c r="G31" s="343"/>
    </row>
    <row r="32" spans="1:7" x14ac:dyDescent="0.2">
      <c r="A32" s="350">
        <v>22</v>
      </c>
      <c r="B32" s="2" t="str">
        <f>IF(Notenbogen!B25="","",Notenbogen!B25)</f>
        <v/>
      </c>
      <c r="C32" s="349" t="str">
        <f>'Eingabe Abitur'!Q53</f>
        <v/>
      </c>
      <c r="D32" s="349" t="str">
        <f>'Eingabe Abitur'!Q54</f>
        <v/>
      </c>
      <c r="E32" s="349" t="str">
        <f>IF('Eingabe Abitur'!R53='Eingabe Abitur'!R54,'Eingabe Abitur'!R53,"Keine Einigung!")</f>
        <v/>
      </c>
      <c r="F32" s="69"/>
      <c r="G32" s="343"/>
    </row>
    <row r="33" spans="1:7" x14ac:dyDescent="0.2">
      <c r="A33" s="350">
        <v>23</v>
      </c>
      <c r="B33" s="2" t="str">
        <f>IF(Notenbogen!B26="","",Notenbogen!B26)</f>
        <v/>
      </c>
      <c r="C33" s="349" t="str">
        <f>'Eingabe Abitur'!Q55</f>
        <v/>
      </c>
      <c r="D33" s="349" t="str">
        <f>'Eingabe Abitur'!Q56</f>
        <v/>
      </c>
      <c r="E33" s="349" t="str">
        <f>IF('Eingabe Abitur'!R55='Eingabe Abitur'!R56,'Eingabe Abitur'!R55,"Keine Einigung!")</f>
        <v/>
      </c>
      <c r="F33" s="69"/>
      <c r="G33" s="343"/>
    </row>
    <row r="34" spans="1:7" x14ac:dyDescent="0.2">
      <c r="A34" s="350">
        <v>24</v>
      </c>
      <c r="B34" s="2" t="str">
        <f>IF(Notenbogen!B27="","",Notenbogen!B27)</f>
        <v/>
      </c>
      <c r="C34" s="349" t="str">
        <f>'Eingabe Abitur'!Q57</f>
        <v/>
      </c>
      <c r="D34" s="349" t="str">
        <f>'Eingabe Abitur'!Q58</f>
        <v/>
      </c>
      <c r="E34" s="349" t="str">
        <f>IF('Eingabe Abitur'!R57='Eingabe Abitur'!R58,'Eingabe Abitur'!R57,"Keine Einigung!")</f>
        <v/>
      </c>
      <c r="F34" s="69"/>
      <c r="G34" s="343"/>
    </row>
    <row r="35" spans="1:7" x14ac:dyDescent="0.2">
      <c r="A35" s="350">
        <v>25</v>
      </c>
      <c r="B35" s="2" t="str">
        <f>IF(Notenbogen!B28="","",Notenbogen!B28)</f>
        <v/>
      </c>
      <c r="C35" s="349" t="str">
        <f>'Eingabe Abitur'!Q59</f>
        <v/>
      </c>
      <c r="D35" s="349" t="str">
        <f>'Eingabe Abitur'!Q60</f>
        <v/>
      </c>
      <c r="E35" s="349" t="str">
        <f>IF('Eingabe Abitur'!R59='Eingabe Abitur'!R60,'Eingabe Abitur'!R59,"Keine Einigung!")</f>
        <v/>
      </c>
      <c r="F35" s="69"/>
      <c r="G35" s="343"/>
    </row>
    <row r="36" spans="1:7" x14ac:dyDescent="0.2">
      <c r="A36" s="350">
        <v>26</v>
      </c>
      <c r="B36" s="2" t="str">
        <f>IF(Notenbogen!B29="","",Notenbogen!B29)</f>
        <v/>
      </c>
      <c r="C36" s="349" t="str">
        <f>'Eingabe Abitur'!Q61</f>
        <v/>
      </c>
      <c r="D36" s="349" t="str">
        <f>'Eingabe Abitur'!Q62</f>
        <v/>
      </c>
      <c r="E36" s="349" t="str">
        <f>IF('Eingabe Abitur'!R61='Eingabe Abitur'!R62,'Eingabe Abitur'!R61,"Keine Einigung!")</f>
        <v/>
      </c>
      <c r="F36" s="69"/>
      <c r="G36" s="343"/>
    </row>
    <row r="37" spans="1:7" x14ac:dyDescent="0.2">
      <c r="A37" s="350">
        <v>27</v>
      </c>
      <c r="B37" s="2" t="str">
        <f>IF(Notenbogen!B30="","",Notenbogen!B30)</f>
        <v/>
      </c>
      <c r="C37" s="349" t="str">
        <f>'Eingabe Abitur'!Q63</f>
        <v/>
      </c>
      <c r="D37" s="349" t="str">
        <f>'Eingabe Abitur'!Q64</f>
        <v/>
      </c>
      <c r="E37" s="349" t="str">
        <f>IF('Eingabe Abitur'!R63='Eingabe Abitur'!R64,'Eingabe Abitur'!R63,"Keine Einigung!")</f>
        <v/>
      </c>
      <c r="F37" s="69"/>
      <c r="G37" s="343"/>
    </row>
    <row r="38" spans="1:7" x14ac:dyDescent="0.2">
      <c r="A38" s="350">
        <v>28</v>
      </c>
      <c r="B38" s="2" t="str">
        <f>IF(Notenbogen!B31="","",Notenbogen!B31)</f>
        <v/>
      </c>
      <c r="C38" s="349" t="str">
        <f>'Eingabe Abitur'!Q65</f>
        <v/>
      </c>
      <c r="D38" s="349" t="str">
        <f>'Eingabe Abitur'!Q66</f>
        <v/>
      </c>
      <c r="E38" s="349" t="str">
        <f>IF('Eingabe Abitur'!R65='Eingabe Abitur'!R66,'Eingabe Abitur'!R65,"Keine Einigung!")</f>
        <v/>
      </c>
      <c r="F38" s="69"/>
      <c r="G38" s="343"/>
    </row>
    <row r="39" spans="1:7" x14ac:dyDescent="0.2">
      <c r="A39" s="350">
        <v>29</v>
      </c>
      <c r="B39" s="2" t="str">
        <f>IF(Notenbogen!B32="","",Notenbogen!B32)</f>
        <v/>
      </c>
      <c r="C39" s="349" t="str">
        <f>'Eingabe Abitur'!Q67</f>
        <v/>
      </c>
      <c r="D39" s="349" t="str">
        <f>'Eingabe Abitur'!Q68</f>
        <v/>
      </c>
      <c r="E39" s="349" t="str">
        <f>IF('Eingabe Abitur'!R67='Eingabe Abitur'!R68,'Eingabe Abitur'!R67,"Keine Einigung!")</f>
        <v/>
      </c>
      <c r="F39" s="69"/>
      <c r="G39" s="343"/>
    </row>
    <row r="40" spans="1:7" x14ac:dyDescent="0.2">
      <c r="A40" s="350">
        <v>30</v>
      </c>
      <c r="B40" s="2" t="str">
        <f>IF(Notenbogen!B33="","",Notenbogen!B33)</f>
        <v/>
      </c>
      <c r="C40" s="349" t="str">
        <f>'Eingabe Abitur'!Q69</f>
        <v/>
      </c>
      <c r="D40" s="349" t="str">
        <f>'Eingabe Abitur'!Q70</f>
        <v/>
      </c>
      <c r="E40" s="349" t="str">
        <f>IF('Eingabe Abitur'!R69='Eingabe Abitur'!R70,'Eingabe Abitur'!R69,"Keine Einigung!")</f>
        <v/>
      </c>
      <c r="F40" s="69"/>
      <c r="G40" s="343"/>
    </row>
    <row r="41" spans="1:7" x14ac:dyDescent="0.2">
      <c r="A41" s="350">
        <v>31</v>
      </c>
      <c r="B41" s="2" t="str">
        <f>IF(Notenbogen!B34="","",Notenbogen!B34)</f>
        <v/>
      </c>
      <c r="C41" s="349" t="str">
        <f>'Eingabe Abitur'!Q71</f>
        <v/>
      </c>
      <c r="D41" s="349" t="str">
        <f>'Eingabe Abitur'!Q72</f>
        <v/>
      </c>
      <c r="E41" s="349" t="str">
        <f>IF('Eingabe Abitur'!R71='Eingabe Abitur'!R72,'Eingabe Abitur'!R71,"Keine Einigung!")</f>
        <v/>
      </c>
      <c r="F41" s="69"/>
      <c r="G41" s="343"/>
    </row>
    <row r="42" spans="1:7" x14ac:dyDescent="0.2">
      <c r="A42" s="350">
        <v>32</v>
      </c>
      <c r="B42" s="2" t="str">
        <f>IF(Notenbogen!B35="","",Notenbogen!B35)</f>
        <v/>
      </c>
      <c r="C42" s="349" t="str">
        <f>'Eingabe Abitur'!Q73</f>
        <v/>
      </c>
      <c r="D42" s="349" t="str">
        <f>'Eingabe Abitur'!Q74</f>
        <v/>
      </c>
      <c r="E42" s="349" t="str">
        <f>IF('Eingabe Abitur'!R73='Eingabe Abitur'!R74,'Eingabe Abitur'!R73,"Keine Einigung!")</f>
        <v/>
      </c>
      <c r="F42" s="69"/>
      <c r="G42" s="343"/>
    </row>
    <row r="43" spans="1:7" x14ac:dyDescent="0.2">
      <c r="A43" s="350">
        <v>33</v>
      </c>
      <c r="B43" s="2" t="str">
        <f>IF(Notenbogen!B36="","",Notenbogen!B36)</f>
        <v/>
      </c>
      <c r="C43" s="349" t="str">
        <f>'Eingabe Abitur'!Q75</f>
        <v/>
      </c>
      <c r="D43" s="349" t="str">
        <f>'Eingabe Abitur'!Q76</f>
        <v/>
      </c>
      <c r="E43" s="349" t="str">
        <f>IF('Eingabe Abitur'!R75='Eingabe Abitur'!R76,'Eingabe Abitur'!R75,"Keine Einigung!")</f>
        <v/>
      </c>
      <c r="F43" s="69"/>
      <c r="G43" s="343"/>
    </row>
    <row r="44" spans="1:7" x14ac:dyDescent="0.2">
      <c r="A44" s="350">
        <v>34</v>
      </c>
      <c r="B44" s="2" t="str">
        <f>IF(Notenbogen!B37="","",Notenbogen!B37)</f>
        <v/>
      </c>
      <c r="C44" s="349" t="str">
        <f>'Eingabe Abitur'!Q77</f>
        <v/>
      </c>
      <c r="D44" s="349" t="str">
        <f>'Eingabe Abitur'!Q78</f>
        <v/>
      </c>
      <c r="E44" s="349" t="str">
        <f>IF('Eingabe Abitur'!R77='Eingabe Abitur'!R78,'Eingabe Abitur'!R77,"Keine Einigung!")</f>
        <v/>
      </c>
      <c r="F44" s="69"/>
      <c r="G44" s="343"/>
    </row>
    <row r="45" spans="1:7" x14ac:dyDescent="0.2">
      <c r="A45" s="350">
        <v>35</v>
      </c>
      <c r="B45" s="2" t="str">
        <f>IF(Notenbogen!B38="","",Notenbogen!B38)</f>
        <v/>
      </c>
      <c r="C45" s="349" t="str">
        <f>'Eingabe Abitur'!Q79</f>
        <v/>
      </c>
      <c r="D45" s="349" t="str">
        <f>'Eingabe Abitur'!Q80</f>
        <v/>
      </c>
      <c r="E45" s="349" t="str">
        <f>IF('Eingabe Abitur'!R79='Eingabe Abitur'!R80,'Eingabe Abitur'!R79,"Keine Einigung!")</f>
        <v/>
      </c>
      <c r="F45" s="348"/>
      <c r="G45" s="347"/>
    </row>
    <row r="46" spans="1:7" x14ac:dyDescent="0.2">
      <c r="C46" s="349"/>
    </row>
    <row r="47" spans="1:7" ht="25.5" x14ac:dyDescent="0.2">
      <c r="A47" s="599"/>
      <c r="B47" s="599"/>
      <c r="C47" s="346" t="s">
        <v>133</v>
      </c>
      <c r="D47" s="345" t="s">
        <v>132</v>
      </c>
      <c r="E47" s="346"/>
      <c r="F47" s="346" t="s">
        <v>133</v>
      </c>
      <c r="G47" s="345" t="s">
        <v>132</v>
      </c>
    </row>
    <row r="48" spans="1:7" x14ac:dyDescent="0.2">
      <c r="A48" s="593">
        <v>15</v>
      </c>
      <c r="B48" s="594"/>
      <c r="C48" s="197" t="s">
        <v>131</v>
      </c>
      <c r="D48" s="197">
        <f t="shared" ref="D48:D55" si="0">COUNTIF($E$11:$E$45,A48)</f>
        <v>0</v>
      </c>
      <c r="E48" s="197">
        <v>7</v>
      </c>
      <c r="F48" s="197" t="s">
        <v>130</v>
      </c>
      <c r="G48" s="197">
        <f t="shared" ref="G48:G55" si="1">COUNTIF($E$11:$E$45,E48)</f>
        <v>0</v>
      </c>
    </row>
    <row r="49" spans="1:7" x14ac:dyDescent="0.2">
      <c r="A49" s="593">
        <v>14</v>
      </c>
      <c r="B49" s="594"/>
      <c r="C49" s="197" t="s">
        <v>129</v>
      </c>
      <c r="D49" s="197">
        <f t="shared" si="0"/>
        <v>0</v>
      </c>
      <c r="E49" s="197">
        <v>6</v>
      </c>
      <c r="F49" s="197" t="s">
        <v>128</v>
      </c>
      <c r="G49" s="197">
        <f t="shared" si="1"/>
        <v>0</v>
      </c>
    </row>
    <row r="50" spans="1:7" x14ac:dyDescent="0.2">
      <c r="A50" s="593">
        <v>13</v>
      </c>
      <c r="B50" s="594"/>
      <c r="C50" s="197" t="s">
        <v>127</v>
      </c>
      <c r="D50" s="197">
        <f t="shared" si="0"/>
        <v>0</v>
      </c>
      <c r="E50" s="197">
        <v>5</v>
      </c>
      <c r="F50" s="197" t="s">
        <v>126</v>
      </c>
      <c r="G50" s="197">
        <f t="shared" si="1"/>
        <v>0</v>
      </c>
    </row>
    <row r="51" spans="1:7" x14ac:dyDescent="0.2">
      <c r="A51" s="593">
        <v>12</v>
      </c>
      <c r="B51" s="594"/>
      <c r="C51" s="197" t="s">
        <v>125</v>
      </c>
      <c r="D51" s="197">
        <f t="shared" si="0"/>
        <v>0</v>
      </c>
      <c r="E51" s="197">
        <v>4</v>
      </c>
      <c r="F51" s="197" t="s">
        <v>124</v>
      </c>
      <c r="G51" s="197">
        <f t="shared" si="1"/>
        <v>0</v>
      </c>
    </row>
    <row r="52" spans="1:7" x14ac:dyDescent="0.2">
      <c r="A52" s="593">
        <v>11</v>
      </c>
      <c r="B52" s="594"/>
      <c r="C52" s="197" t="s">
        <v>123</v>
      </c>
      <c r="D52" s="197">
        <f t="shared" si="0"/>
        <v>0</v>
      </c>
      <c r="E52" s="197">
        <v>3</v>
      </c>
      <c r="F52" s="197" t="s">
        <v>122</v>
      </c>
      <c r="G52" s="197">
        <f t="shared" si="1"/>
        <v>0</v>
      </c>
    </row>
    <row r="53" spans="1:7" x14ac:dyDescent="0.2">
      <c r="A53" s="593">
        <v>10</v>
      </c>
      <c r="B53" s="594"/>
      <c r="C53" s="197" t="s">
        <v>121</v>
      </c>
      <c r="D53" s="197">
        <f t="shared" si="0"/>
        <v>0</v>
      </c>
      <c r="E53" s="197">
        <v>2</v>
      </c>
      <c r="F53" s="197" t="s">
        <v>120</v>
      </c>
      <c r="G53" s="197">
        <f t="shared" si="1"/>
        <v>0</v>
      </c>
    </row>
    <row r="54" spans="1:7" x14ac:dyDescent="0.2">
      <c r="A54" s="593">
        <v>9</v>
      </c>
      <c r="B54" s="594"/>
      <c r="C54" s="197" t="s">
        <v>119</v>
      </c>
      <c r="D54" s="197">
        <f t="shared" si="0"/>
        <v>0</v>
      </c>
      <c r="E54" s="197">
        <v>1</v>
      </c>
      <c r="F54" s="197" t="s">
        <v>118</v>
      </c>
      <c r="G54" s="197">
        <f t="shared" si="1"/>
        <v>0</v>
      </c>
    </row>
    <row r="55" spans="1:7" x14ac:dyDescent="0.2">
      <c r="A55" s="593">
        <v>8</v>
      </c>
      <c r="B55" s="594"/>
      <c r="C55" s="197" t="s">
        <v>117</v>
      </c>
      <c r="D55" s="197">
        <f t="shared" si="0"/>
        <v>0</v>
      </c>
      <c r="E55" s="197">
        <v>0</v>
      </c>
      <c r="F55" s="197" t="s">
        <v>116</v>
      </c>
      <c r="G55" s="197">
        <f t="shared" si="1"/>
        <v>0</v>
      </c>
    </row>
    <row r="56" spans="1:7" x14ac:dyDescent="0.2">
      <c r="A56" s="344"/>
      <c r="B56" s="69"/>
      <c r="C56" s="69"/>
      <c r="D56" s="69"/>
      <c r="E56" s="69"/>
      <c r="F56" s="69"/>
      <c r="G56" s="343"/>
    </row>
    <row r="57" spans="1:7" x14ac:dyDescent="0.2">
      <c r="A57" s="590" t="s">
        <v>115</v>
      </c>
      <c r="B57" s="591"/>
      <c r="C57" s="591"/>
      <c r="D57" s="591"/>
      <c r="E57" s="591"/>
      <c r="F57" s="591"/>
      <c r="G57" s="592"/>
    </row>
    <row r="58" spans="1:7" x14ac:dyDescent="0.2">
      <c r="A58" s="581" t="e">
        <f>AVERAGE(E11:E45)</f>
        <v>#DIV/0!</v>
      </c>
      <c r="B58" s="582"/>
      <c r="C58" s="582"/>
      <c r="D58" s="582"/>
      <c r="E58" s="582"/>
      <c r="F58" s="582"/>
      <c r="G58" s="583"/>
    </row>
    <row r="60" spans="1:7" ht="26.25" customHeight="1" x14ac:dyDescent="0.2">
      <c r="A60" s="587" t="s">
        <v>114</v>
      </c>
      <c r="B60" s="588"/>
      <c r="C60" s="588"/>
      <c r="D60" s="588"/>
      <c r="E60" s="588"/>
      <c r="F60" s="588"/>
      <c r="G60" s="589"/>
    </row>
    <row r="65" spans="1:7" x14ac:dyDescent="0.2">
      <c r="A65" s="342"/>
      <c r="B65" s="586"/>
      <c r="C65" s="586"/>
      <c r="D65" s="69"/>
      <c r="E65" s="69"/>
      <c r="F65" s="585"/>
      <c r="G65" s="585"/>
    </row>
    <row r="66" spans="1:7" x14ac:dyDescent="0.2">
      <c r="A66" s="69"/>
      <c r="B66" s="584" t="s">
        <v>113</v>
      </c>
      <c r="C66" s="584"/>
      <c r="D66" s="69"/>
      <c r="E66" s="341"/>
      <c r="F66" s="584" t="s">
        <v>112</v>
      </c>
      <c r="G66" s="584"/>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8" t="s">
        <v>144</v>
      </c>
      <c r="B2" s="354"/>
      <c r="C2" s="354"/>
      <c r="D2" s="354"/>
      <c r="E2" s="354"/>
      <c r="F2" s="354"/>
      <c r="G2" s="353"/>
    </row>
    <row r="3" spans="1:7" x14ac:dyDescent="0.2">
      <c r="A3" s="357" t="s">
        <v>139</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95" t="s">
        <v>141</v>
      </c>
      <c r="B7" s="596"/>
      <c r="C7" s="596"/>
      <c r="D7" s="596"/>
      <c r="E7" s="596"/>
      <c r="F7" s="596"/>
      <c r="G7" s="597"/>
    </row>
    <row r="8" spans="1:7" x14ac:dyDescent="0.2">
      <c r="A8" s="344"/>
      <c r="B8" s="69"/>
      <c r="C8" s="69"/>
      <c r="D8" s="69"/>
      <c r="E8" s="69"/>
      <c r="F8" s="69"/>
      <c r="G8" s="343"/>
    </row>
    <row r="9" spans="1:7" ht="25.5" customHeight="1" x14ac:dyDescent="0.2">
      <c r="A9" s="344"/>
      <c r="B9" s="365" t="s">
        <v>137</v>
      </c>
      <c r="C9" s="351" t="s">
        <v>136</v>
      </c>
      <c r="D9" s="69"/>
      <c r="E9" s="69"/>
      <c r="F9" s="69"/>
      <c r="G9" s="343"/>
    </row>
    <row r="10" spans="1:7" x14ac:dyDescent="0.2">
      <c r="A10" s="350">
        <v>1</v>
      </c>
      <c r="B10" s="2" t="str">
        <f>IF(Notenbogen!B4="","",Notenbogen!B4)</f>
        <v/>
      </c>
      <c r="C10" s="349" t="str">
        <f>'Eingabe Abitur'!X11</f>
        <v/>
      </c>
      <c r="D10" s="69"/>
      <c r="E10" s="69"/>
      <c r="F10" s="69"/>
      <c r="G10" s="343"/>
    </row>
    <row r="11" spans="1:7" x14ac:dyDescent="0.2">
      <c r="A11" s="350">
        <v>2</v>
      </c>
      <c r="B11" s="2" t="str">
        <f>IF(Notenbogen!B5="","",Notenbogen!B5)</f>
        <v/>
      </c>
      <c r="C11" s="349" t="str">
        <f>'Eingabe Abitur'!X13</f>
        <v/>
      </c>
      <c r="D11" s="69"/>
      <c r="E11" s="69"/>
      <c r="F11" s="69"/>
      <c r="G11" s="343"/>
    </row>
    <row r="12" spans="1:7" x14ac:dyDescent="0.2">
      <c r="A12" s="350">
        <v>3</v>
      </c>
      <c r="B12" s="2" t="str">
        <f>IF(Notenbogen!B6="","",Notenbogen!B6)</f>
        <v/>
      </c>
      <c r="C12" s="349" t="str">
        <f>'Eingabe Abitur'!X15</f>
        <v/>
      </c>
      <c r="D12" s="69"/>
      <c r="E12" s="69"/>
      <c r="F12" s="69"/>
      <c r="G12" s="343"/>
    </row>
    <row r="13" spans="1:7" x14ac:dyDescent="0.2">
      <c r="A13" s="350">
        <v>4</v>
      </c>
      <c r="B13" s="2" t="str">
        <f>IF(Notenbogen!B7="","",Notenbogen!B7)</f>
        <v/>
      </c>
      <c r="C13" s="349" t="str">
        <f>'Eingabe Abitur'!X17</f>
        <v/>
      </c>
      <c r="D13" s="69"/>
      <c r="E13" s="69"/>
      <c r="F13" s="69"/>
      <c r="G13" s="343"/>
    </row>
    <row r="14" spans="1:7" x14ac:dyDescent="0.2">
      <c r="A14" s="350">
        <v>5</v>
      </c>
      <c r="B14" s="2" t="str">
        <f>IF(Notenbogen!B8="","",Notenbogen!B8)</f>
        <v/>
      </c>
      <c r="C14" s="349" t="str">
        <f>'Eingabe Abitur'!X19</f>
        <v/>
      </c>
      <c r="D14" s="69"/>
      <c r="E14" s="69"/>
      <c r="F14" s="69"/>
      <c r="G14" s="343"/>
    </row>
    <row r="15" spans="1:7" x14ac:dyDescent="0.2">
      <c r="A15" s="350">
        <v>6</v>
      </c>
      <c r="B15" s="2" t="str">
        <f>IF(Notenbogen!B9="","",Notenbogen!B9)</f>
        <v/>
      </c>
      <c r="C15" s="349" t="str">
        <f>'Eingabe Abitur'!X21</f>
        <v/>
      </c>
      <c r="D15" s="69"/>
      <c r="E15" s="69"/>
      <c r="F15" s="69"/>
      <c r="G15" s="343"/>
    </row>
    <row r="16" spans="1:7" x14ac:dyDescent="0.2">
      <c r="A16" s="350">
        <v>7</v>
      </c>
      <c r="B16" s="2" t="str">
        <f>IF(Notenbogen!B10="","",Notenbogen!B10)</f>
        <v/>
      </c>
      <c r="C16" s="349" t="str">
        <f>'Eingabe Abitur'!X23</f>
        <v/>
      </c>
      <c r="D16" s="69"/>
      <c r="E16" s="69"/>
      <c r="F16" s="69"/>
      <c r="G16" s="343"/>
    </row>
    <row r="17" spans="1:7" x14ac:dyDescent="0.2">
      <c r="A17" s="350">
        <v>8</v>
      </c>
      <c r="B17" s="2" t="str">
        <f>IF(Notenbogen!B11="","",Notenbogen!B11)</f>
        <v/>
      </c>
      <c r="C17" s="349" t="str">
        <f>'Eingabe Abitur'!X25</f>
        <v/>
      </c>
      <c r="D17" s="69"/>
      <c r="E17" s="69"/>
      <c r="F17" s="69"/>
      <c r="G17" s="343"/>
    </row>
    <row r="18" spans="1:7" x14ac:dyDescent="0.2">
      <c r="A18" s="350">
        <v>9</v>
      </c>
      <c r="B18" s="2" t="str">
        <f>IF(Notenbogen!B12="","",Notenbogen!B12)</f>
        <v/>
      </c>
      <c r="C18" s="349" t="str">
        <f>'Eingabe Abitur'!X27</f>
        <v/>
      </c>
      <c r="D18" s="69"/>
      <c r="E18" s="69"/>
      <c r="F18" s="69"/>
      <c r="G18" s="343"/>
    </row>
    <row r="19" spans="1:7" x14ac:dyDescent="0.2">
      <c r="A19" s="350">
        <v>10</v>
      </c>
      <c r="B19" s="2" t="str">
        <f>IF(Notenbogen!B13="","",Notenbogen!B13)</f>
        <v/>
      </c>
      <c r="C19" s="349" t="str">
        <f>'Eingabe Abitur'!X29</f>
        <v/>
      </c>
      <c r="D19" s="69"/>
      <c r="E19" s="69"/>
      <c r="F19" s="69"/>
      <c r="G19" s="343"/>
    </row>
    <row r="20" spans="1:7" x14ac:dyDescent="0.2">
      <c r="A20" s="350">
        <v>11</v>
      </c>
      <c r="B20" s="2" t="str">
        <f>IF(Notenbogen!B14="","",Notenbogen!B14)</f>
        <v/>
      </c>
      <c r="C20" s="349" t="str">
        <f>'Eingabe Abitur'!X31</f>
        <v/>
      </c>
      <c r="D20" s="69"/>
      <c r="E20" s="69"/>
      <c r="F20" s="69"/>
      <c r="G20" s="343"/>
    </row>
    <row r="21" spans="1:7" x14ac:dyDescent="0.2">
      <c r="A21" s="350">
        <v>12</v>
      </c>
      <c r="B21" s="2" t="str">
        <f>IF(Notenbogen!B15="","",Notenbogen!B15)</f>
        <v/>
      </c>
      <c r="C21" s="349" t="str">
        <f>'Eingabe Abitur'!X33</f>
        <v/>
      </c>
      <c r="D21" s="69"/>
      <c r="E21" s="69"/>
      <c r="F21" s="69"/>
      <c r="G21" s="343"/>
    </row>
    <row r="22" spans="1:7" x14ac:dyDescent="0.2">
      <c r="A22" s="350">
        <v>13</v>
      </c>
      <c r="B22" s="2" t="str">
        <f>IF(Notenbogen!B16="","",Notenbogen!B16)</f>
        <v/>
      </c>
      <c r="C22" s="349" t="str">
        <f>'Eingabe Abitur'!X35</f>
        <v/>
      </c>
      <c r="D22" s="69"/>
      <c r="E22" s="69"/>
      <c r="F22" s="69"/>
      <c r="G22" s="343"/>
    </row>
    <row r="23" spans="1:7" x14ac:dyDescent="0.2">
      <c r="A23" s="350">
        <v>14</v>
      </c>
      <c r="B23" s="2" t="str">
        <f>IF(Notenbogen!B17="","",Notenbogen!B17)</f>
        <v/>
      </c>
      <c r="C23" s="349" t="str">
        <f>'Eingabe Abitur'!X37</f>
        <v/>
      </c>
      <c r="D23" s="69"/>
      <c r="E23" s="69"/>
      <c r="F23" s="69"/>
      <c r="G23" s="343"/>
    </row>
    <row r="24" spans="1:7" x14ac:dyDescent="0.2">
      <c r="A24" s="350">
        <v>15</v>
      </c>
      <c r="B24" s="2" t="str">
        <f>IF(Notenbogen!B18="","",Notenbogen!B18)</f>
        <v/>
      </c>
      <c r="C24" s="349" t="str">
        <f>'Eingabe Abitur'!X39</f>
        <v/>
      </c>
      <c r="D24" s="69"/>
      <c r="E24" s="69"/>
      <c r="F24" s="69"/>
      <c r="G24" s="343"/>
    </row>
    <row r="25" spans="1:7" x14ac:dyDescent="0.2">
      <c r="A25" s="350">
        <v>16</v>
      </c>
      <c r="B25" s="2" t="str">
        <f>IF(Notenbogen!B19="","",Notenbogen!B19)</f>
        <v/>
      </c>
      <c r="C25" s="349" t="str">
        <f>'Eingabe Abitur'!X41</f>
        <v/>
      </c>
      <c r="D25" s="69"/>
      <c r="E25" s="69"/>
      <c r="F25" s="69"/>
      <c r="G25" s="343"/>
    </row>
    <row r="26" spans="1:7" x14ac:dyDescent="0.2">
      <c r="A26" s="350">
        <v>17</v>
      </c>
      <c r="B26" s="2" t="str">
        <f>IF(Notenbogen!B20="","",Notenbogen!B20)</f>
        <v/>
      </c>
      <c r="C26" s="349" t="str">
        <f>'Eingabe Abitur'!X43</f>
        <v/>
      </c>
      <c r="D26" s="69"/>
      <c r="E26" s="69"/>
      <c r="F26" s="69"/>
      <c r="G26" s="343"/>
    </row>
    <row r="27" spans="1:7" x14ac:dyDescent="0.2">
      <c r="A27" s="350">
        <v>18</v>
      </c>
      <c r="B27" s="2" t="str">
        <f>IF(Notenbogen!B21="","",Notenbogen!B21)</f>
        <v/>
      </c>
      <c r="C27" s="349" t="str">
        <f>'Eingabe Abitur'!X45</f>
        <v/>
      </c>
      <c r="D27" s="69"/>
      <c r="E27" s="69"/>
      <c r="F27" s="69"/>
      <c r="G27" s="343"/>
    </row>
    <row r="28" spans="1:7" x14ac:dyDescent="0.2">
      <c r="A28" s="350">
        <v>19</v>
      </c>
      <c r="B28" s="2" t="str">
        <f>IF(Notenbogen!B22="","",Notenbogen!B22)</f>
        <v/>
      </c>
      <c r="C28" s="349" t="str">
        <f>'Eingabe Abitur'!X47</f>
        <v/>
      </c>
      <c r="D28" s="69"/>
      <c r="E28" s="69"/>
      <c r="F28" s="69"/>
      <c r="G28" s="343"/>
    </row>
    <row r="29" spans="1:7" x14ac:dyDescent="0.2">
      <c r="A29" s="350">
        <v>20</v>
      </c>
      <c r="B29" s="2" t="str">
        <f>IF(Notenbogen!B23="","",Notenbogen!B23)</f>
        <v/>
      </c>
      <c r="C29" s="349" t="str">
        <f>'Eingabe Abitur'!X49</f>
        <v/>
      </c>
      <c r="D29" s="69"/>
      <c r="E29" s="69"/>
      <c r="F29" s="69"/>
      <c r="G29" s="343"/>
    </row>
    <row r="30" spans="1:7" x14ac:dyDescent="0.2">
      <c r="A30" s="350">
        <v>21</v>
      </c>
      <c r="B30" s="2" t="str">
        <f>IF(Notenbogen!B24="","",Notenbogen!B24)</f>
        <v/>
      </c>
      <c r="C30" s="349" t="str">
        <f>'Eingabe Abitur'!X51</f>
        <v/>
      </c>
      <c r="D30" s="69"/>
      <c r="E30" s="69"/>
      <c r="F30" s="69"/>
      <c r="G30" s="343"/>
    </row>
    <row r="31" spans="1:7" x14ac:dyDescent="0.2">
      <c r="A31" s="350">
        <v>22</v>
      </c>
      <c r="B31" s="2" t="str">
        <f>IF(Notenbogen!B25="","",Notenbogen!B25)</f>
        <v/>
      </c>
      <c r="C31" s="349" t="str">
        <f>'Eingabe Abitur'!X53</f>
        <v/>
      </c>
      <c r="D31" s="69"/>
      <c r="E31" s="69"/>
      <c r="F31" s="69"/>
      <c r="G31" s="343"/>
    </row>
    <row r="32" spans="1:7" x14ac:dyDescent="0.2">
      <c r="A32" s="350">
        <v>23</v>
      </c>
      <c r="B32" s="2" t="str">
        <f>IF(Notenbogen!B26="","",Notenbogen!B26)</f>
        <v/>
      </c>
      <c r="C32" s="349" t="str">
        <f>'Eingabe Abitur'!X55</f>
        <v/>
      </c>
      <c r="D32" s="69"/>
      <c r="E32" s="69"/>
      <c r="F32" s="69"/>
      <c r="G32" s="343"/>
    </row>
    <row r="33" spans="1:7" x14ac:dyDescent="0.2">
      <c r="A33" s="350">
        <v>24</v>
      </c>
      <c r="B33" s="2" t="str">
        <f>IF(Notenbogen!B27="","",Notenbogen!B27)</f>
        <v/>
      </c>
      <c r="C33" s="349" t="str">
        <f>'Eingabe Abitur'!X57</f>
        <v/>
      </c>
      <c r="D33" s="69"/>
      <c r="E33" s="69"/>
      <c r="F33" s="69"/>
      <c r="G33" s="343"/>
    </row>
    <row r="34" spans="1:7" x14ac:dyDescent="0.2">
      <c r="A34" s="350">
        <v>25</v>
      </c>
      <c r="B34" s="2" t="str">
        <f>IF(Notenbogen!B28="","",Notenbogen!B28)</f>
        <v/>
      </c>
      <c r="C34" s="349" t="str">
        <f>'Eingabe Abitur'!X59</f>
        <v/>
      </c>
      <c r="D34" s="69"/>
      <c r="E34" s="69"/>
      <c r="F34" s="69"/>
      <c r="G34" s="343"/>
    </row>
    <row r="35" spans="1:7" x14ac:dyDescent="0.2">
      <c r="A35" s="350">
        <v>26</v>
      </c>
      <c r="B35" s="2" t="str">
        <f>IF(Notenbogen!B29="","",Notenbogen!B29)</f>
        <v/>
      </c>
      <c r="C35" s="349" t="str">
        <f>'Eingabe Abitur'!X61</f>
        <v/>
      </c>
      <c r="D35" s="69"/>
      <c r="E35" s="69"/>
      <c r="F35" s="69"/>
      <c r="G35" s="343"/>
    </row>
    <row r="36" spans="1:7" x14ac:dyDescent="0.2">
      <c r="A36" s="350">
        <v>27</v>
      </c>
      <c r="B36" s="2" t="str">
        <f>IF(Notenbogen!B30="","",Notenbogen!B30)</f>
        <v/>
      </c>
      <c r="C36" s="349" t="str">
        <f>'Eingabe Abitur'!X63</f>
        <v/>
      </c>
      <c r="D36" s="69"/>
      <c r="E36" s="69"/>
      <c r="F36" s="69"/>
      <c r="G36" s="343"/>
    </row>
    <row r="37" spans="1:7" x14ac:dyDescent="0.2">
      <c r="A37" s="350">
        <v>28</v>
      </c>
      <c r="B37" s="2" t="str">
        <f>IF(Notenbogen!B31="","",Notenbogen!B31)</f>
        <v/>
      </c>
      <c r="C37" s="349" t="str">
        <f>'Eingabe Abitur'!X65</f>
        <v/>
      </c>
      <c r="D37" s="69"/>
      <c r="E37" s="69"/>
      <c r="F37" s="69"/>
      <c r="G37" s="343"/>
    </row>
    <row r="38" spans="1:7" x14ac:dyDescent="0.2">
      <c r="A38" s="350">
        <v>29</v>
      </c>
      <c r="B38" s="2" t="str">
        <f>IF(Notenbogen!B32="","",Notenbogen!B32)</f>
        <v/>
      </c>
      <c r="C38" s="349" t="str">
        <f>'Eingabe Abitur'!X67</f>
        <v/>
      </c>
      <c r="D38" s="69"/>
      <c r="E38" s="69"/>
      <c r="F38" s="69"/>
      <c r="G38" s="343"/>
    </row>
    <row r="39" spans="1:7" x14ac:dyDescent="0.2">
      <c r="A39" s="350">
        <v>30</v>
      </c>
      <c r="B39" s="2" t="str">
        <f>IF(Notenbogen!B33="","",Notenbogen!B33)</f>
        <v/>
      </c>
      <c r="C39" s="349" t="str">
        <f>'Eingabe Abitur'!X69</f>
        <v/>
      </c>
      <c r="D39" s="69"/>
      <c r="E39" s="69"/>
      <c r="F39" s="69"/>
      <c r="G39" s="343"/>
    </row>
    <row r="40" spans="1:7" x14ac:dyDescent="0.2">
      <c r="A40" s="350">
        <v>31</v>
      </c>
      <c r="B40" s="2" t="str">
        <f>IF(Notenbogen!B34="","",Notenbogen!B34)</f>
        <v/>
      </c>
      <c r="C40" s="349" t="str">
        <f>'Eingabe Abitur'!X71</f>
        <v/>
      </c>
      <c r="D40" s="69"/>
      <c r="E40" s="69"/>
      <c r="F40" s="69"/>
      <c r="G40" s="343"/>
    </row>
    <row r="41" spans="1:7" x14ac:dyDescent="0.2">
      <c r="A41" s="350">
        <v>32</v>
      </c>
      <c r="B41" s="2" t="str">
        <f>IF(Notenbogen!B35="","",Notenbogen!B35)</f>
        <v/>
      </c>
      <c r="C41" s="349" t="str">
        <f>'Eingabe Abitur'!X73</f>
        <v/>
      </c>
      <c r="D41" s="69"/>
      <c r="E41" s="69"/>
      <c r="F41" s="69"/>
      <c r="G41" s="343"/>
    </row>
    <row r="42" spans="1:7" x14ac:dyDescent="0.2">
      <c r="A42" s="350">
        <v>33</v>
      </c>
      <c r="B42" s="2" t="str">
        <f>IF(Notenbogen!B36="","",Notenbogen!B36)</f>
        <v/>
      </c>
      <c r="C42" s="349" t="str">
        <f>'Eingabe Abitur'!X75</f>
        <v/>
      </c>
      <c r="D42" s="69"/>
      <c r="E42" s="69"/>
      <c r="F42" s="69"/>
      <c r="G42" s="343"/>
    </row>
    <row r="43" spans="1:7" x14ac:dyDescent="0.2">
      <c r="A43" s="350">
        <v>34</v>
      </c>
      <c r="B43" s="2" t="str">
        <f>IF(Notenbogen!B37="","",Notenbogen!B37)</f>
        <v/>
      </c>
      <c r="C43" s="349" t="str">
        <f>'Eingabe Abitur'!X77</f>
        <v/>
      </c>
      <c r="D43" s="69"/>
      <c r="E43" s="69"/>
      <c r="F43" s="69"/>
      <c r="G43" s="343"/>
    </row>
    <row r="44" spans="1:7" x14ac:dyDescent="0.2">
      <c r="A44" s="350">
        <v>35</v>
      </c>
      <c r="B44" s="2" t="str">
        <f>IF(Notenbogen!B38="","",Notenbogen!B38)</f>
        <v/>
      </c>
      <c r="C44" s="349" t="str">
        <f>'Eingabe Abitur'!X79</f>
        <v/>
      </c>
      <c r="D44" s="348"/>
      <c r="E44" s="348"/>
      <c r="F44" s="348"/>
      <c r="G44" s="347"/>
    </row>
    <row r="46" spans="1:7" ht="25.5" x14ac:dyDescent="0.2">
      <c r="A46" s="355"/>
      <c r="B46" s="354"/>
      <c r="C46" s="354"/>
      <c r="D46" s="364"/>
      <c r="E46" s="363" t="s">
        <v>132</v>
      </c>
      <c r="F46" s="362"/>
      <c r="G46" s="361" t="s">
        <v>132</v>
      </c>
    </row>
    <row r="47" spans="1:7" x14ac:dyDescent="0.2">
      <c r="A47" s="344"/>
      <c r="B47" s="69"/>
      <c r="C47" s="69"/>
      <c r="D47" s="197">
        <v>15</v>
      </c>
      <c r="E47" s="197">
        <f t="shared" ref="E47:E54" si="0">COUNTIF($C$10:$C$44,D47)</f>
        <v>0</v>
      </c>
      <c r="F47" s="197">
        <v>7</v>
      </c>
      <c r="G47" s="197">
        <f t="shared" ref="G47:G54" si="1">COUNTIF($C$10:$C$44,F47)</f>
        <v>0</v>
      </c>
    </row>
    <row r="48" spans="1:7" x14ac:dyDescent="0.2">
      <c r="A48" s="344"/>
      <c r="B48" s="69"/>
      <c r="C48" s="69"/>
      <c r="D48" s="197">
        <v>14</v>
      </c>
      <c r="E48" s="197">
        <f t="shared" si="0"/>
        <v>0</v>
      </c>
      <c r="F48" s="197">
        <v>6</v>
      </c>
      <c r="G48" s="197">
        <f t="shared" si="1"/>
        <v>0</v>
      </c>
    </row>
    <row r="49" spans="1:7" x14ac:dyDescent="0.2">
      <c r="A49" s="344"/>
      <c r="B49" s="69"/>
      <c r="C49" s="69"/>
      <c r="D49" s="197">
        <v>13</v>
      </c>
      <c r="E49" s="197">
        <f t="shared" si="0"/>
        <v>0</v>
      </c>
      <c r="F49" s="197">
        <v>5</v>
      </c>
      <c r="G49" s="197">
        <f t="shared" si="1"/>
        <v>0</v>
      </c>
    </row>
    <row r="50" spans="1:7" x14ac:dyDescent="0.2">
      <c r="A50" s="344"/>
      <c r="B50" s="69"/>
      <c r="C50" s="69"/>
      <c r="D50" s="197">
        <v>12</v>
      </c>
      <c r="E50" s="197">
        <f t="shared" si="0"/>
        <v>0</v>
      </c>
      <c r="F50" s="197">
        <v>4</v>
      </c>
      <c r="G50" s="197">
        <f t="shared" si="1"/>
        <v>0</v>
      </c>
    </row>
    <row r="51" spans="1:7" x14ac:dyDescent="0.2">
      <c r="A51" s="344"/>
      <c r="B51" s="69"/>
      <c r="C51" s="69"/>
      <c r="D51" s="197">
        <v>11</v>
      </c>
      <c r="E51" s="197">
        <f t="shared" si="0"/>
        <v>0</v>
      </c>
      <c r="F51" s="197">
        <v>3</v>
      </c>
      <c r="G51" s="197">
        <f t="shared" si="1"/>
        <v>0</v>
      </c>
    </row>
    <row r="52" spans="1:7" x14ac:dyDescent="0.2">
      <c r="A52" s="344"/>
      <c r="B52" s="69"/>
      <c r="C52" s="69"/>
      <c r="D52" s="197">
        <v>10</v>
      </c>
      <c r="E52" s="197">
        <f t="shared" si="0"/>
        <v>0</v>
      </c>
      <c r="F52" s="197">
        <v>2</v>
      </c>
      <c r="G52" s="197">
        <f t="shared" si="1"/>
        <v>0</v>
      </c>
    </row>
    <row r="53" spans="1:7" x14ac:dyDescent="0.2">
      <c r="A53" s="344"/>
      <c r="B53" s="69"/>
      <c r="C53" s="69"/>
      <c r="D53" s="197">
        <v>9</v>
      </c>
      <c r="E53" s="197">
        <f t="shared" si="0"/>
        <v>0</v>
      </c>
      <c r="F53" s="197">
        <v>1</v>
      </c>
      <c r="G53" s="197">
        <f t="shared" si="1"/>
        <v>0</v>
      </c>
    </row>
    <row r="54" spans="1:7" x14ac:dyDescent="0.2">
      <c r="A54" s="344"/>
      <c r="B54" s="69"/>
      <c r="C54" s="69"/>
      <c r="D54" s="197">
        <v>8</v>
      </c>
      <c r="E54" s="197">
        <f t="shared" si="0"/>
        <v>0</v>
      </c>
      <c r="F54" s="197">
        <v>0</v>
      </c>
      <c r="G54" s="197">
        <f t="shared" si="1"/>
        <v>0</v>
      </c>
    </row>
    <row r="55" spans="1:7" x14ac:dyDescent="0.2">
      <c r="A55" s="344"/>
      <c r="B55" s="69"/>
      <c r="C55" s="69"/>
      <c r="D55" s="348"/>
      <c r="E55" s="69"/>
      <c r="F55" s="69"/>
      <c r="G55" s="347"/>
    </row>
    <row r="56" spans="1:7" x14ac:dyDescent="0.2">
      <c r="A56" s="344"/>
      <c r="B56" s="69"/>
      <c r="C56" s="69"/>
      <c r="D56" s="590" t="s">
        <v>115</v>
      </c>
      <c r="E56" s="591"/>
      <c r="F56" s="591"/>
      <c r="G56" s="592"/>
    </row>
    <row r="57" spans="1:7" x14ac:dyDescent="0.2">
      <c r="A57" s="360"/>
      <c r="B57" s="348"/>
      <c r="C57" s="348"/>
      <c r="D57" s="581" t="str">
        <f>IF(SUM(C10:C44)=0,"",AVERAGE(C10:C44))</f>
        <v/>
      </c>
      <c r="E57" s="582"/>
      <c r="F57" s="582"/>
      <c r="G57" s="583"/>
    </row>
    <row r="58" spans="1:7" ht="25.5" customHeight="1" x14ac:dyDescent="0.2">
      <c r="A58" s="587" t="s">
        <v>140</v>
      </c>
      <c r="B58" s="588"/>
      <c r="C58" s="588"/>
      <c r="D58" s="588"/>
      <c r="E58" s="588"/>
      <c r="F58" s="588"/>
      <c r="G58" s="589"/>
    </row>
    <row r="60" spans="1:7" x14ac:dyDescent="0.2">
      <c r="A60" s="600"/>
      <c r="B60" s="600"/>
      <c r="C60" s="69"/>
      <c r="D60" s="69"/>
      <c r="E60" s="69"/>
      <c r="F60" s="342"/>
      <c r="G60" s="342"/>
    </row>
    <row r="61" spans="1:7" x14ac:dyDescent="0.2">
      <c r="B61" s="359" t="s">
        <v>113</v>
      </c>
      <c r="C61" s="69"/>
      <c r="D61" s="584" t="s">
        <v>112</v>
      </c>
      <c r="E61" s="584"/>
      <c r="F61" s="584"/>
      <c r="G61" s="584"/>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D6" sqref="D6"/>
    </sheetView>
  </sheetViews>
  <sheetFormatPr baseColWidth="10" defaultRowHeight="12.75" x14ac:dyDescent="0.2"/>
  <cols>
    <col min="1" max="1" width="11.42578125" style="262"/>
    <col min="2" max="2" width="23.140625" style="262" customWidth="1"/>
    <col min="3" max="4" width="11.42578125" style="262"/>
    <col min="5" max="5" width="12.140625" style="262" customWidth="1"/>
    <col min="6" max="16384" width="11.42578125" style="262"/>
  </cols>
  <sheetData>
    <row r="1" spans="1:8" ht="15" x14ac:dyDescent="0.25">
      <c r="A1" s="368"/>
      <c r="B1" s="369" t="s">
        <v>85</v>
      </c>
      <c r="C1" s="368"/>
      <c r="D1" s="368"/>
      <c r="E1" s="262" t="s">
        <v>179</v>
      </c>
      <c r="F1" s="485" t="s">
        <v>180</v>
      </c>
    </row>
    <row r="2" spans="1:8" x14ac:dyDescent="0.2">
      <c r="A2" s="263"/>
      <c r="B2" s="264" t="s">
        <v>11</v>
      </c>
      <c r="C2" s="265" t="str">
        <f>+IF(Notenbogen!B1="","",Notenbogen!B1)</f>
        <v/>
      </c>
      <c r="D2" s="266"/>
      <c r="E2" s="368" t="s">
        <v>89</v>
      </c>
      <c r="F2" s="368"/>
      <c r="G2" s="486" t="s">
        <v>181</v>
      </c>
      <c r="H2" s="262" t="s">
        <v>182</v>
      </c>
    </row>
    <row r="3" spans="1:8" x14ac:dyDescent="0.2">
      <c r="A3" s="267" t="s">
        <v>3</v>
      </c>
      <c r="B3" s="370" t="s">
        <v>4</v>
      </c>
      <c r="C3" s="371" t="s">
        <v>88</v>
      </c>
      <c r="D3" s="487" t="s">
        <v>183</v>
      </c>
      <c r="E3" s="368"/>
      <c r="F3" s="368"/>
      <c r="G3" s="486"/>
    </row>
    <row r="4" spans="1:8" x14ac:dyDescent="0.2">
      <c r="A4" s="267">
        <v>1</v>
      </c>
      <c r="B4" s="370" t="str">
        <f>IF(Notenbogen!B4&lt;&gt;"", Notenbogen!B4, "")</f>
        <v/>
      </c>
      <c r="C4" s="367"/>
      <c r="D4" s="487"/>
      <c r="E4" s="368"/>
      <c r="F4" s="368"/>
      <c r="G4" s="486"/>
    </row>
    <row r="5" spans="1:8" x14ac:dyDescent="0.2">
      <c r="A5" s="267">
        <v>2</v>
      </c>
      <c r="B5" s="370" t="str">
        <f>IF(Notenbogen!B5&lt;&gt;"", Notenbogen!B5, "")</f>
        <v/>
      </c>
      <c r="C5" s="367"/>
      <c r="D5" s="487"/>
      <c r="E5" s="368"/>
      <c r="F5" s="368"/>
      <c r="G5" s="486"/>
    </row>
    <row r="6" spans="1:8" x14ac:dyDescent="0.2">
      <c r="A6" s="267">
        <v>3</v>
      </c>
      <c r="B6" s="370" t="str">
        <f>IF(Notenbogen!B6&lt;&gt;"", Notenbogen!B6, "")</f>
        <v/>
      </c>
      <c r="C6" s="367"/>
      <c r="D6" s="487"/>
      <c r="E6" s="368"/>
      <c r="F6" s="368"/>
      <c r="G6" s="486"/>
    </row>
    <row r="7" spans="1:8" x14ac:dyDescent="0.2">
      <c r="A7" s="267">
        <v>4</v>
      </c>
      <c r="B7" s="370" t="str">
        <f>IF(Notenbogen!B7&lt;&gt;"", Notenbogen!B7, "")</f>
        <v/>
      </c>
      <c r="C7" s="367"/>
      <c r="D7" s="487"/>
      <c r="E7" s="368"/>
      <c r="F7" s="368"/>
      <c r="G7" s="486"/>
    </row>
    <row r="8" spans="1:8" x14ac:dyDescent="0.2">
      <c r="A8" s="267">
        <v>5</v>
      </c>
      <c r="B8" s="370" t="str">
        <f>IF(Notenbogen!B8&lt;&gt;"", Notenbogen!B8, "")</f>
        <v/>
      </c>
      <c r="C8" s="367"/>
      <c r="D8" s="487"/>
      <c r="E8" s="372"/>
      <c r="F8" s="368"/>
      <c r="G8" s="486"/>
    </row>
    <row r="9" spans="1:8" x14ac:dyDescent="0.2">
      <c r="A9" s="267">
        <v>6</v>
      </c>
      <c r="B9" s="370" t="str">
        <f>IF(Notenbogen!B9&lt;&gt;"", Notenbogen!B9, "")</f>
        <v/>
      </c>
      <c r="C9" s="367"/>
      <c r="D9" s="487"/>
      <c r="E9" s="368"/>
      <c r="F9" s="368"/>
      <c r="G9" s="486"/>
    </row>
    <row r="10" spans="1:8" x14ac:dyDescent="0.2">
      <c r="A10" s="267">
        <v>7</v>
      </c>
      <c r="B10" s="370" t="str">
        <f>IF(Notenbogen!B10&lt;&gt;"", Notenbogen!B10, "")</f>
        <v/>
      </c>
      <c r="C10" s="367"/>
      <c r="D10" s="487"/>
      <c r="E10" s="368"/>
      <c r="F10" s="368"/>
      <c r="G10" s="486"/>
    </row>
    <row r="11" spans="1:8" x14ac:dyDescent="0.2">
      <c r="A11" s="267">
        <v>8</v>
      </c>
      <c r="B11" s="370" t="str">
        <f>IF(Notenbogen!B11&lt;&gt;"", Notenbogen!B11, "")</f>
        <v/>
      </c>
      <c r="C11" s="367"/>
      <c r="D11" s="487"/>
      <c r="E11" s="368"/>
      <c r="F11" s="368"/>
      <c r="G11" s="486"/>
    </row>
    <row r="12" spans="1:8" x14ac:dyDescent="0.2">
      <c r="A12" s="267">
        <v>9</v>
      </c>
      <c r="B12" s="370" t="str">
        <f>IF(Notenbogen!B12&lt;&gt;"", Notenbogen!B12, "")</f>
        <v/>
      </c>
      <c r="C12" s="367"/>
      <c r="D12" s="487"/>
      <c r="E12" s="368"/>
      <c r="F12" s="368"/>
      <c r="G12" s="486"/>
    </row>
    <row r="13" spans="1:8" x14ac:dyDescent="0.2">
      <c r="A13" s="267">
        <v>10</v>
      </c>
      <c r="B13" s="370" t="str">
        <f>IF(Notenbogen!B13&lt;&gt;"", Notenbogen!B13, "")</f>
        <v/>
      </c>
      <c r="C13" s="367"/>
      <c r="D13" s="487"/>
      <c r="E13" s="368"/>
      <c r="F13" s="368"/>
      <c r="G13" s="486"/>
    </row>
    <row r="14" spans="1:8" x14ac:dyDescent="0.2">
      <c r="A14" s="267">
        <v>11</v>
      </c>
      <c r="B14" s="370" t="str">
        <f>IF(Notenbogen!B14&lt;&gt;"", Notenbogen!B14, "")</f>
        <v/>
      </c>
      <c r="C14" s="367"/>
      <c r="D14" s="487"/>
      <c r="E14" s="368"/>
      <c r="F14" s="368"/>
      <c r="G14" s="486"/>
    </row>
    <row r="15" spans="1:8" x14ac:dyDescent="0.2">
      <c r="A15" s="267">
        <v>12</v>
      </c>
      <c r="B15" s="370" t="str">
        <f>IF(Notenbogen!B15&lt;&gt;"", Notenbogen!B15, "")</f>
        <v/>
      </c>
      <c r="C15" s="367"/>
      <c r="D15" s="487"/>
      <c r="E15" s="368"/>
      <c r="F15" s="368"/>
      <c r="G15" s="486"/>
    </row>
    <row r="16" spans="1:8" x14ac:dyDescent="0.2">
      <c r="A16" s="267">
        <v>13</v>
      </c>
      <c r="B16" s="370" t="str">
        <f>IF(Notenbogen!B16&lt;&gt;"", Notenbogen!B16, "")</f>
        <v/>
      </c>
      <c r="C16" s="367"/>
      <c r="D16" s="487"/>
      <c r="E16" s="368"/>
      <c r="F16" s="368"/>
      <c r="G16" s="486"/>
    </row>
    <row r="17" spans="1:7" x14ac:dyDescent="0.2">
      <c r="A17" s="267">
        <v>14</v>
      </c>
      <c r="B17" s="370" t="str">
        <f>IF(Notenbogen!B17&lt;&gt;"", Notenbogen!B17, "")</f>
        <v/>
      </c>
      <c r="C17" s="367"/>
      <c r="D17" s="487"/>
      <c r="E17" s="368"/>
      <c r="F17" s="368"/>
      <c r="G17" s="486"/>
    </row>
    <row r="18" spans="1:7" x14ac:dyDescent="0.2">
      <c r="A18" s="267">
        <v>15</v>
      </c>
      <c r="B18" s="370" t="str">
        <f>IF(Notenbogen!B18&lt;&gt;"", Notenbogen!B18, "")</f>
        <v/>
      </c>
      <c r="C18" s="367"/>
      <c r="D18" s="487"/>
      <c r="E18" s="368"/>
      <c r="F18" s="368"/>
      <c r="G18" s="486"/>
    </row>
    <row r="19" spans="1:7" x14ac:dyDescent="0.2">
      <c r="A19" s="267">
        <v>16</v>
      </c>
      <c r="B19" s="370" t="str">
        <f>IF(Notenbogen!B19&lt;&gt;"", Notenbogen!B19, "")</f>
        <v/>
      </c>
      <c r="C19" s="367"/>
      <c r="D19" s="487"/>
      <c r="E19" s="368"/>
      <c r="F19" s="368"/>
      <c r="G19" s="486"/>
    </row>
    <row r="20" spans="1:7" x14ac:dyDescent="0.2">
      <c r="A20" s="267">
        <v>17</v>
      </c>
      <c r="B20" s="370" t="str">
        <f>IF(Notenbogen!B20&lt;&gt;"", Notenbogen!B20, "")</f>
        <v/>
      </c>
      <c r="C20" s="367"/>
      <c r="D20" s="487"/>
      <c r="E20" s="368"/>
      <c r="F20" s="368"/>
      <c r="G20" s="486"/>
    </row>
    <row r="21" spans="1:7" x14ac:dyDescent="0.2">
      <c r="A21" s="267">
        <v>18</v>
      </c>
      <c r="B21" s="370" t="str">
        <f>IF(Notenbogen!B21&lt;&gt;"", Notenbogen!B21, "")</f>
        <v/>
      </c>
      <c r="C21" s="367"/>
      <c r="D21" s="487"/>
      <c r="E21" s="368"/>
      <c r="F21" s="368"/>
      <c r="G21" s="486"/>
    </row>
    <row r="22" spans="1:7" x14ac:dyDescent="0.2">
      <c r="A22" s="267">
        <v>19</v>
      </c>
      <c r="B22" s="370" t="str">
        <f>IF(Notenbogen!B22&lt;&gt;"", Notenbogen!B22, "")</f>
        <v/>
      </c>
      <c r="C22" s="367"/>
      <c r="D22" s="487"/>
      <c r="E22" s="368"/>
      <c r="F22" s="368"/>
      <c r="G22" s="486"/>
    </row>
    <row r="23" spans="1:7" x14ac:dyDescent="0.2">
      <c r="A23" s="267">
        <v>20</v>
      </c>
      <c r="B23" s="370" t="str">
        <f>IF(Notenbogen!B23&lt;&gt;"", Notenbogen!B23, "")</f>
        <v/>
      </c>
      <c r="C23" s="367"/>
      <c r="D23" s="487"/>
      <c r="E23" s="368"/>
      <c r="F23" s="368"/>
      <c r="G23" s="486"/>
    </row>
    <row r="24" spans="1:7" x14ac:dyDescent="0.2">
      <c r="A24" s="267">
        <v>21</v>
      </c>
      <c r="B24" s="370" t="str">
        <f>IF(Notenbogen!B24&lt;&gt;"", Notenbogen!B24, "")</f>
        <v/>
      </c>
      <c r="C24" s="367"/>
      <c r="D24" s="487"/>
      <c r="E24" s="368"/>
      <c r="F24" s="368"/>
      <c r="G24" s="486"/>
    </row>
    <row r="25" spans="1:7" x14ac:dyDescent="0.2">
      <c r="A25" s="267">
        <v>22</v>
      </c>
      <c r="B25" s="370" t="str">
        <f>IF(Notenbogen!B25&lt;&gt;"", Notenbogen!B25, "")</f>
        <v/>
      </c>
      <c r="C25" s="367"/>
      <c r="D25" s="487"/>
      <c r="E25" s="368"/>
      <c r="F25" s="368"/>
      <c r="G25" s="486"/>
    </row>
    <row r="26" spans="1:7" x14ac:dyDescent="0.2">
      <c r="A26" s="267">
        <v>23</v>
      </c>
      <c r="B26" s="370" t="str">
        <f>IF(Notenbogen!B26&lt;&gt;"", Notenbogen!B26, "")</f>
        <v/>
      </c>
      <c r="C26" s="367"/>
      <c r="D26" s="487"/>
      <c r="E26" s="368"/>
      <c r="F26" s="368"/>
      <c r="G26" s="486"/>
    </row>
    <row r="27" spans="1:7" x14ac:dyDescent="0.2">
      <c r="A27" s="267">
        <v>24</v>
      </c>
      <c r="B27" s="370" t="str">
        <f>IF(Notenbogen!B27&lt;&gt;"", Notenbogen!B27, "")</f>
        <v/>
      </c>
      <c r="C27" s="367"/>
      <c r="D27" s="487"/>
      <c r="E27" s="368"/>
      <c r="F27" s="368"/>
      <c r="G27" s="486"/>
    </row>
    <row r="28" spans="1:7" x14ac:dyDescent="0.2">
      <c r="A28" s="267">
        <v>25</v>
      </c>
      <c r="B28" s="370" t="str">
        <f>IF(Notenbogen!B28&lt;&gt;"", Notenbogen!B28, "")</f>
        <v/>
      </c>
      <c r="C28" s="367"/>
      <c r="D28" s="487"/>
      <c r="E28" s="368"/>
      <c r="F28" s="368"/>
      <c r="G28" s="486"/>
    </row>
    <row r="29" spans="1:7" x14ac:dyDescent="0.2">
      <c r="A29" s="267">
        <v>26</v>
      </c>
      <c r="B29" s="370" t="str">
        <f>IF(Notenbogen!B29&lt;&gt;"", Notenbogen!B29, "")</f>
        <v/>
      </c>
      <c r="C29" s="367"/>
      <c r="D29" s="487"/>
      <c r="E29" s="368"/>
      <c r="F29" s="368"/>
      <c r="G29" s="486"/>
    </row>
    <row r="30" spans="1:7" x14ac:dyDescent="0.2">
      <c r="A30" s="267">
        <v>27</v>
      </c>
      <c r="B30" s="370" t="str">
        <f>IF(Notenbogen!B30&lt;&gt;"", Notenbogen!B30, "")</f>
        <v/>
      </c>
      <c r="C30" s="367"/>
      <c r="D30" s="487"/>
      <c r="E30" s="368"/>
      <c r="F30" s="368"/>
      <c r="G30" s="486"/>
    </row>
    <row r="31" spans="1:7" x14ac:dyDescent="0.2">
      <c r="A31" s="267">
        <v>28</v>
      </c>
      <c r="B31" s="370" t="str">
        <f>IF(Notenbogen!B31&lt;&gt;"", Notenbogen!B31, "")</f>
        <v/>
      </c>
      <c r="C31" s="367"/>
      <c r="D31" s="487"/>
      <c r="E31" s="368"/>
      <c r="F31" s="368"/>
      <c r="G31" s="486"/>
    </row>
    <row r="32" spans="1:7" x14ac:dyDescent="0.2">
      <c r="A32" s="267">
        <v>29</v>
      </c>
      <c r="B32" s="370" t="str">
        <f>IF(Notenbogen!B32&lt;&gt;"", Notenbogen!B32, "")</f>
        <v/>
      </c>
      <c r="C32" s="367"/>
      <c r="D32" s="487"/>
      <c r="E32" s="368"/>
      <c r="F32" s="368"/>
      <c r="G32" s="486"/>
    </row>
    <row r="33" spans="1:7" x14ac:dyDescent="0.2">
      <c r="A33" s="267">
        <v>30</v>
      </c>
      <c r="B33" s="370" t="str">
        <f>IF(Notenbogen!B33&lt;&gt;"", Notenbogen!B33, "")</f>
        <v/>
      </c>
      <c r="C33" s="367"/>
      <c r="D33" s="487"/>
      <c r="E33" s="368"/>
      <c r="F33" s="368"/>
      <c r="G33" s="486"/>
    </row>
    <row r="34" spans="1:7" x14ac:dyDescent="0.2">
      <c r="A34" s="267">
        <v>31</v>
      </c>
      <c r="B34" s="370" t="str">
        <f>IF(Notenbogen!B34&lt;&gt;"", Notenbogen!B34, "")</f>
        <v/>
      </c>
      <c r="C34" s="367"/>
      <c r="D34" s="487"/>
      <c r="E34" s="368"/>
      <c r="F34" s="368"/>
      <c r="G34" s="486"/>
    </row>
    <row r="35" spans="1:7" x14ac:dyDescent="0.2">
      <c r="A35" s="267">
        <v>32</v>
      </c>
      <c r="B35" s="370" t="str">
        <f>IF(Notenbogen!B35&lt;&gt;"", Notenbogen!B35, "")</f>
        <v/>
      </c>
      <c r="C35" s="367"/>
      <c r="D35" s="487"/>
      <c r="E35" s="368"/>
      <c r="F35" s="368"/>
      <c r="G35" s="486"/>
    </row>
    <row r="36" spans="1:7" x14ac:dyDescent="0.2">
      <c r="A36" s="267">
        <v>33</v>
      </c>
      <c r="B36" s="370" t="str">
        <f>IF(Notenbogen!B36&lt;&gt;"", Notenbogen!B36, "")</f>
        <v/>
      </c>
      <c r="C36" s="367"/>
      <c r="D36" s="487"/>
      <c r="E36" s="368"/>
      <c r="F36" s="368"/>
      <c r="G36" s="486"/>
    </row>
    <row r="37" spans="1:7" x14ac:dyDescent="0.2">
      <c r="A37" s="267">
        <v>34</v>
      </c>
      <c r="B37" s="370" t="str">
        <f>IF(Notenbogen!B37&lt;&gt;"", Notenbogen!B37, "")</f>
        <v/>
      </c>
      <c r="C37" s="367"/>
      <c r="D37" s="487"/>
      <c r="E37" s="368"/>
      <c r="F37" s="368"/>
      <c r="G37" s="486"/>
    </row>
    <row r="38" spans="1:7" x14ac:dyDescent="0.2">
      <c r="A38" s="267">
        <v>35</v>
      </c>
      <c r="B38" s="370" t="str">
        <f>IF(Notenbogen!B38&lt;&gt;"", Notenbogen!B38, "")</f>
        <v/>
      </c>
      <c r="C38" s="367"/>
      <c r="D38" s="487"/>
      <c r="E38" s="368"/>
      <c r="F38" s="368"/>
      <c r="G38" s="486"/>
    </row>
    <row r="39" spans="1:7" x14ac:dyDescent="0.2">
      <c r="A39" s="486"/>
      <c r="B39" s="486"/>
      <c r="C39" s="486"/>
      <c r="D39" s="486"/>
      <c r="E39" s="486"/>
      <c r="F39" s="486"/>
      <c r="G39" s="486"/>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K40"/>
  <sheetViews>
    <sheetView showGridLines="0" tabSelected="1" zoomScaleNormal="92" workbookViewId="0">
      <pane ySplit="1" topLeftCell="A2" activePane="bottomLeft" state="frozen"/>
      <selection activeCell="H44" sqref="H44"/>
      <selection pane="bottomLeft" activeCell="B4" sqref="B4"/>
    </sheetView>
  </sheetViews>
  <sheetFormatPr baseColWidth="10" defaultRowHeight="12.75" x14ac:dyDescent="0.2"/>
  <cols>
    <col min="1" max="1" width="3.7109375" style="394" customWidth="1"/>
    <col min="2" max="2" width="15.7109375" style="394" customWidth="1"/>
    <col min="3" max="8" width="3" style="394" customWidth="1"/>
    <col min="9" max="9" width="5.28515625" style="394" customWidth="1"/>
    <col min="10" max="11" width="3" style="394" customWidth="1"/>
    <col min="12" max="13" width="5.28515625" style="394" customWidth="1"/>
    <col min="14" max="19" width="3" style="394" customWidth="1"/>
    <col min="20" max="20" width="5.140625" style="394" customWidth="1"/>
    <col min="21" max="22" width="3" style="394" customWidth="1"/>
    <col min="23" max="26" width="5.140625" style="394" customWidth="1"/>
    <col min="27" max="27" width="11" style="394" customWidth="1"/>
    <col min="28" max="32" width="5.140625" style="394" customWidth="1"/>
    <col min="33" max="35" width="4" style="394" customWidth="1"/>
    <col min="36" max="36" width="0" style="394" hidden="1" customWidth="1"/>
    <col min="37" max="37" width="5.28515625" style="394" hidden="1" customWidth="1"/>
    <col min="38" max="16384" width="11.42578125" style="394"/>
  </cols>
  <sheetData>
    <row r="1" spans="1:33" ht="13.5" thickBot="1" x14ac:dyDescent="0.25">
      <c r="A1" s="389" t="s">
        <v>8</v>
      </c>
      <c r="B1" s="390"/>
      <c r="C1" s="391" t="s">
        <v>61</v>
      </c>
      <c r="D1" s="391"/>
      <c r="E1" s="488"/>
      <c r="F1" s="489"/>
      <c r="G1" s="489"/>
      <c r="H1" s="489"/>
      <c r="I1" s="489"/>
      <c r="J1" s="490"/>
      <c r="K1" s="391" t="s">
        <v>0</v>
      </c>
      <c r="L1" s="391"/>
      <c r="M1" s="491"/>
      <c r="N1" s="492"/>
      <c r="O1" s="492"/>
      <c r="P1" s="492"/>
      <c r="Q1" s="492"/>
      <c r="R1" s="493"/>
      <c r="S1" s="391" t="s">
        <v>145</v>
      </c>
      <c r="T1" s="391"/>
      <c r="U1" s="491" t="s">
        <v>146</v>
      </c>
      <c r="V1" s="492"/>
      <c r="W1" s="493"/>
      <c r="X1" s="391" t="s">
        <v>10</v>
      </c>
      <c r="Y1" s="494">
        <f ca="1">TODAY()</f>
        <v>42746</v>
      </c>
      <c r="Z1" s="495"/>
      <c r="AA1" s="392"/>
      <c r="AB1" s="393"/>
      <c r="AC1" s="393"/>
      <c r="AD1" s="393"/>
      <c r="AE1" s="393"/>
      <c r="AF1" s="393"/>
    </row>
    <row r="2" spans="1:33" ht="13.5" thickBot="1" x14ac:dyDescent="0.25">
      <c r="A2" s="395"/>
      <c r="B2" s="393" t="s">
        <v>147</v>
      </c>
      <c r="C2" s="496" t="s">
        <v>1</v>
      </c>
      <c r="D2" s="497"/>
      <c r="E2" s="497"/>
      <c r="F2" s="497"/>
      <c r="G2" s="497"/>
      <c r="H2" s="497"/>
      <c r="I2" s="497"/>
      <c r="J2" s="497"/>
      <c r="K2" s="497"/>
      <c r="L2" s="497"/>
      <c r="M2" s="498"/>
      <c r="N2" s="496" t="s">
        <v>2</v>
      </c>
      <c r="O2" s="497"/>
      <c r="P2" s="497"/>
      <c r="Q2" s="497"/>
      <c r="R2" s="497"/>
      <c r="S2" s="497"/>
      <c r="T2" s="497"/>
      <c r="U2" s="497"/>
      <c r="V2" s="497"/>
      <c r="W2" s="497"/>
      <c r="X2" s="498"/>
      <c r="Y2" s="496" t="s">
        <v>16</v>
      </c>
      <c r="Z2" s="499"/>
      <c r="AA2" s="396"/>
      <c r="AB2" s="397" t="s">
        <v>148</v>
      </c>
      <c r="AC2" s="398"/>
      <c r="AD2" s="398"/>
      <c r="AE2" s="398"/>
      <c r="AF2" s="399"/>
      <c r="AG2" s="392"/>
    </row>
    <row r="3" spans="1:33" ht="13.5" thickBot="1" x14ac:dyDescent="0.25">
      <c r="A3" s="400"/>
      <c r="B3" s="401"/>
      <c r="C3" s="402" t="s">
        <v>78</v>
      </c>
      <c r="D3" s="403" t="s">
        <v>78</v>
      </c>
      <c r="E3" s="403" t="s">
        <v>78</v>
      </c>
      <c r="F3" s="403" t="s">
        <v>149</v>
      </c>
      <c r="G3" s="403" t="s">
        <v>149</v>
      </c>
      <c r="H3" s="403" t="s">
        <v>149</v>
      </c>
      <c r="I3" s="404" t="s">
        <v>150</v>
      </c>
      <c r="J3" s="403" t="s">
        <v>77</v>
      </c>
      <c r="K3" s="401" t="s">
        <v>77</v>
      </c>
      <c r="L3" s="400" t="s">
        <v>151</v>
      </c>
      <c r="M3" s="405" t="s">
        <v>152</v>
      </c>
      <c r="N3" s="406" t="s">
        <v>153</v>
      </c>
      <c r="O3" s="403" t="s">
        <v>153</v>
      </c>
      <c r="P3" s="403" t="s">
        <v>153</v>
      </c>
      <c r="Q3" s="403" t="s">
        <v>149</v>
      </c>
      <c r="R3" s="403" t="s">
        <v>149</v>
      </c>
      <c r="S3" s="403" t="s">
        <v>149</v>
      </c>
      <c r="T3" s="404" t="s">
        <v>150</v>
      </c>
      <c r="U3" s="403" t="s">
        <v>154</v>
      </c>
      <c r="V3" s="401" t="s">
        <v>155</v>
      </c>
      <c r="W3" s="400" t="s">
        <v>151</v>
      </c>
      <c r="X3" s="405" t="s">
        <v>152</v>
      </c>
      <c r="Y3" s="407" t="s">
        <v>156</v>
      </c>
      <c r="Z3" s="408" t="s">
        <v>157</v>
      </c>
      <c r="AA3" s="396"/>
      <c r="AB3" s="392" t="s">
        <v>158</v>
      </c>
      <c r="AC3" s="394" t="s">
        <v>159</v>
      </c>
      <c r="AD3" s="394" t="s">
        <v>160</v>
      </c>
      <c r="AE3" s="394" t="s">
        <v>161</v>
      </c>
      <c r="AF3" s="409"/>
      <c r="AG3" s="392"/>
    </row>
    <row r="4" spans="1:33" s="433" customFormat="1" ht="24.95" customHeight="1" x14ac:dyDescent="0.2">
      <c r="A4" s="410">
        <v>1</v>
      </c>
      <c r="B4" s="411"/>
      <c r="C4" s="412" t="str">
        <f>I1Ext!C4</f>
        <v/>
      </c>
      <c r="D4" s="413" t="str">
        <f>I2Ext!C4</f>
        <v/>
      </c>
      <c r="E4" s="414" t="str">
        <f>I3Ext!C4</f>
        <v/>
      </c>
      <c r="F4" s="415"/>
      <c r="G4" s="416"/>
      <c r="H4" s="415"/>
      <c r="I4" s="417" t="str">
        <f>IF(COUNT(C4:H4)&gt;0,ROUNDUP(SUMPRODUCT(NB!D77:I77,Notenbogen!C4:H4,C39:H39)/SUMPRODUCT(NB!D77:I77,Notenbogen!C39:H39),2),"")</f>
        <v/>
      </c>
      <c r="J4" s="418" t="str">
        <f>I1SA!C4</f>
        <v/>
      </c>
      <c r="K4" s="419" t="str">
        <f>I2SA!C4</f>
        <v/>
      </c>
      <c r="L4" s="420" t="str">
        <f>IF(COUNT(I4:K4)&gt;0,ROUNDUP(SUMPRODUCT(I4:K4,NB!J77:L77)/COUNT(I4:K4),2),"")</f>
        <v/>
      </c>
      <c r="M4" s="421" t="str">
        <f>IF(L4&lt;&gt;"",IF(L4&lt;1,0,ROUND(L4,0)),"")</f>
        <v/>
      </c>
      <c r="N4" s="422" t="str">
        <f>II1Ext!C4</f>
        <v/>
      </c>
      <c r="O4" s="414" t="str">
        <f>II2Ext!C4</f>
        <v/>
      </c>
      <c r="P4" s="414" t="str">
        <f>II3Ext!C4</f>
        <v/>
      </c>
      <c r="Q4" s="416"/>
      <c r="R4" s="416"/>
      <c r="S4" s="415"/>
      <c r="T4" s="417" t="str">
        <f>IF(COUNT(N4:S4)&gt;0,ROUNDUP(SUMPRODUCT(NB!D118:I118,Notenbogen!N4:S4,N39:S39)/SUMPRODUCT(NB!D118:I118,Notenbogen!N39:S39),2),"")</f>
        <v/>
      </c>
      <c r="U4" s="418" t="str">
        <f>II1SA!C4</f>
        <v/>
      </c>
      <c r="V4" s="419" t="str">
        <f>II2SA!C4</f>
        <v/>
      </c>
      <c r="W4" s="420" t="str">
        <f>IF(COUNT(T4:V4)&gt;0,ROUNDUP(SUMPRODUCT(T4:V4,NB!J118:L118)/COUNT(T4:V4),2),"")</f>
        <v/>
      </c>
      <c r="X4" s="423" t="str">
        <f>IF(W4&lt;&gt;"",IF(W4&lt;1,0,ROUND(W4,0)),"")</f>
        <v/>
      </c>
      <c r="Y4" s="424" t="str">
        <f>IF(AND(M4&lt;&gt;"",X4&lt;&gt;""),IF((M4+X4)/2&lt;0,0,ROUND((M4+X4)/2,0)),"")</f>
        <v/>
      </c>
      <c r="Z4" s="425"/>
      <c r="AA4" s="426"/>
      <c r="AB4" s="427" t="str">
        <f>IF(COUNT(C4:H4)=0,"",IF(Z4&lt;&gt;"", ROUND((2*NB!D3+Z4)/3, 2),ROUND(NB!D3, 2)))</f>
        <v/>
      </c>
      <c r="AC4" s="428" t="str">
        <f>IF(COUNT(J4:K4)+COUNT(U4:V4)&gt;0,ROUNDUP((SUMPRODUCT(NB!K77:L77,Notenbogen!J4:K4)+SUMPRODUCT(NB!K118:L118,Notenbogen!U4:V4))/(COUNT(J4:K4)+COUNT(U4:V4)),2),"")</f>
        <v/>
      </c>
      <c r="AD4" s="429" t="s">
        <v>162</v>
      </c>
      <c r="AE4" s="430" t="str">
        <f>IF(AND(AC4&lt;&gt;"",AB4&lt;&gt;""),IF(AD4="2:1",(2*AC4+AB4)/3,(AC4+AB4)/2),IF(AB4&lt;&gt;"",AB4,""))</f>
        <v/>
      </c>
      <c r="AF4" s="431" t="str">
        <f>IF(AE4&lt;&gt;"", IF(AE4&lt;1, 0,ROUND(AE4, 0)),"")</f>
        <v/>
      </c>
      <c r="AG4" s="432"/>
    </row>
    <row r="5" spans="1:33" s="433" customFormat="1" ht="24.95" customHeight="1" x14ac:dyDescent="0.2">
      <c r="A5" s="434">
        <v>2</v>
      </c>
      <c r="B5" s="435"/>
      <c r="C5" s="436" t="str">
        <f>I1Ext!C5</f>
        <v/>
      </c>
      <c r="D5" s="437" t="str">
        <f>I2Ext!C5</f>
        <v/>
      </c>
      <c r="E5" s="438" t="str">
        <f>I3Ext!C5</f>
        <v/>
      </c>
      <c r="F5" s="439"/>
      <c r="G5" s="439"/>
      <c r="H5" s="415"/>
      <c r="I5" s="417" t="str">
        <f>IF(COUNT(C5:H5)&gt;0,ROUNDUP(SUMPRODUCT(NB!D78:I78,Notenbogen!C5:H5,C40:H40)/SUMPRODUCT(NB!D78:I78,Notenbogen!C40:H40),2),"")</f>
        <v/>
      </c>
      <c r="J5" s="440" t="str">
        <f>I1SA!C5</f>
        <v/>
      </c>
      <c r="K5" s="441" t="str">
        <f>I2SA!C5</f>
        <v/>
      </c>
      <c r="L5" s="420" t="str">
        <f>IF(COUNT(I5:K5)&gt;0,ROUNDUP(SUMPRODUCT(I5:K5,NB!J78:L78)/COUNT(I5:K5),2),"")</f>
        <v/>
      </c>
      <c r="M5" s="442" t="str">
        <f t="shared" ref="M5:M38" si="0">IF(L5&lt;&gt;"",IF(L5&lt;1,0,ROUND(L5,0)),"")</f>
        <v/>
      </c>
      <c r="N5" s="443" t="str">
        <f>II1Ext!C5</f>
        <v/>
      </c>
      <c r="O5" s="438" t="str">
        <f>II2Ext!C5</f>
        <v/>
      </c>
      <c r="P5" s="438" t="str">
        <f>II3Ext!C5</f>
        <v/>
      </c>
      <c r="Q5" s="416"/>
      <c r="R5" s="416"/>
      <c r="S5" s="415"/>
      <c r="T5" s="417" t="str">
        <f>IF(COUNT(N5:S5)&gt;0,ROUNDUP(SUMPRODUCT(NB!D119:I119,Notenbogen!N5:S5,N40:S40)/SUMPRODUCT(NB!D119:I119,Notenbogen!N40:S40),2),"")</f>
        <v/>
      </c>
      <c r="U5" s="440" t="str">
        <f>II1SA!C5</f>
        <v/>
      </c>
      <c r="V5" s="441" t="str">
        <f>II2SA!C5</f>
        <v/>
      </c>
      <c r="W5" s="420" t="str">
        <f>IF(COUNT(T5:V5)&gt;0,ROUNDUP(SUMPRODUCT(T5:V5,NB!J119:L119)/COUNT(T5:V5),2),"")</f>
        <v/>
      </c>
      <c r="X5" s="444" t="str">
        <f t="shared" ref="X5:X38" si="1">IF(W5&lt;&gt;"",IF(W5&lt;1,0,ROUND(W5,0)),"")</f>
        <v/>
      </c>
      <c r="Y5" s="445" t="str">
        <f t="shared" ref="Y5:Y38" si="2">IF(AND(M5&lt;&gt;"",X5&lt;&gt;""),IF((M5+X5)/2&lt;0,0,ROUND((M5+X5)/2,0)),"")</f>
        <v/>
      </c>
      <c r="Z5" s="425"/>
      <c r="AA5" s="426"/>
      <c r="AB5" s="427" t="str">
        <f>IF(COUNT(C5:H5)=0,"",IF(Z5&lt;&gt;"", ROUND((2*NB!D4+Z5)/3, 2),ROUND(NB!D4, 2)))</f>
        <v/>
      </c>
      <c r="AC5" s="428" t="str">
        <f>IF(COUNT(J5:K5)+COUNT(U5:V5)&gt;0,ROUNDUP((SUMPRODUCT(NB!K78:L78,Notenbogen!J5:K5)+SUMPRODUCT(NB!K119:L119,Notenbogen!U5:V5))/(COUNT(J5:K5)+COUNT(U5:V5)),2),"")</f>
        <v/>
      </c>
      <c r="AD5" s="429" t="s">
        <v>162</v>
      </c>
      <c r="AE5" s="430"/>
      <c r="AF5" s="431"/>
      <c r="AG5" s="432"/>
    </row>
    <row r="6" spans="1:33" s="433" customFormat="1" ht="24.95" customHeight="1" x14ac:dyDescent="0.2">
      <c r="A6" s="434">
        <v>3</v>
      </c>
      <c r="B6" s="435"/>
      <c r="C6" s="436" t="str">
        <f>I1Ext!C6</f>
        <v/>
      </c>
      <c r="D6" s="438" t="str">
        <f>I2Ext!C6</f>
        <v/>
      </c>
      <c r="E6" s="438" t="str">
        <f>I3Ext!C6</f>
        <v/>
      </c>
      <c r="F6" s="416"/>
      <c r="G6" s="416"/>
      <c r="H6" s="415"/>
      <c r="I6" s="417" t="str">
        <f>IF(COUNT(C6:H6)&gt;0,ROUNDUP(SUMPRODUCT(NB!D79:I79,Notenbogen!C6:H6,C41:H41)/SUMPRODUCT(NB!D79:I79,Notenbogen!C41:H41),2),"")</f>
        <v/>
      </c>
      <c r="J6" s="440" t="str">
        <f>I1SA!C6</f>
        <v/>
      </c>
      <c r="K6" s="441" t="str">
        <f>I2SA!C6</f>
        <v/>
      </c>
      <c r="L6" s="420" t="str">
        <f>IF(COUNT(I6:K6)&gt;0,ROUNDUP(SUMPRODUCT(I6:K6,NB!J79:L79)/COUNT(I6:K6),2),"")</f>
        <v/>
      </c>
      <c r="M6" s="442" t="str">
        <f t="shared" si="0"/>
        <v/>
      </c>
      <c r="N6" s="443" t="str">
        <f>II1Ext!C6</f>
        <v/>
      </c>
      <c r="O6" s="438" t="str">
        <f>II2Ext!C6</f>
        <v/>
      </c>
      <c r="P6" s="438" t="str">
        <f>II3Ext!C6</f>
        <v/>
      </c>
      <c r="Q6" s="416"/>
      <c r="R6" s="416"/>
      <c r="S6" s="415"/>
      <c r="T6" s="417" t="str">
        <f>IF(COUNT(N6:S6)&gt;0,ROUNDUP(SUMPRODUCT(NB!D120:I120,Notenbogen!N6:S6,N41:S41)/SUMPRODUCT(NB!D120:I120,Notenbogen!N41:S41),2),"")</f>
        <v/>
      </c>
      <c r="U6" s="440" t="str">
        <f>II1SA!C6</f>
        <v/>
      </c>
      <c r="V6" s="441" t="str">
        <f>II2SA!C6</f>
        <v/>
      </c>
      <c r="W6" s="420" t="str">
        <f>IF(COUNT(T6:V6)&gt;0,ROUNDUP(SUMPRODUCT(T6:V6,NB!J120:L120)/COUNT(T6:V6),2),"")</f>
        <v/>
      </c>
      <c r="X6" s="444" t="str">
        <f t="shared" si="1"/>
        <v/>
      </c>
      <c r="Y6" s="445" t="str">
        <f t="shared" si="2"/>
        <v/>
      </c>
      <c r="Z6" s="425"/>
      <c r="AA6" s="426"/>
      <c r="AB6" s="427" t="str">
        <f>IF(COUNT(C6:H6)=0,"",IF(Z6&lt;&gt;"", ROUND((2*NB!D5+Z6)/3, 2),ROUND(NB!D5, 2)))</f>
        <v/>
      </c>
      <c r="AC6" s="428" t="str">
        <f>IF(COUNT(J6:K6)+COUNT(U6:V6)&gt;0,ROUNDUP((SUMPRODUCT(NB!K79:L79,Notenbogen!J6:K6)+SUMPRODUCT(NB!K120:L120,Notenbogen!U6:V6))/(COUNT(J6:K6)+COUNT(U6:V6)),2),"")</f>
        <v/>
      </c>
      <c r="AD6" s="429" t="s">
        <v>162</v>
      </c>
      <c r="AE6" s="430"/>
      <c r="AF6" s="431"/>
      <c r="AG6" s="432"/>
    </row>
    <row r="7" spans="1:33" s="433" customFormat="1" ht="24.95" customHeight="1" x14ac:dyDescent="0.2">
      <c r="A7" s="434">
        <v>4</v>
      </c>
      <c r="B7" s="435"/>
      <c r="C7" s="436" t="str">
        <f>I1Ext!C7</f>
        <v/>
      </c>
      <c r="D7" s="438" t="str">
        <f>I2Ext!C6</f>
        <v/>
      </c>
      <c r="E7" s="438" t="str">
        <f>I3Ext!C7</f>
        <v/>
      </c>
      <c r="F7" s="416"/>
      <c r="G7" s="416"/>
      <c r="H7" s="415"/>
      <c r="I7" s="417" t="str">
        <f>IF(COUNT(C7:H7)&gt;0,ROUNDUP(SUMPRODUCT(NB!D80:I80,Notenbogen!C7:H7,C42:H42)/SUMPRODUCT(NB!D80:I80,Notenbogen!C42:H42),2),"")</f>
        <v/>
      </c>
      <c r="J7" s="440" t="str">
        <f>I1SA!C7</f>
        <v/>
      </c>
      <c r="K7" s="441" t="str">
        <f>I2SA!C7</f>
        <v/>
      </c>
      <c r="L7" s="420" t="str">
        <f>IF(COUNT(I7:K7)&gt;0,ROUNDUP(SUMPRODUCT(I7:K7,NB!J80:L80)/COUNT(I7:K7),2),"")</f>
        <v/>
      </c>
      <c r="M7" s="442" t="str">
        <f t="shared" si="0"/>
        <v/>
      </c>
      <c r="N7" s="443" t="str">
        <f>II1Ext!C7</f>
        <v/>
      </c>
      <c r="O7" s="438" t="str">
        <f>II2Ext!C7</f>
        <v/>
      </c>
      <c r="P7" s="438" t="str">
        <f>II3Ext!C7</f>
        <v/>
      </c>
      <c r="Q7" s="416"/>
      <c r="R7" s="416"/>
      <c r="S7" s="415"/>
      <c r="T7" s="417" t="str">
        <f>IF(COUNT(N7:S7)&gt;0,ROUNDUP(SUMPRODUCT(NB!D121:I121,Notenbogen!N7:S7,N42:S42)/SUMPRODUCT(NB!D121:I121,Notenbogen!N42:S42),2),"")</f>
        <v/>
      </c>
      <c r="U7" s="440" t="str">
        <f>II1SA!C7</f>
        <v/>
      </c>
      <c r="V7" s="441" t="str">
        <f>II2SA!C7</f>
        <v/>
      </c>
      <c r="W7" s="420" t="str">
        <f>IF(COUNT(T7:V7)&gt;0,ROUNDUP(SUMPRODUCT(T7:V7,NB!J121:L121)/COUNT(T7:V7),2),"")</f>
        <v/>
      </c>
      <c r="X7" s="444" t="str">
        <f t="shared" si="1"/>
        <v/>
      </c>
      <c r="Y7" s="445" t="str">
        <f t="shared" si="2"/>
        <v/>
      </c>
      <c r="Z7" s="425"/>
      <c r="AA7" s="426"/>
      <c r="AB7" s="427" t="str">
        <f>IF(COUNT(C7:H7)=0,"",IF(Z7&lt;&gt;"", ROUND((2*NB!D6+Z7)/3, 2),ROUND(NB!D6, 2)))</f>
        <v/>
      </c>
      <c r="AC7" s="428" t="str">
        <f>IF(COUNT(J7:K7)+COUNT(U7:V7)&gt;0,ROUNDUP((SUMPRODUCT(NB!K80:L80,Notenbogen!J7:K7)+SUMPRODUCT(NB!K121:L121,Notenbogen!U7:V7))/(COUNT(J7:K7)+COUNT(U7:V7)),2),"")</f>
        <v/>
      </c>
      <c r="AD7" s="429" t="s">
        <v>162</v>
      </c>
      <c r="AE7" s="430"/>
      <c r="AF7" s="431"/>
      <c r="AG7" s="432"/>
    </row>
    <row r="8" spans="1:33" s="433" customFormat="1" ht="24.95" customHeight="1" x14ac:dyDescent="0.2">
      <c r="A8" s="434">
        <v>5</v>
      </c>
      <c r="B8" s="435"/>
      <c r="C8" s="436" t="str">
        <f>I1Ext!C8</f>
        <v/>
      </c>
      <c r="D8" s="438" t="str">
        <f>I2Ext!C8</f>
        <v/>
      </c>
      <c r="E8" s="438" t="str">
        <f>I3Ext!C8</f>
        <v/>
      </c>
      <c r="F8" s="416"/>
      <c r="G8" s="416"/>
      <c r="H8" s="415"/>
      <c r="I8" s="417" t="str">
        <f>IF(COUNT(C8:H8)&gt;0,ROUNDUP(SUMPRODUCT(NB!D81:I81,Notenbogen!C8:H8,C43:H43)/SUMPRODUCT(NB!D81:I81,Notenbogen!C43:H43),2),"")</f>
        <v/>
      </c>
      <c r="J8" s="440" t="str">
        <f>I1SA!C8</f>
        <v/>
      </c>
      <c r="K8" s="441" t="str">
        <f>I2SA!C8</f>
        <v/>
      </c>
      <c r="L8" s="420" t="str">
        <f>IF(COUNT(I8:K8)&gt;0,ROUNDUP(SUMPRODUCT(I8:K8,NB!J81:L81)/COUNT(I8:K8),2),"")</f>
        <v/>
      </c>
      <c r="M8" s="442" t="str">
        <f t="shared" si="0"/>
        <v/>
      </c>
      <c r="N8" s="443" t="str">
        <f>II1Ext!C8</f>
        <v/>
      </c>
      <c r="O8" s="438" t="str">
        <f>II2Ext!C8</f>
        <v/>
      </c>
      <c r="P8" s="438" t="str">
        <f>II3Ext!C8</f>
        <v/>
      </c>
      <c r="Q8" s="416"/>
      <c r="R8" s="416"/>
      <c r="S8" s="415"/>
      <c r="T8" s="417" t="str">
        <f>IF(COUNT(N8:S8)&gt;0,ROUNDUP(SUMPRODUCT(NB!D122:I122,Notenbogen!N8:S8,N43:S43)/SUMPRODUCT(NB!D122:I122,Notenbogen!N43:S43),2),"")</f>
        <v/>
      </c>
      <c r="U8" s="440" t="str">
        <f>II1SA!C8</f>
        <v/>
      </c>
      <c r="V8" s="441" t="str">
        <f>II2SA!C8</f>
        <v/>
      </c>
      <c r="W8" s="420" t="str">
        <f>IF(COUNT(T8:V8)&gt;0,ROUNDUP(SUMPRODUCT(T8:V8,NB!J122:L122)/COUNT(T8:V8),2),"")</f>
        <v/>
      </c>
      <c r="X8" s="444" t="str">
        <f t="shared" si="1"/>
        <v/>
      </c>
      <c r="Y8" s="445" t="str">
        <f t="shared" si="2"/>
        <v/>
      </c>
      <c r="Z8" s="425"/>
      <c r="AA8" s="426"/>
      <c r="AB8" s="427" t="str">
        <f>IF(COUNT(C8:H8)=0,"",IF(Z8&lt;&gt;"", ROUND((2*NB!D7+Z8)/3, 2),ROUND(NB!D7, 2)))</f>
        <v/>
      </c>
      <c r="AC8" s="428" t="str">
        <f>IF(COUNT(J8:K8)+COUNT(U8:V8)&gt;0,ROUNDUP((SUMPRODUCT(NB!K81:L81,Notenbogen!J8:K8)+SUMPRODUCT(NB!K122:L122,Notenbogen!U8:V8))/(COUNT(J8:K8)+COUNT(U8:V8)),2),"")</f>
        <v/>
      </c>
      <c r="AD8" s="429" t="s">
        <v>162</v>
      </c>
      <c r="AE8" s="430"/>
      <c r="AF8" s="431"/>
      <c r="AG8" s="432"/>
    </row>
    <row r="9" spans="1:33" s="433" customFormat="1" ht="24.95" customHeight="1" x14ac:dyDescent="0.2">
      <c r="A9" s="434">
        <v>6</v>
      </c>
      <c r="B9" s="435"/>
      <c r="C9" s="436" t="str">
        <f>I1Ext!C9</f>
        <v/>
      </c>
      <c r="D9" s="438" t="str">
        <f>I2Ext!C8</f>
        <v/>
      </c>
      <c r="E9" s="438" t="str">
        <f>I3Ext!C9</f>
        <v/>
      </c>
      <c r="F9" s="416"/>
      <c r="G9" s="416"/>
      <c r="H9" s="415"/>
      <c r="I9" s="417" t="str">
        <f>IF(COUNT(C9:H9)&gt;0,ROUNDUP(SUMPRODUCT(NB!D82:I82,Notenbogen!C9:H9,C44:H44)/SUMPRODUCT(NB!D82:I82,Notenbogen!C44:H44),2),"")</f>
        <v/>
      </c>
      <c r="J9" s="440" t="str">
        <f>I1SA!C9</f>
        <v/>
      </c>
      <c r="K9" s="441" t="str">
        <f>I2SA!C9</f>
        <v/>
      </c>
      <c r="L9" s="420" t="str">
        <f>IF(COUNT(I9:K9)&gt;0,ROUNDUP(SUMPRODUCT(I9:K9,NB!J82:L82)/COUNT(I9:K9),2),"")</f>
        <v/>
      </c>
      <c r="M9" s="442" t="str">
        <f t="shared" si="0"/>
        <v/>
      </c>
      <c r="N9" s="443" t="str">
        <f>II1Ext!C9</f>
        <v/>
      </c>
      <c r="O9" s="438" t="str">
        <f>II2Ext!C9</f>
        <v/>
      </c>
      <c r="P9" s="438" t="str">
        <f>II3Ext!C9</f>
        <v/>
      </c>
      <c r="Q9" s="416"/>
      <c r="R9" s="416"/>
      <c r="S9" s="415"/>
      <c r="T9" s="417" t="str">
        <f>IF(COUNT(N9:S9)&gt;0,ROUNDUP(SUMPRODUCT(NB!D123:I123,Notenbogen!N9:S9,N44:S44)/SUMPRODUCT(NB!D123:I123,Notenbogen!N44:S44),2),"")</f>
        <v/>
      </c>
      <c r="U9" s="440" t="str">
        <f>II1SA!C9</f>
        <v/>
      </c>
      <c r="V9" s="441" t="str">
        <f>II2SA!C9</f>
        <v/>
      </c>
      <c r="W9" s="420" t="str">
        <f>IF(COUNT(T9:V9)&gt;0,ROUNDUP(SUMPRODUCT(T9:V9,NB!J123:L123)/COUNT(T9:V9),2),"")</f>
        <v/>
      </c>
      <c r="X9" s="444" t="str">
        <f t="shared" si="1"/>
        <v/>
      </c>
      <c r="Y9" s="445" t="str">
        <f t="shared" si="2"/>
        <v/>
      </c>
      <c r="Z9" s="425"/>
      <c r="AA9" s="426"/>
      <c r="AB9" s="427" t="str">
        <f>IF(COUNT(C9:H9)=0,"",IF(Z9&lt;&gt;"", ROUND((2*NB!D8+Z9)/3, 2),ROUND(NB!D8, 2)))</f>
        <v/>
      </c>
      <c r="AC9" s="428" t="str">
        <f>IF(COUNT(J9:K9)+COUNT(U9:V9)&gt;0,ROUNDUP((SUMPRODUCT(NB!K82:L82,Notenbogen!J9:K9)+SUMPRODUCT(NB!K123:L123,Notenbogen!U9:V9))/(COUNT(J9:K9)+COUNT(U9:V9)),2),"")</f>
        <v/>
      </c>
      <c r="AD9" s="429" t="s">
        <v>162</v>
      </c>
      <c r="AE9" s="430"/>
      <c r="AF9" s="431"/>
      <c r="AG9" s="432"/>
    </row>
    <row r="10" spans="1:33" s="433" customFormat="1" ht="24.95" customHeight="1" x14ac:dyDescent="0.2">
      <c r="A10" s="434">
        <v>7</v>
      </c>
      <c r="B10" s="435"/>
      <c r="C10" s="436" t="str">
        <f>I1Ext!C10</f>
        <v/>
      </c>
      <c r="D10" s="438" t="str">
        <f>I2Ext!C10</f>
        <v/>
      </c>
      <c r="E10" s="438" t="str">
        <f>I3Ext!C10</f>
        <v/>
      </c>
      <c r="F10" s="416"/>
      <c r="G10" s="416"/>
      <c r="H10" s="415"/>
      <c r="I10" s="417" t="str">
        <f>IF(COUNT(C10:H10)&gt;0,ROUNDUP(SUMPRODUCT(NB!D83:I83,Notenbogen!C10:H10,C45:H45)/SUMPRODUCT(NB!D83:I83,Notenbogen!C45:H45),2),"")</f>
        <v/>
      </c>
      <c r="J10" s="440" t="str">
        <f>I1SA!C10</f>
        <v/>
      </c>
      <c r="K10" s="441" t="str">
        <f>I2SA!C10</f>
        <v/>
      </c>
      <c r="L10" s="420" t="str">
        <f>IF(COUNT(I10:K10)&gt;0,ROUNDUP(SUMPRODUCT(I10:K10,NB!J83:L83)/COUNT(I10:K10),2),"")</f>
        <v/>
      </c>
      <c r="M10" s="442" t="str">
        <f t="shared" si="0"/>
        <v/>
      </c>
      <c r="N10" s="443" t="str">
        <f>II1Ext!C10</f>
        <v/>
      </c>
      <c r="O10" s="438" t="str">
        <f>II2Ext!C10</f>
        <v/>
      </c>
      <c r="P10" s="438" t="str">
        <f>II3Ext!C10</f>
        <v/>
      </c>
      <c r="Q10" s="416"/>
      <c r="R10" s="416"/>
      <c r="S10" s="415"/>
      <c r="T10" s="417" t="str">
        <f>IF(COUNT(N10:S10)&gt;0,ROUNDUP(SUMPRODUCT(NB!D124:I124,Notenbogen!N10:S10,N45:S45)/SUMPRODUCT(NB!D124:I124,Notenbogen!N45:S45),2),"")</f>
        <v/>
      </c>
      <c r="U10" s="440" t="str">
        <f>II1SA!C10</f>
        <v/>
      </c>
      <c r="V10" s="441" t="str">
        <f>II2SA!C10</f>
        <v/>
      </c>
      <c r="W10" s="420" t="str">
        <f>IF(COUNT(T10:V10)&gt;0,ROUNDUP(SUMPRODUCT(T10:V10,NB!J124:L124)/COUNT(T10:V10),2),"")</f>
        <v/>
      </c>
      <c r="X10" s="444" t="str">
        <f t="shared" si="1"/>
        <v/>
      </c>
      <c r="Y10" s="445" t="str">
        <f t="shared" si="2"/>
        <v/>
      </c>
      <c r="Z10" s="425"/>
      <c r="AA10" s="426"/>
      <c r="AB10" s="427" t="str">
        <f>IF(COUNT(C10:H10)=0,"",IF(Z10&lt;&gt;"", ROUND((2*NB!D9+Z10)/3, 2),ROUND(NB!D9, 2)))</f>
        <v/>
      </c>
      <c r="AC10" s="428" t="str">
        <f>IF(COUNT(J10:K10)+COUNT(U10:V10)&gt;0,ROUNDUP((SUMPRODUCT(NB!K83:L83,Notenbogen!J10:K10)+SUMPRODUCT(NB!K124:L124,Notenbogen!U10:V10))/(COUNT(J10:K10)+COUNT(U10:V10)),2),"")</f>
        <v/>
      </c>
      <c r="AD10" s="429" t="s">
        <v>162</v>
      </c>
      <c r="AE10" s="430"/>
      <c r="AF10" s="431"/>
      <c r="AG10" s="432"/>
    </row>
    <row r="11" spans="1:33" s="433" customFormat="1" ht="24.95" customHeight="1" x14ac:dyDescent="0.2">
      <c r="A11" s="434">
        <v>8</v>
      </c>
      <c r="B11" s="435"/>
      <c r="C11" s="436" t="str">
        <f>I1Ext!C11</f>
        <v/>
      </c>
      <c r="D11" s="438" t="str">
        <f>I2Ext!C10</f>
        <v/>
      </c>
      <c r="E11" s="438" t="str">
        <f>I3Ext!C11</f>
        <v/>
      </c>
      <c r="F11" s="416"/>
      <c r="G11" s="416"/>
      <c r="H11" s="415"/>
      <c r="I11" s="417" t="str">
        <f>IF(COUNT(C11:H11)&gt;0,ROUNDUP(SUMPRODUCT(NB!D84:I84,Notenbogen!C11:H11,C46:H46)/SUMPRODUCT(NB!D84:I84,Notenbogen!C46:H46),2),"")</f>
        <v/>
      </c>
      <c r="J11" s="440" t="str">
        <f>I1SA!C11</f>
        <v/>
      </c>
      <c r="K11" s="441" t="str">
        <f>I2SA!C11</f>
        <v/>
      </c>
      <c r="L11" s="420" t="str">
        <f>IF(COUNT(I11:K11)&gt;0,ROUNDUP(SUMPRODUCT(I11:K11,NB!J84:L84)/COUNT(I11:K11),2),"")</f>
        <v/>
      </c>
      <c r="M11" s="442" t="str">
        <f t="shared" si="0"/>
        <v/>
      </c>
      <c r="N11" s="443" t="str">
        <f>II1Ext!C11</f>
        <v/>
      </c>
      <c r="O11" s="438" t="str">
        <f>II2Ext!C11</f>
        <v/>
      </c>
      <c r="P11" s="438" t="str">
        <f>II3Ext!C11</f>
        <v/>
      </c>
      <c r="Q11" s="416"/>
      <c r="R11" s="416"/>
      <c r="S11" s="415"/>
      <c r="T11" s="417" t="str">
        <f>IF(COUNT(N11:S11)&gt;0,ROUNDUP(SUMPRODUCT(NB!D125:I125,Notenbogen!N11:S11,N46:S46)/SUMPRODUCT(NB!D125:I125,Notenbogen!N46:S46),2),"")</f>
        <v/>
      </c>
      <c r="U11" s="440" t="str">
        <f>II1SA!C11</f>
        <v/>
      </c>
      <c r="V11" s="441" t="str">
        <f>II2SA!C11</f>
        <v/>
      </c>
      <c r="W11" s="420" t="str">
        <f>IF(COUNT(T11:V11)&gt;0,ROUNDUP(SUMPRODUCT(T11:V11,NB!J125:L125)/COUNT(T11:V11),2),"")</f>
        <v/>
      </c>
      <c r="X11" s="444" t="str">
        <f t="shared" si="1"/>
        <v/>
      </c>
      <c r="Y11" s="445" t="str">
        <f t="shared" si="2"/>
        <v/>
      </c>
      <c r="Z11" s="425"/>
      <c r="AA11" s="426"/>
      <c r="AB11" s="427" t="str">
        <f>IF(COUNT(C11:H11)=0,"",IF(Z11&lt;&gt;"", ROUND((2*NB!D10+Z11)/3, 2),ROUND(NB!D10, 2)))</f>
        <v/>
      </c>
      <c r="AC11" s="428" t="str">
        <f>IF(COUNT(J11:K11)+COUNT(U11:V11)&gt;0,ROUNDUP((SUMPRODUCT(NB!K84:L84,Notenbogen!J11:K11)+SUMPRODUCT(NB!K125:L125,Notenbogen!U11:V11))/(COUNT(J11:K11)+COUNT(U11:V11)),2),"")</f>
        <v/>
      </c>
      <c r="AD11" s="429" t="s">
        <v>162</v>
      </c>
      <c r="AE11" s="430"/>
      <c r="AF11" s="431"/>
      <c r="AG11" s="432"/>
    </row>
    <row r="12" spans="1:33" s="433" customFormat="1" ht="24.95" customHeight="1" x14ac:dyDescent="0.2">
      <c r="A12" s="434">
        <v>9</v>
      </c>
      <c r="B12" s="435"/>
      <c r="C12" s="436" t="str">
        <f>I1Ext!C12</f>
        <v/>
      </c>
      <c r="D12" s="438" t="str">
        <f>I2Ext!C12</f>
        <v/>
      </c>
      <c r="E12" s="438" t="str">
        <f>I3Ext!C12</f>
        <v/>
      </c>
      <c r="F12" s="416"/>
      <c r="G12" s="416"/>
      <c r="H12" s="415"/>
      <c r="I12" s="417" t="str">
        <f>IF(COUNT(C12:H12)&gt;0,ROUNDUP(SUMPRODUCT(NB!D85:I85,Notenbogen!C12:H12,C47:H47)/SUMPRODUCT(NB!D85:I85,Notenbogen!C47:H47),2),"")</f>
        <v/>
      </c>
      <c r="J12" s="440" t="str">
        <f>I1SA!C12</f>
        <v/>
      </c>
      <c r="K12" s="441" t="str">
        <f>I2SA!C12</f>
        <v/>
      </c>
      <c r="L12" s="420" t="str">
        <f>IF(COUNT(I12:K12)&gt;0,ROUNDUP(SUMPRODUCT(I12:K12,NB!J85:L85)/COUNT(I12:K12),2),"")</f>
        <v/>
      </c>
      <c r="M12" s="442" t="str">
        <f t="shared" si="0"/>
        <v/>
      </c>
      <c r="N12" s="443" t="str">
        <f>II1Ext!C12</f>
        <v/>
      </c>
      <c r="O12" s="438" t="str">
        <f>II2Ext!C12</f>
        <v/>
      </c>
      <c r="P12" s="438" t="str">
        <f>II3Ext!C12</f>
        <v/>
      </c>
      <c r="Q12" s="416"/>
      <c r="R12" s="416"/>
      <c r="S12" s="415"/>
      <c r="T12" s="417" t="str">
        <f>IF(COUNT(N12:S12)&gt;0,ROUNDUP(SUMPRODUCT(NB!D126:I126,Notenbogen!N12:S12,N47:S47)/SUMPRODUCT(NB!D126:I126,Notenbogen!N47:S47),2),"")</f>
        <v/>
      </c>
      <c r="U12" s="440" t="str">
        <f>II1SA!C12</f>
        <v/>
      </c>
      <c r="V12" s="441" t="str">
        <f>II2SA!C12</f>
        <v/>
      </c>
      <c r="W12" s="420" t="str">
        <f>IF(COUNT(T12:V12)&gt;0,ROUNDUP(SUMPRODUCT(T12:V12,NB!J126:L126)/COUNT(T12:V12),2),"")</f>
        <v/>
      </c>
      <c r="X12" s="444" t="str">
        <f t="shared" si="1"/>
        <v/>
      </c>
      <c r="Y12" s="445" t="str">
        <f t="shared" si="2"/>
        <v/>
      </c>
      <c r="Z12" s="425"/>
      <c r="AA12" s="426"/>
      <c r="AB12" s="427" t="str">
        <f>IF(COUNT(C12:H12)=0,"",IF(Z12&lt;&gt;"", ROUND((2*NB!D11+Z12)/3, 2),ROUND(NB!D11, 2)))</f>
        <v/>
      </c>
      <c r="AC12" s="428" t="str">
        <f>IF(COUNT(J12:K12)+COUNT(U12:V12)&gt;0,ROUNDUP((SUMPRODUCT(NB!K85:L85,Notenbogen!J12:K12)+SUMPRODUCT(NB!K126:L126,Notenbogen!U12:V12))/(COUNT(J12:K12)+COUNT(U12:V12)),2),"")</f>
        <v/>
      </c>
      <c r="AD12" s="429" t="s">
        <v>162</v>
      </c>
      <c r="AE12" s="430"/>
      <c r="AF12" s="431"/>
      <c r="AG12" s="432"/>
    </row>
    <row r="13" spans="1:33" s="433" customFormat="1" ht="24.95" customHeight="1" x14ac:dyDescent="0.2">
      <c r="A13" s="434">
        <v>10</v>
      </c>
      <c r="B13" s="435"/>
      <c r="C13" s="436" t="str">
        <f>I1Ext!C13</f>
        <v/>
      </c>
      <c r="D13" s="438" t="str">
        <f>I2Ext!C12</f>
        <v/>
      </c>
      <c r="E13" s="438" t="str">
        <f>I3Ext!C13</f>
        <v/>
      </c>
      <c r="F13" s="416"/>
      <c r="G13" s="416"/>
      <c r="H13" s="415"/>
      <c r="I13" s="417" t="str">
        <f>IF(COUNT(C13:H13)&gt;0,ROUNDUP(SUMPRODUCT(NB!D86:I86,Notenbogen!C13:H13,C48:H48)/SUMPRODUCT(NB!D86:I86,Notenbogen!C48:H48),2),"")</f>
        <v/>
      </c>
      <c r="J13" s="440" t="str">
        <f>I1SA!C13</f>
        <v/>
      </c>
      <c r="K13" s="441" t="str">
        <f>I2SA!C13</f>
        <v/>
      </c>
      <c r="L13" s="420" t="str">
        <f>IF(COUNT(I13:K13)&gt;0,ROUNDUP(SUMPRODUCT(I13:K13,NB!J86:L86)/COUNT(I13:K13),2),"")</f>
        <v/>
      </c>
      <c r="M13" s="442" t="str">
        <f t="shared" si="0"/>
        <v/>
      </c>
      <c r="N13" s="443" t="str">
        <f>II1Ext!C13</f>
        <v/>
      </c>
      <c r="O13" s="438" t="str">
        <f>II2Ext!C13</f>
        <v/>
      </c>
      <c r="P13" s="438" t="str">
        <f>II3Ext!C13</f>
        <v/>
      </c>
      <c r="Q13" s="416"/>
      <c r="R13" s="416"/>
      <c r="S13" s="415"/>
      <c r="T13" s="417" t="str">
        <f>IF(COUNT(N13:S13)&gt;0,ROUNDUP(SUMPRODUCT(NB!D127:I127,Notenbogen!N13:S13,N48:S48)/SUMPRODUCT(NB!D127:I127,Notenbogen!N48:S48),2),"")</f>
        <v/>
      </c>
      <c r="U13" s="440" t="str">
        <f>II1SA!C13</f>
        <v/>
      </c>
      <c r="V13" s="441" t="str">
        <f>II2SA!C13</f>
        <v/>
      </c>
      <c r="W13" s="420" t="str">
        <f>IF(COUNT(T13:V13)&gt;0,ROUNDUP(SUMPRODUCT(T13:V13,NB!J127:L127)/COUNT(T13:V13),2),"")</f>
        <v/>
      </c>
      <c r="X13" s="444" t="str">
        <f t="shared" si="1"/>
        <v/>
      </c>
      <c r="Y13" s="445" t="str">
        <f t="shared" si="2"/>
        <v/>
      </c>
      <c r="Z13" s="425"/>
      <c r="AA13" s="426"/>
      <c r="AB13" s="427" t="str">
        <f>IF(COUNT(C13:H13)=0,"",IF(Z13&lt;&gt;"", ROUND((2*NB!D12+Z13)/3, 2),ROUND(NB!D12, 2)))</f>
        <v/>
      </c>
      <c r="AC13" s="428" t="str">
        <f>IF(COUNT(J13:K13)+COUNT(U13:V13)&gt;0,ROUNDUP((SUMPRODUCT(NB!K86:L86,Notenbogen!J13:K13)+SUMPRODUCT(NB!K127:L127,Notenbogen!U13:V13))/(COUNT(J13:K13)+COUNT(U13:V13)),2),"")</f>
        <v/>
      </c>
      <c r="AD13" s="429" t="s">
        <v>162</v>
      </c>
      <c r="AE13" s="430"/>
      <c r="AF13" s="431"/>
      <c r="AG13" s="432"/>
    </row>
    <row r="14" spans="1:33" s="433" customFormat="1" ht="24.95" customHeight="1" x14ac:dyDescent="0.2">
      <c r="A14" s="434">
        <v>11</v>
      </c>
      <c r="B14" s="435"/>
      <c r="C14" s="436" t="str">
        <f>I1Ext!C14</f>
        <v/>
      </c>
      <c r="D14" s="438" t="str">
        <f>I2Ext!C14</f>
        <v/>
      </c>
      <c r="E14" s="438" t="str">
        <f>I3Ext!C14</f>
        <v/>
      </c>
      <c r="F14" s="416"/>
      <c r="G14" s="416"/>
      <c r="H14" s="415"/>
      <c r="I14" s="417" t="str">
        <f>IF(COUNT(C14:H14)&gt;0,ROUNDUP(SUMPRODUCT(NB!D87:I87,Notenbogen!C14:H14,C49:H49)/SUMPRODUCT(NB!D87:I87,Notenbogen!C49:H49),2),"")</f>
        <v/>
      </c>
      <c r="J14" s="440" t="str">
        <f>I1SA!C14</f>
        <v/>
      </c>
      <c r="K14" s="441" t="str">
        <f>I2SA!C14</f>
        <v/>
      </c>
      <c r="L14" s="420" t="str">
        <f>IF(COUNT(I14:K14)&gt;0,ROUNDUP(SUMPRODUCT(I14:K14,NB!J87:L87)/COUNT(I14:K14),2),"")</f>
        <v/>
      </c>
      <c r="M14" s="442" t="str">
        <f t="shared" si="0"/>
        <v/>
      </c>
      <c r="N14" s="443" t="str">
        <f>II1Ext!C14</f>
        <v/>
      </c>
      <c r="O14" s="438" t="str">
        <f>II2Ext!C14</f>
        <v/>
      </c>
      <c r="P14" s="438" t="str">
        <f>II3Ext!C14</f>
        <v/>
      </c>
      <c r="Q14" s="416"/>
      <c r="R14" s="416"/>
      <c r="S14" s="415"/>
      <c r="T14" s="417" t="str">
        <f>IF(COUNT(N14:S14)&gt;0,ROUNDUP(SUMPRODUCT(NB!D128:I128,Notenbogen!N14:S14,N49:S49)/SUMPRODUCT(NB!D128:I128,Notenbogen!N49:S49),2),"")</f>
        <v/>
      </c>
      <c r="U14" s="440" t="str">
        <f>II1SA!C14</f>
        <v/>
      </c>
      <c r="V14" s="441" t="str">
        <f>II2SA!C14</f>
        <v/>
      </c>
      <c r="W14" s="420" t="str">
        <f>IF(COUNT(T14:V14)&gt;0,ROUNDUP(SUMPRODUCT(T14:V14,NB!J128:L128)/COUNT(T14:V14),2),"")</f>
        <v/>
      </c>
      <c r="X14" s="444" t="str">
        <f t="shared" si="1"/>
        <v/>
      </c>
      <c r="Y14" s="445" t="str">
        <f t="shared" si="2"/>
        <v/>
      </c>
      <c r="Z14" s="425"/>
      <c r="AA14" s="426"/>
      <c r="AB14" s="427" t="str">
        <f>IF(COUNT(C14:H14)=0,"",IF(Z14&lt;&gt;"", ROUND((2*NB!D13+Z14)/3, 2),ROUND(NB!D13, 2)))</f>
        <v/>
      </c>
      <c r="AC14" s="428" t="str">
        <f>IF(COUNT(J14:K14)+COUNT(U14:V14)&gt;0,ROUNDUP((SUMPRODUCT(NB!K87:L87,Notenbogen!J14:K14)+SUMPRODUCT(NB!K128:L128,Notenbogen!U14:V14))/(COUNT(J14:K14)+COUNT(U14:V14)),2),"")</f>
        <v/>
      </c>
      <c r="AD14" s="429" t="s">
        <v>162</v>
      </c>
      <c r="AE14" s="430"/>
      <c r="AF14" s="431"/>
      <c r="AG14" s="432"/>
    </row>
    <row r="15" spans="1:33" s="433" customFormat="1" ht="24.95" customHeight="1" x14ac:dyDescent="0.2">
      <c r="A15" s="434">
        <v>12</v>
      </c>
      <c r="B15" s="435"/>
      <c r="C15" s="436" t="str">
        <f>I1Ext!C15</f>
        <v/>
      </c>
      <c r="D15" s="438" t="str">
        <f>I2Ext!C14</f>
        <v/>
      </c>
      <c r="E15" s="438" t="str">
        <f>I3Ext!C15</f>
        <v/>
      </c>
      <c r="F15" s="416"/>
      <c r="G15" s="416"/>
      <c r="H15" s="415"/>
      <c r="I15" s="417" t="str">
        <f>IF(COUNT(C15:H15)&gt;0,ROUNDUP(SUMPRODUCT(NB!D88:I88,Notenbogen!C15:H15,C50:H50)/SUMPRODUCT(NB!D88:I88,Notenbogen!C50:H50),2),"")</f>
        <v/>
      </c>
      <c r="J15" s="440" t="str">
        <f>I1SA!C15</f>
        <v/>
      </c>
      <c r="K15" s="441" t="str">
        <f>I2SA!C15</f>
        <v/>
      </c>
      <c r="L15" s="420" t="str">
        <f>IF(COUNT(I15:K15)&gt;0,ROUNDUP(SUMPRODUCT(I15:K15,NB!J88:L88)/COUNT(I15:K15),2),"")</f>
        <v/>
      </c>
      <c r="M15" s="442" t="str">
        <f t="shared" si="0"/>
        <v/>
      </c>
      <c r="N15" s="443" t="str">
        <f>II1Ext!C15</f>
        <v/>
      </c>
      <c r="O15" s="438" t="str">
        <f>II2Ext!C15</f>
        <v/>
      </c>
      <c r="P15" s="438" t="str">
        <f>II3Ext!C15</f>
        <v/>
      </c>
      <c r="Q15" s="416"/>
      <c r="R15" s="416"/>
      <c r="S15" s="415"/>
      <c r="T15" s="417" t="str">
        <f>IF(COUNT(N15:S15)&gt;0,ROUNDUP(SUMPRODUCT(NB!D129:I129,Notenbogen!N15:S15,N50:S50)/SUMPRODUCT(NB!D129:I129,Notenbogen!N50:S50),2),"")</f>
        <v/>
      </c>
      <c r="U15" s="440" t="str">
        <f>II1SA!C15</f>
        <v/>
      </c>
      <c r="V15" s="441" t="str">
        <f>II2SA!C15</f>
        <v/>
      </c>
      <c r="W15" s="420" t="str">
        <f>IF(COUNT(T15:V15)&gt;0,ROUNDUP(SUMPRODUCT(T15:V15,NB!J129:L129)/COUNT(T15:V15),2),"")</f>
        <v/>
      </c>
      <c r="X15" s="444" t="str">
        <f t="shared" si="1"/>
        <v/>
      </c>
      <c r="Y15" s="445" t="str">
        <f t="shared" si="2"/>
        <v/>
      </c>
      <c r="Z15" s="425"/>
      <c r="AA15" s="426"/>
      <c r="AB15" s="427" t="str">
        <f>IF(COUNT(C15:H15)=0,"",IF(Z15&lt;&gt;"", ROUND((2*NB!D14+Z15)/3, 2),ROUND(NB!D14, 2)))</f>
        <v/>
      </c>
      <c r="AC15" s="428" t="str">
        <f>IF(COUNT(J15:K15)+COUNT(U15:V15)&gt;0,ROUNDUP((SUMPRODUCT(NB!K88:L88,Notenbogen!J15:K15)+SUMPRODUCT(NB!K129:L129,Notenbogen!U15:V15))/(COUNT(J15:K15)+COUNT(U15:V15)),2),"")</f>
        <v/>
      </c>
      <c r="AD15" s="429" t="s">
        <v>162</v>
      </c>
      <c r="AE15" s="430"/>
      <c r="AF15" s="431"/>
      <c r="AG15" s="432"/>
    </row>
    <row r="16" spans="1:33" s="433" customFormat="1" ht="24.95" customHeight="1" x14ac:dyDescent="0.2">
      <c r="A16" s="434">
        <v>13</v>
      </c>
      <c r="B16" s="435"/>
      <c r="C16" s="436" t="str">
        <f>I1Ext!C16</f>
        <v/>
      </c>
      <c r="D16" s="438" t="str">
        <f>I2Ext!C16</f>
        <v/>
      </c>
      <c r="E16" s="438" t="str">
        <f>I3Ext!C16</f>
        <v/>
      </c>
      <c r="F16" s="416"/>
      <c r="G16" s="416"/>
      <c r="H16" s="415"/>
      <c r="I16" s="417" t="str">
        <f>IF(COUNT(C16:H16)&gt;0,ROUNDUP(SUMPRODUCT(NB!D89:I89,Notenbogen!C16:H16,C51:H51)/SUMPRODUCT(NB!D89:I89,Notenbogen!C51:H51),2),"")</f>
        <v/>
      </c>
      <c r="J16" s="440" t="str">
        <f>I1SA!C16</f>
        <v/>
      </c>
      <c r="K16" s="441" t="str">
        <f>I2SA!C16</f>
        <v/>
      </c>
      <c r="L16" s="420" t="str">
        <f>IF(COUNT(I16:K16)&gt;0,ROUNDUP(SUMPRODUCT(I16:K16,NB!J89:L89)/COUNT(I16:K16),2),"")</f>
        <v/>
      </c>
      <c r="M16" s="442" t="str">
        <f t="shared" si="0"/>
        <v/>
      </c>
      <c r="N16" s="443" t="str">
        <f>II1Ext!C16</f>
        <v/>
      </c>
      <c r="O16" s="438" t="str">
        <f>II2Ext!C16</f>
        <v/>
      </c>
      <c r="P16" s="438" t="str">
        <f>II3Ext!C16</f>
        <v/>
      </c>
      <c r="Q16" s="416"/>
      <c r="R16" s="416"/>
      <c r="S16" s="415"/>
      <c r="T16" s="417" t="str">
        <f>IF(COUNT(N16:S16)&gt;0,ROUNDUP(SUMPRODUCT(NB!D130:I130,Notenbogen!N16:S16,N51:S51)/SUMPRODUCT(NB!D130:I130,Notenbogen!N51:S51),2),"")</f>
        <v/>
      </c>
      <c r="U16" s="440" t="str">
        <f>II1SA!C16</f>
        <v/>
      </c>
      <c r="V16" s="441" t="str">
        <f>II2SA!C16</f>
        <v/>
      </c>
      <c r="W16" s="420" t="str">
        <f>IF(COUNT(T16:V16)&gt;0,ROUNDUP(SUMPRODUCT(T16:V16,NB!J130:L130)/COUNT(T16:V16),2),"")</f>
        <v/>
      </c>
      <c r="X16" s="444" t="str">
        <f t="shared" si="1"/>
        <v/>
      </c>
      <c r="Y16" s="445" t="str">
        <f t="shared" si="2"/>
        <v/>
      </c>
      <c r="Z16" s="425"/>
      <c r="AA16" s="426"/>
      <c r="AB16" s="427" t="str">
        <f>IF(COUNT(C16:H16)=0,"",IF(Z16&lt;&gt;"", ROUND((2*NB!D15+Z16)/3, 2),ROUND(NB!D15, 2)))</f>
        <v/>
      </c>
      <c r="AC16" s="428" t="str">
        <f>IF(COUNT(J16:K16)+COUNT(U16:V16)&gt;0,ROUNDUP((SUMPRODUCT(NB!K89:L89,Notenbogen!J16:K16)+SUMPRODUCT(NB!K130:L130,Notenbogen!U16:V16))/(COUNT(J16:K16)+COUNT(U16:V16)),2),"")</f>
        <v/>
      </c>
      <c r="AD16" s="429" t="s">
        <v>162</v>
      </c>
      <c r="AE16" s="430"/>
      <c r="AF16" s="431"/>
      <c r="AG16" s="432"/>
    </row>
    <row r="17" spans="1:33" s="433" customFormat="1" ht="24.95" customHeight="1" x14ac:dyDescent="0.2">
      <c r="A17" s="434">
        <v>14</v>
      </c>
      <c r="B17" s="435"/>
      <c r="C17" s="436" t="str">
        <f>I1Ext!C17</f>
        <v/>
      </c>
      <c r="D17" s="438" t="str">
        <f>I2Ext!C16</f>
        <v/>
      </c>
      <c r="E17" s="438" t="str">
        <f>I3Ext!C17</f>
        <v/>
      </c>
      <c r="F17" s="416"/>
      <c r="G17" s="416"/>
      <c r="H17" s="415"/>
      <c r="I17" s="417" t="str">
        <f>IF(COUNT(C17:H17)&gt;0,ROUNDUP(SUMPRODUCT(NB!D90:I90,Notenbogen!C17:H17,C52:H52)/SUMPRODUCT(NB!D90:I90,Notenbogen!C52:H52),2),"")</f>
        <v/>
      </c>
      <c r="J17" s="440" t="str">
        <f>I1SA!C17</f>
        <v/>
      </c>
      <c r="K17" s="441" t="str">
        <f>I2SA!C17</f>
        <v/>
      </c>
      <c r="L17" s="420" t="str">
        <f>IF(COUNT(I17:K17)&gt;0,ROUNDUP(SUMPRODUCT(I17:K17,NB!J90:L90)/COUNT(I17:K17),2),"")</f>
        <v/>
      </c>
      <c r="M17" s="442" t="str">
        <f t="shared" si="0"/>
        <v/>
      </c>
      <c r="N17" s="443" t="str">
        <f>II1Ext!C17</f>
        <v/>
      </c>
      <c r="O17" s="438" t="str">
        <f>II2Ext!C17</f>
        <v/>
      </c>
      <c r="P17" s="438" t="str">
        <f>II3Ext!C17</f>
        <v/>
      </c>
      <c r="Q17" s="416"/>
      <c r="R17" s="416"/>
      <c r="S17" s="415"/>
      <c r="T17" s="417" t="str">
        <f>IF(COUNT(N17:S17)&gt;0,ROUNDUP(SUMPRODUCT(NB!D131:I131,Notenbogen!N17:S17,N52:S52)/SUMPRODUCT(NB!D131:I131,Notenbogen!N52:S52),2),"")</f>
        <v/>
      </c>
      <c r="U17" s="440" t="str">
        <f>II1SA!C17</f>
        <v/>
      </c>
      <c r="V17" s="441" t="str">
        <f>II2SA!C17</f>
        <v/>
      </c>
      <c r="W17" s="420" t="str">
        <f>IF(COUNT(T17:V17)&gt;0,ROUNDUP(SUMPRODUCT(T17:V17,NB!J131:L131)/COUNT(T17:V17),2),"")</f>
        <v/>
      </c>
      <c r="X17" s="444" t="str">
        <f t="shared" si="1"/>
        <v/>
      </c>
      <c r="Y17" s="445" t="str">
        <f t="shared" si="2"/>
        <v/>
      </c>
      <c r="Z17" s="425"/>
      <c r="AA17" s="426"/>
      <c r="AB17" s="427" t="str">
        <f>IF(COUNT(C17:H17)=0,"",IF(Z17&lt;&gt;"", ROUND((2*NB!D16+Z17)/3, 2),ROUND(NB!D16, 2)))</f>
        <v/>
      </c>
      <c r="AC17" s="428" t="str">
        <f>IF(COUNT(J17:K17)+COUNT(U17:V17)&gt;0,ROUNDUP((SUMPRODUCT(NB!K90:L90,Notenbogen!J17:K17)+SUMPRODUCT(NB!K131:L131,Notenbogen!U17:V17))/(COUNT(J17:K17)+COUNT(U17:V17)),2),"")</f>
        <v/>
      </c>
      <c r="AD17" s="429" t="s">
        <v>162</v>
      </c>
      <c r="AE17" s="430"/>
      <c r="AF17" s="431"/>
      <c r="AG17" s="432"/>
    </row>
    <row r="18" spans="1:33" s="433" customFormat="1" ht="24.95" customHeight="1" x14ac:dyDescent="0.2">
      <c r="A18" s="434">
        <v>15</v>
      </c>
      <c r="B18" s="435"/>
      <c r="C18" s="436" t="str">
        <f>I1Ext!C18</f>
        <v/>
      </c>
      <c r="D18" s="438" t="str">
        <f>I2Ext!C18</f>
        <v/>
      </c>
      <c r="E18" s="438" t="str">
        <f>I3Ext!C18</f>
        <v/>
      </c>
      <c r="F18" s="416"/>
      <c r="G18" s="416"/>
      <c r="H18" s="415"/>
      <c r="I18" s="417" t="str">
        <f>IF(COUNT(C18:H18)&gt;0,ROUNDUP(SUMPRODUCT(NB!D91:I91,Notenbogen!C18:H18,C53:H53)/SUMPRODUCT(NB!D91:I91,Notenbogen!C53:H53),2),"")</f>
        <v/>
      </c>
      <c r="J18" s="440" t="str">
        <f>I1SA!C18</f>
        <v/>
      </c>
      <c r="K18" s="441" t="str">
        <f>I2SA!C18</f>
        <v/>
      </c>
      <c r="L18" s="420" t="str">
        <f>IF(COUNT(I18:K18)&gt;0,ROUNDUP(SUMPRODUCT(I18:K18,NB!J91:L91)/COUNT(I18:K18),2),"")</f>
        <v/>
      </c>
      <c r="M18" s="442" t="str">
        <f t="shared" si="0"/>
        <v/>
      </c>
      <c r="N18" s="443" t="str">
        <f>II1Ext!C18</f>
        <v/>
      </c>
      <c r="O18" s="438" t="str">
        <f>II2Ext!C18</f>
        <v/>
      </c>
      <c r="P18" s="438" t="str">
        <f>II3Ext!C18</f>
        <v/>
      </c>
      <c r="Q18" s="416"/>
      <c r="R18" s="416"/>
      <c r="S18" s="415"/>
      <c r="T18" s="417" t="str">
        <f>IF(COUNT(N18:S18)&gt;0,ROUNDUP(SUMPRODUCT(NB!D132:I132,Notenbogen!N18:S18,N53:S53)/SUMPRODUCT(NB!D132:I132,Notenbogen!N53:S53),2),"")</f>
        <v/>
      </c>
      <c r="U18" s="440" t="str">
        <f>II1SA!C18</f>
        <v/>
      </c>
      <c r="V18" s="441" t="str">
        <f>II2SA!C18</f>
        <v/>
      </c>
      <c r="W18" s="420" t="str">
        <f>IF(COUNT(T18:V18)&gt;0,ROUNDUP(SUMPRODUCT(T18:V18,NB!J132:L132)/COUNT(T18:V18),2),"")</f>
        <v/>
      </c>
      <c r="X18" s="444" t="str">
        <f t="shared" si="1"/>
        <v/>
      </c>
      <c r="Y18" s="445" t="str">
        <f t="shared" si="2"/>
        <v/>
      </c>
      <c r="Z18" s="425"/>
      <c r="AA18" s="426"/>
      <c r="AB18" s="427" t="str">
        <f>IF(COUNT(C18:H18)=0,"",IF(Z18&lt;&gt;"", ROUND((2*NB!D17+Z18)/3, 2),ROUND(NB!D17, 2)))</f>
        <v/>
      </c>
      <c r="AC18" s="428" t="str">
        <f>IF(COUNT(J18:K18)+COUNT(U18:V18)&gt;0,ROUNDUP((SUMPRODUCT(NB!K91:L91,Notenbogen!J18:K18)+SUMPRODUCT(NB!K132:L132,Notenbogen!U18:V18))/(COUNT(J18:K18)+COUNT(U18:V18)),2),"")</f>
        <v/>
      </c>
      <c r="AD18" s="429" t="s">
        <v>162</v>
      </c>
      <c r="AE18" s="430"/>
      <c r="AF18" s="431"/>
      <c r="AG18" s="432"/>
    </row>
    <row r="19" spans="1:33" s="433" customFormat="1" ht="24.95" customHeight="1" x14ac:dyDescent="0.2">
      <c r="A19" s="434">
        <v>16</v>
      </c>
      <c r="B19" s="435"/>
      <c r="C19" s="436" t="str">
        <f>I1Ext!C19</f>
        <v/>
      </c>
      <c r="D19" s="438" t="str">
        <f>I2Ext!C18</f>
        <v/>
      </c>
      <c r="E19" s="438" t="str">
        <f>I3Ext!C19</f>
        <v/>
      </c>
      <c r="F19" s="416"/>
      <c r="G19" s="416"/>
      <c r="H19" s="415"/>
      <c r="I19" s="417" t="str">
        <f>IF(COUNT(C19:H19)&gt;0,ROUNDUP(SUMPRODUCT(NB!D92:I92,Notenbogen!C19:H19,C54:H54)/SUMPRODUCT(NB!D92:I92,Notenbogen!C54:H54),2),"")</f>
        <v/>
      </c>
      <c r="J19" s="440" t="str">
        <f>I1SA!C19</f>
        <v/>
      </c>
      <c r="K19" s="441" t="str">
        <f>I2SA!C19</f>
        <v/>
      </c>
      <c r="L19" s="420" t="str">
        <f>IF(COUNT(I19:K19)&gt;0,ROUNDUP(SUMPRODUCT(I19:K19,NB!J92:L92)/COUNT(I19:K19),2),"")</f>
        <v/>
      </c>
      <c r="M19" s="442" t="str">
        <f t="shared" si="0"/>
        <v/>
      </c>
      <c r="N19" s="443" t="str">
        <f>II1Ext!C19</f>
        <v/>
      </c>
      <c r="O19" s="438" t="str">
        <f>II2Ext!C19</f>
        <v/>
      </c>
      <c r="P19" s="438" t="str">
        <f>II3Ext!C19</f>
        <v/>
      </c>
      <c r="Q19" s="416"/>
      <c r="R19" s="416"/>
      <c r="S19" s="415"/>
      <c r="T19" s="417" t="str">
        <f>IF(COUNT(N19:S19)&gt;0,ROUNDUP(SUMPRODUCT(NB!D133:I133,Notenbogen!N19:S19,N54:S54)/SUMPRODUCT(NB!D133:I133,Notenbogen!N54:S54),2),"")</f>
        <v/>
      </c>
      <c r="U19" s="440" t="str">
        <f>II1SA!C19</f>
        <v/>
      </c>
      <c r="V19" s="441" t="str">
        <f>II2SA!C19</f>
        <v/>
      </c>
      <c r="W19" s="420" t="str">
        <f>IF(COUNT(T19:V19)&gt;0,ROUNDUP(SUMPRODUCT(T19:V19,NB!J133:L133)/COUNT(T19:V19),2),"")</f>
        <v/>
      </c>
      <c r="X19" s="444" t="str">
        <f t="shared" si="1"/>
        <v/>
      </c>
      <c r="Y19" s="445" t="str">
        <f t="shared" si="2"/>
        <v/>
      </c>
      <c r="Z19" s="425"/>
      <c r="AA19" s="426"/>
      <c r="AB19" s="427" t="str">
        <f>IF(COUNT(C19:H19)=0,"",IF(Z19&lt;&gt;"", ROUND((2*NB!D18+Z19)/3, 2),ROUND(NB!D18, 2)))</f>
        <v/>
      </c>
      <c r="AC19" s="428" t="str">
        <f>IF(COUNT(J19:K19)+COUNT(U19:V19)&gt;0,ROUNDUP((SUMPRODUCT(NB!K92:L92,Notenbogen!J19:K19)+SUMPRODUCT(NB!K133:L133,Notenbogen!U19:V19))/(COUNT(J19:K19)+COUNT(U19:V19)),2),"")</f>
        <v/>
      </c>
      <c r="AD19" s="429" t="s">
        <v>162</v>
      </c>
      <c r="AE19" s="430"/>
      <c r="AF19" s="431"/>
      <c r="AG19" s="432"/>
    </row>
    <row r="20" spans="1:33" s="433" customFormat="1" ht="24.95" customHeight="1" x14ac:dyDescent="0.2">
      <c r="A20" s="434">
        <v>17</v>
      </c>
      <c r="B20" s="435"/>
      <c r="C20" s="436" t="str">
        <f>I1Ext!C20</f>
        <v/>
      </c>
      <c r="D20" s="438" t="str">
        <f>I2Ext!C20</f>
        <v/>
      </c>
      <c r="E20" s="438" t="str">
        <f>I3Ext!C20</f>
        <v/>
      </c>
      <c r="F20" s="416"/>
      <c r="G20" s="416"/>
      <c r="H20" s="415"/>
      <c r="I20" s="417" t="str">
        <f>IF(COUNT(C20:H20)&gt;0,ROUNDUP(SUMPRODUCT(NB!D93:I93,Notenbogen!C20:H20,C55:H55)/SUMPRODUCT(NB!D93:I93,Notenbogen!C55:H55),2),"")</f>
        <v/>
      </c>
      <c r="J20" s="440" t="str">
        <f>I1SA!C20</f>
        <v/>
      </c>
      <c r="K20" s="441" t="str">
        <f>I2SA!C20</f>
        <v/>
      </c>
      <c r="L20" s="420" t="str">
        <f>IF(COUNT(I20:K20)&gt;0,ROUNDUP(SUMPRODUCT(I20:K20,NB!J93:L93)/COUNT(I20:K20),2),"")</f>
        <v/>
      </c>
      <c r="M20" s="442" t="str">
        <f t="shared" si="0"/>
        <v/>
      </c>
      <c r="N20" s="443" t="str">
        <f>II1Ext!C20</f>
        <v/>
      </c>
      <c r="O20" s="438" t="str">
        <f>II2Ext!C20</f>
        <v/>
      </c>
      <c r="P20" s="438" t="str">
        <f>II3Ext!C20</f>
        <v/>
      </c>
      <c r="Q20" s="416"/>
      <c r="R20" s="416"/>
      <c r="S20" s="415"/>
      <c r="T20" s="417" t="str">
        <f>IF(COUNT(N20:S20)&gt;0,ROUNDUP(SUMPRODUCT(NB!D134:I134,Notenbogen!N20:S20,N55:S55)/SUMPRODUCT(NB!D134:I134,Notenbogen!N55:S55),2),"")</f>
        <v/>
      </c>
      <c r="U20" s="440" t="str">
        <f>II1SA!C20</f>
        <v/>
      </c>
      <c r="V20" s="441" t="str">
        <f>II2SA!C20</f>
        <v/>
      </c>
      <c r="W20" s="420" t="str">
        <f>IF(COUNT(T20:V20)&gt;0,ROUNDUP(SUMPRODUCT(T20:V20,NB!J134:L134)/COUNT(T20:V20),2),"")</f>
        <v/>
      </c>
      <c r="X20" s="444" t="str">
        <f t="shared" si="1"/>
        <v/>
      </c>
      <c r="Y20" s="445" t="str">
        <f t="shared" si="2"/>
        <v/>
      </c>
      <c r="Z20" s="425"/>
      <c r="AA20" s="426"/>
      <c r="AB20" s="427" t="str">
        <f>IF(COUNT(C20:H20)=0,"",IF(Z20&lt;&gt;"", ROUND((2*NB!D19+Z20)/3, 2),ROUND(NB!D19, 2)))</f>
        <v/>
      </c>
      <c r="AC20" s="428" t="str">
        <f>IF(COUNT(J20:K20)+COUNT(U20:V20)&gt;0,ROUNDUP((SUMPRODUCT(NB!K93:L93,Notenbogen!J20:K20)+SUMPRODUCT(NB!K134:L134,Notenbogen!U20:V20))/(COUNT(J20:K20)+COUNT(U20:V20)),2),"")</f>
        <v/>
      </c>
      <c r="AD20" s="429" t="s">
        <v>162</v>
      </c>
      <c r="AE20" s="430"/>
      <c r="AF20" s="431"/>
      <c r="AG20" s="432"/>
    </row>
    <row r="21" spans="1:33" s="433" customFormat="1" ht="24.95" customHeight="1" x14ac:dyDescent="0.2">
      <c r="A21" s="434">
        <v>18</v>
      </c>
      <c r="B21" s="435"/>
      <c r="C21" s="436" t="str">
        <f>I1Ext!C21</f>
        <v/>
      </c>
      <c r="D21" s="438" t="str">
        <f>I2Ext!C20</f>
        <v/>
      </c>
      <c r="E21" s="438" t="str">
        <f>I3Ext!C21</f>
        <v/>
      </c>
      <c r="F21" s="416"/>
      <c r="G21" s="416"/>
      <c r="H21" s="415"/>
      <c r="I21" s="417" t="str">
        <f>IF(COUNT(C21:H21)&gt;0,ROUNDUP(SUMPRODUCT(NB!D94:I94,Notenbogen!C21:H21,C56:H56)/SUMPRODUCT(NB!D94:I94,Notenbogen!C56:H56),2),"")</f>
        <v/>
      </c>
      <c r="J21" s="440" t="str">
        <f>I1SA!C21</f>
        <v/>
      </c>
      <c r="K21" s="441" t="str">
        <f>I2SA!C21</f>
        <v/>
      </c>
      <c r="L21" s="420" t="str">
        <f>IF(COUNT(I21:K21)&gt;0,ROUNDUP(SUMPRODUCT(I21:K21,NB!J94:L94)/COUNT(I21:K21),2),"")</f>
        <v/>
      </c>
      <c r="M21" s="442" t="str">
        <f t="shared" si="0"/>
        <v/>
      </c>
      <c r="N21" s="443" t="str">
        <f>II1Ext!C21</f>
        <v/>
      </c>
      <c r="O21" s="438" t="str">
        <f>II2Ext!C21</f>
        <v/>
      </c>
      <c r="P21" s="438" t="str">
        <f>II3Ext!C21</f>
        <v/>
      </c>
      <c r="Q21" s="416"/>
      <c r="R21" s="416"/>
      <c r="S21" s="415"/>
      <c r="T21" s="417" t="str">
        <f>IF(COUNT(N21:S21)&gt;0,ROUNDUP(SUMPRODUCT(NB!D135:I135,Notenbogen!N21:S21,N56:S56)/SUMPRODUCT(NB!D135:I135,Notenbogen!N56:S56),2),"")</f>
        <v/>
      </c>
      <c r="U21" s="440" t="str">
        <f>II1SA!C21</f>
        <v/>
      </c>
      <c r="V21" s="441" t="str">
        <f>II2SA!C21</f>
        <v/>
      </c>
      <c r="W21" s="420" t="str">
        <f>IF(COUNT(T21:V21)&gt;0,ROUNDUP(SUMPRODUCT(T21:V21,NB!J135:L135)/COUNT(T21:V21),2),"")</f>
        <v/>
      </c>
      <c r="X21" s="444" t="str">
        <f t="shared" si="1"/>
        <v/>
      </c>
      <c r="Y21" s="445" t="str">
        <f t="shared" si="2"/>
        <v/>
      </c>
      <c r="Z21" s="425"/>
      <c r="AA21" s="426"/>
      <c r="AB21" s="427" t="str">
        <f>IF(COUNT(C21:H21)=0,"",IF(Z21&lt;&gt;"", ROUND((2*NB!D20+Z21)/3, 2),ROUND(NB!D20, 2)))</f>
        <v/>
      </c>
      <c r="AC21" s="428" t="str">
        <f>IF(COUNT(J21:K21)+COUNT(U21:V21)&gt;0,ROUNDUP((SUMPRODUCT(NB!K94:L94,Notenbogen!J21:K21)+SUMPRODUCT(NB!K135:L135,Notenbogen!U21:V21))/(COUNT(J21:K21)+COUNT(U21:V21)),2),"")</f>
        <v/>
      </c>
      <c r="AD21" s="429" t="s">
        <v>162</v>
      </c>
      <c r="AE21" s="430"/>
      <c r="AF21" s="431"/>
      <c r="AG21" s="432"/>
    </row>
    <row r="22" spans="1:33" s="433" customFormat="1" ht="24.95" customHeight="1" x14ac:dyDescent="0.2">
      <c r="A22" s="434">
        <v>19</v>
      </c>
      <c r="B22" s="435"/>
      <c r="C22" s="436" t="str">
        <f>I1Ext!C22</f>
        <v/>
      </c>
      <c r="D22" s="438" t="str">
        <f>I2Ext!C22</f>
        <v/>
      </c>
      <c r="E22" s="438" t="str">
        <f>I3Ext!C22</f>
        <v/>
      </c>
      <c r="F22" s="416"/>
      <c r="G22" s="416"/>
      <c r="H22" s="415"/>
      <c r="I22" s="417" t="str">
        <f>IF(COUNT(C22:H22)&gt;0,ROUNDUP(SUMPRODUCT(NB!D95:I95,Notenbogen!C22:H22,C57:H57)/SUMPRODUCT(NB!D95:I95,Notenbogen!C57:H57),2),"")</f>
        <v/>
      </c>
      <c r="J22" s="440" t="str">
        <f>I1SA!C22</f>
        <v/>
      </c>
      <c r="K22" s="441" t="str">
        <f>I2SA!C22</f>
        <v/>
      </c>
      <c r="L22" s="420" t="str">
        <f>IF(COUNT(I22:K22)&gt;0,ROUNDUP(SUMPRODUCT(I22:K22,NB!J95:L95)/COUNT(I22:K22),2),"")</f>
        <v/>
      </c>
      <c r="M22" s="442" t="str">
        <f t="shared" si="0"/>
        <v/>
      </c>
      <c r="N22" s="443" t="str">
        <f>II1Ext!C22</f>
        <v/>
      </c>
      <c r="O22" s="438" t="str">
        <f>II2Ext!C22</f>
        <v/>
      </c>
      <c r="P22" s="438" t="str">
        <f>II3Ext!C22</f>
        <v/>
      </c>
      <c r="Q22" s="416"/>
      <c r="R22" s="416"/>
      <c r="S22" s="415"/>
      <c r="T22" s="417" t="str">
        <f>IF(COUNT(N22:S22)&gt;0,ROUNDUP(SUMPRODUCT(NB!D136:I136,Notenbogen!N22:S22,N57:S57)/SUMPRODUCT(NB!D136:I136,Notenbogen!N57:S57),2),"")</f>
        <v/>
      </c>
      <c r="U22" s="440" t="str">
        <f>II1SA!C22</f>
        <v/>
      </c>
      <c r="V22" s="441" t="str">
        <f>II2SA!C22</f>
        <v/>
      </c>
      <c r="W22" s="420" t="str">
        <f>IF(COUNT(T22:V22)&gt;0,ROUNDUP(SUMPRODUCT(T22:V22,NB!J136:L136)/COUNT(T22:V22),2),"")</f>
        <v/>
      </c>
      <c r="X22" s="444" t="str">
        <f t="shared" si="1"/>
        <v/>
      </c>
      <c r="Y22" s="445" t="str">
        <f t="shared" si="2"/>
        <v/>
      </c>
      <c r="Z22" s="425"/>
      <c r="AA22" s="426"/>
      <c r="AB22" s="427" t="str">
        <f>IF(COUNT(C22:H22)=0,"",IF(Z22&lt;&gt;"", ROUND((2*NB!D21+Z22)/3, 2),ROUND(NB!D21, 2)))</f>
        <v/>
      </c>
      <c r="AC22" s="428" t="str">
        <f>IF(COUNT(J22:K22)+COUNT(U22:V22)&gt;0,ROUNDUP((SUMPRODUCT(NB!K95:L95,Notenbogen!J22:K22)+SUMPRODUCT(NB!K136:L136,Notenbogen!U22:V22))/(COUNT(J22:K22)+COUNT(U22:V22)),2),"")</f>
        <v/>
      </c>
      <c r="AD22" s="429" t="s">
        <v>162</v>
      </c>
      <c r="AE22" s="430"/>
      <c r="AF22" s="431"/>
      <c r="AG22" s="432"/>
    </row>
    <row r="23" spans="1:33" s="433" customFormat="1" ht="24.95" customHeight="1" x14ac:dyDescent="0.2">
      <c r="A23" s="434">
        <v>20</v>
      </c>
      <c r="B23" s="435"/>
      <c r="C23" s="436" t="str">
        <f>I1Ext!C23</f>
        <v/>
      </c>
      <c r="D23" s="438" t="str">
        <f>I2Ext!C22</f>
        <v/>
      </c>
      <c r="E23" s="438" t="str">
        <f>I3Ext!C23</f>
        <v/>
      </c>
      <c r="F23" s="416"/>
      <c r="G23" s="416"/>
      <c r="H23" s="415"/>
      <c r="I23" s="417" t="str">
        <f>IF(COUNT(C23:H23)&gt;0,ROUNDUP(SUMPRODUCT(NB!D96:I96,Notenbogen!C23:H23,C58:H58)/SUMPRODUCT(NB!D96:I96,Notenbogen!C58:H58),2),"")</f>
        <v/>
      </c>
      <c r="J23" s="440" t="str">
        <f>I1SA!C23</f>
        <v/>
      </c>
      <c r="K23" s="441" t="str">
        <f>I2SA!C23</f>
        <v/>
      </c>
      <c r="L23" s="420" t="str">
        <f>IF(COUNT(I23:K23)&gt;0,ROUNDUP(SUMPRODUCT(I23:K23,NB!J96:L96)/COUNT(I23:K23),2),"")</f>
        <v/>
      </c>
      <c r="M23" s="442" t="str">
        <f t="shared" si="0"/>
        <v/>
      </c>
      <c r="N23" s="443" t="str">
        <f>II1Ext!C23</f>
        <v/>
      </c>
      <c r="O23" s="438" t="str">
        <f>II2Ext!C23</f>
        <v/>
      </c>
      <c r="P23" s="438" t="str">
        <f>II3Ext!C23</f>
        <v/>
      </c>
      <c r="Q23" s="416"/>
      <c r="R23" s="416"/>
      <c r="S23" s="415"/>
      <c r="T23" s="417" t="str">
        <f>IF(COUNT(N23:S23)&gt;0,ROUNDUP(SUMPRODUCT(NB!D137:I137,Notenbogen!N23:S23,N58:S58)/SUMPRODUCT(NB!D137:I137,Notenbogen!N58:S58),2),"")</f>
        <v/>
      </c>
      <c r="U23" s="440" t="str">
        <f>II1SA!C23</f>
        <v/>
      </c>
      <c r="V23" s="441" t="str">
        <f>II2SA!C23</f>
        <v/>
      </c>
      <c r="W23" s="420" t="str">
        <f>IF(COUNT(T23:V23)&gt;0,ROUNDUP(SUMPRODUCT(T23:V23,NB!J137:L137)/COUNT(T23:V23),2),"")</f>
        <v/>
      </c>
      <c r="X23" s="444" t="str">
        <f t="shared" si="1"/>
        <v/>
      </c>
      <c r="Y23" s="445" t="str">
        <f t="shared" si="2"/>
        <v/>
      </c>
      <c r="Z23" s="425"/>
      <c r="AA23" s="426"/>
      <c r="AB23" s="427" t="str">
        <f>IF(COUNT(C23:H23)=0,"",IF(Z23&lt;&gt;"", ROUND((2*NB!D22+Z23)/3, 2),ROUND(NB!D22, 2)))</f>
        <v/>
      </c>
      <c r="AC23" s="428" t="str">
        <f>IF(COUNT(J23:K23)+COUNT(U23:V23)&gt;0,ROUNDUP((SUMPRODUCT(NB!K96:L96,Notenbogen!J23:K23)+SUMPRODUCT(NB!K137:L137,Notenbogen!U23:V23))/(COUNT(J23:K23)+COUNT(U23:V23)),2),"")</f>
        <v/>
      </c>
      <c r="AD23" s="429" t="s">
        <v>162</v>
      </c>
      <c r="AE23" s="430"/>
      <c r="AF23" s="431"/>
      <c r="AG23" s="432"/>
    </row>
    <row r="24" spans="1:33" s="433" customFormat="1" ht="24.95" customHeight="1" x14ac:dyDescent="0.2">
      <c r="A24" s="434">
        <v>21</v>
      </c>
      <c r="B24" s="435"/>
      <c r="C24" s="436" t="str">
        <f>I1Ext!C24</f>
        <v/>
      </c>
      <c r="D24" s="438" t="str">
        <f>I2Ext!C24</f>
        <v/>
      </c>
      <c r="E24" s="438" t="str">
        <f>I3Ext!C24</f>
        <v/>
      </c>
      <c r="F24" s="416"/>
      <c r="G24" s="416"/>
      <c r="H24" s="415"/>
      <c r="I24" s="417" t="str">
        <f>IF(COUNT(C24:H24)&gt;0,ROUNDUP(SUMPRODUCT(NB!D97:I97,Notenbogen!C24:H24,C59:H59)/SUMPRODUCT(NB!D97:I97,Notenbogen!C59:H59),2),"")</f>
        <v/>
      </c>
      <c r="J24" s="440" t="str">
        <f>I1SA!C24</f>
        <v/>
      </c>
      <c r="K24" s="441" t="str">
        <f>I2SA!C24</f>
        <v/>
      </c>
      <c r="L24" s="420" t="str">
        <f>IF(COUNT(I24:K24)&gt;0,ROUNDUP(SUMPRODUCT(I24:K24,NB!J97:L97)/COUNT(I24:K24),2),"")</f>
        <v/>
      </c>
      <c r="M24" s="442" t="str">
        <f t="shared" si="0"/>
        <v/>
      </c>
      <c r="N24" s="443" t="str">
        <f>II1Ext!C24</f>
        <v/>
      </c>
      <c r="O24" s="438" t="str">
        <f>II2Ext!C24</f>
        <v/>
      </c>
      <c r="P24" s="438" t="str">
        <f>II3Ext!C24</f>
        <v/>
      </c>
      <c r="Q24" s="416"/>
      <c r="R24" s="416"/>
      <c r="S24" s="415"/>
      <c r="T24" s="417" t="str">
        <f>IF(COUNT(N24:S24)&gt;0,ROUNDUP(SUMPRODUCT(NB!D138:I138,Notenbogen!N24:S24,N59:S59)/SUMPRODUCT(NB!D138:I138,Notenbogen!N59:S59),2),"")</f>
        <v/>
      </c>
      <c r="U24" s="440" t="str">
        <f>II1SA!C24</f>
        <v/>
      </c>
      <c r="V24" s="441" t="str">
        <f>II2SA!C24</f>
        <v/>
      </c>
      <c r="W24" s="420" t="str">
        <f>IF(COUNT(T24:V24)&gt;0,ROUNDUP(SUMPRODUCT(T24:V24,NB!J138:L138)/COUNT(T24:V24),2),"")</f>
        <v/>
      </c>
      <c r="X24" s="444" t="str">
        <f t="shared" si="1"/>
        <v/>
      </c>
      <c r="Y24" s="445" t="str">
        <f t="shared" si="2"/>
        <v/>
      </c>
      <c r="Z24" s="425"/>
      <c r="AA24" s="426"/>
      <c r="AB24" s="427" t="str">
        <f>IF(COUNT(C24:H24)=0,"",IF(Z24&lt;&gt;"", ROUND((2*NB!D23+Z24)/3, 2),ROUND(NB!D23, 2)))</f>
        <v/>
      </c>
      <c r="AC24" s="428" t="str">
        <f>IF(COUNT(J24:K24)+COUNT(U24:V24)&gt;0,ROUNDUP((SUMPRODUCT(NB!K97:L97,Notenbogen!J24:K24)+SUMPRODUCT(NB!K138:L138,Notenbogen!U24:V24))/(COUNT(J24:K24)+COUNT(U24:V24)),2),"")</f>
        <v/>
      </c>
      <c r="AD24" s="429" t="s">
        <v>162</v>
      </c>
      <c r="AE24" s="430"/>
      <c r="AF24" s="431"/>
      <c r="AG24" s="432"/>
    </row>
    <row r="25" spans="1:33" s="433" customFormat="1" ht="24.95" customHeight="1" x14ac:dyDescent="0.2">
      <c r="A25" s="434">
        <v>22</v>
      </c>
      <c r="B25" s="435"/>
      <c r="C25" s="436" t="str">
        <f>I1Ext!C25</f>
        <v/>
      </c>
      <c r="D25" s="438" t="str">
        <f>I2Ext!C24</f>
        <v/>
      </c>
      <c r="E25" s="438" t="str">
        <f>I3Ext!C25</f>
        <v/>
      </c>
      <c r="F25" s="416"/>
      <c r="G25" s="416"/>
      <c r="H25" s="415"/>
      <c r="I25" s="417" t="str">
        <f>IF(COUNT(C25:H25)&gt;0,ROUNDUP(SUMPRODUCT(NB!D98:I98,Notenbogen!C25:H25,C60:H60)/SUMPRODUCT(NB!D98:I98,Notenbogen!C60:H60),2),"")</f>
        <v/>
      </c>
      <c r="J25" s="440" t="str">
        <f>I1SA!C25</f>
        <v/>
      </c>
      <c r="K25" s="441" t="str">
        <f>I2SA!C25</f>
        <v/>
      </c>
      <c r="L25" s="420" t="str">
        <f>IF(COUNT(I25:K25)&gt;0,ROUNDUP(SUMPRODUCT(I25:K25,NB!J98:L98)/COUNT(I25:K25),2),"")</f>
        <v/>
      </c>
      <c r="M25" s="442" t="str">
        <f t="shared" si="0"/>
        <v/>
      </c>
      <c r="N25" s="443" t="str">
        <f>II1Ext!C25</f>
        <v/>
      </c>
      <c r="O25" s="438" t="str">
        <f>II2Ext!C25</f>
        <v/>
      </c>
      <c r="P25" s="438" t="str">
        <f>II3Ext!C25</f>
        <v/>
      </c>
      <c r="Q25" s="416"/>
      <c r="R25" s="416"/>
      <c r="S25" s="415"/>
      <c r="T25" s="417" t="str">
        <f>IF(COUNT(N25:S25)&gt;0,ROUNDUP(SUMPRODUCT(NB!D139:I139,Notenbogen!N25:S25,N60:S60)/SUMPRODUCT(NB!D139:I139,Notenbogen!N60:S60),2),"")</f>
        <v/>
      </c>
      <c r="U25" s="440" t="str">
        <f>II1SA!C25</f>
        <v/>
      </c>
      <c r="V25" s="441" t="str">
        <f>II2SA!C25</f>
        <v/>
      </c>
      <c r="W25" s="420" t="str">
        <f>IF(COUNT(T25:V25)&gt;0,ROUNDUP(SUMPRODUCT(T25:V25,NB!J139:L139)/COUNT(T25:V25),2),"")</f>
        <v/>
      </c>
      <c r="X25" s="444" t="str">
        <f t="shared" si="1"/>
        <v/>
      </c>
      <c r="Y25" s="445" t="str">
        <f t="shared" si="2"/>
        <v/>
      </c>
      <c r="Z25" s="425"/>
      <c r="AA25" s="426"/>
      <c r="AB25" s="427" t="str">
        <f>IF(COUNT(C25:H25)=0,"",IF(Z25&lt;&gt;"", ROUND((2*NB!D24+Z25)/3, 2),ROUND(NB!D24, 2)))</f>
        <v/>
      </c>
      <c r="AC25" s="428" t="str">
        <f>IF(COUNT(J25:K25)+COUNT(U25:V25)&gt;0,ROUNDUP((SUMPRODUCT(NB!K98:L98,Notenbogen!J25:K25)+SUMPRODUCT(NB!K139:L139,Notenbogen!U25:V25))/(COUNT(J25:K25)+COUNT(U25:V25)),2),"")</f>
        <v/>
      </c>
      <c r="AD25" s="429" t="s">
        <v>162</v>
      </c>
      <c r="AE25" s="430"/>
      <c r="AF25" s="431"/>
      <c r="AG25" s="432"/>
    </row>
    <row r="26" spans="1:33" s="433" customFormat="1" ht="24.95" customHeight="1" x14ac:dyDescent="0.2">
      <c r="A26" s="434">
        <v>23</v>
      </c>
      <c r="B26" s="435"/>
      <c r="C26" s="436" t="str">
        <f>I1Ext!C26</f>
        <v/>
      </c>
      <c r="D26" s="438" t="str">
        <f>I2Ext!C26</f>
        <v/>
      </c>
      <c r="E26" s="438" t="str">
        <f>I3Ext!C26</f>
        <v/>
      </c>
      <c r="F26" s="416"/>
      <c r="G26" s="416"/>
      <c r="H26" s="415"/>
      <c r="I26" s="417" t="str">
        <f>IF(COUNT(C26:H26)&gt;0,ROUNDUP(SUMPRODUCT(NB!D99:I99,Notenbogen!C26:H26,C61:H61)/SUMPRODUCT(NB!D99:I99,Notenbogen!C61:H61),2),"")</f>
        <v/>
      </c>
      <c r="J26" s="440" t="str">
        <f>I1SA!C26</f>
        <v/>
      </c>
      <c r="K26" s="441" t="str">
        <f>I2SA!C26</f>
        <v/>
      </c>
      <c r="L26" s="420" t="str">
        <f>IF(COUNT(I26:K26)&gt;0,ROUNDUP(SUMPRODUCT(I26:K26,NB!J99:L99)/COUNT(I26:K26),2),"")</f>
        <v/>
      </c>
      <c r="M26" s="442" t="str">
        <f t="shared" si="0"/>
        <v/>
      </c>
      <c r="N26" s="443" t="str">
        <f>II1Ext!C26</f>
        <v/>
      </c>
      <c r="O26" s="438" t="str">
        <f>II2Ext!C26</f>
        <v/>
      </c>
      <c r="P26" s="438" t="str">
        <f>II3Ext!C26</f>
        <v/>
      </c>
      <c r="Q26" s="416"/>
      <c r="R26" s="416"/>
      <c r="S26" s="415"/>
      <c r="T26" s="417" t="str">
        <f>IF(COUNT(N26:S26)&gt;0,ROUNDUP(SUMPRODUCT(NB!D140:I140,Notenbogen!N26:S26,N61:S61)/SUMPRODUCT(NB!D140:I140,Notenbogen!N61:S61),2),"")</f>
        <v/>
      </c>
      <c r="U26" s="440" t="str">
        <f>II1SA!C26</f>
        <v/>
      </c>
      <c r="V26" s="441" t="str">
        <f>II2SA!C26</f>
        <v/>
      </c>
      <c r="W26" s="420" t="str">
        <f>IF(COUNT(T26:V26)&gt;0,ROUNDUP(SUMPRODUCT(T26:V26,NB!J140:L140)/COUNT(T26:V26),2),"")</f>
        <v/>
      </c>
      <c r="X26" s="444" t="str">
        <f t="shared" si="1"/>
        <v/>
      </c>
      <c r="Y26" s="445" t="str">
        <f t="shared" si="2"/>
        <v/>
      </c>
      <c r="Z26" s="425"/>
      <c r="AA26" s="426"/>
      <c r="AB26" s="427" t="str">
        <f>IF(COUNT(C26:H26)=0,"",IF(Z26&lt;&gt;"", ROUND((2*NB!D25+Z26)/3, 2),ROUND(NB!D25, 2)))</f>
        <v/>
      </c>
      <c r="AC26" s="428" t="str">
        <f>IF(COUNT(J26:K26)+COUNT(U26:V26)&gt;0,ROUNDUP((SUMPRODUCT(NB!K99:L99,Notenbogen!J26:K26)+SUMPRODUCT(NB!K140:L140,Notenbogen!U26:V26))/(COUNT(J26:K26)+COUNT(U26:V26)),2),"")</f>
        <v/>
      </c>
      <c r="AD26" s="429" t="s">
        <v>162</v>
      </c>
      <c r="AE26" s="430"/>
      <c r="AF26" s="431"/>
      <c r="AG26" s="432"/>
    </row>
    <row r="27" spans="1:33" s="433" customFormat="1" ht="24.95" customHeight="1" x14ac:dyDescent="0.2">
      <c r="A27" s="434">
        <v>24</v>
      </c>
      <c r="B27" s="435"/>
      <c r="C27" s="436" t="str">
        <f>I1Ext!C27</f>
        <v/>
      </c>
      <c r="D27" s="438" t="str">
        <f>I2Ext!C26</f>
        <v/>
      </c>
      <c r="E27" s="438" t="str">
        <f>I3Ext!C27</f>
        <v/>
      </c>
      <c r="F27" s="416"/>
      <c r="G27" s="416"/>
      <c r="H27" s="415"/>
      <c r="I27" s="417" t="str">
        <f>IF(COUNT(C27:H27)&gt;0,ROUNDUP(SUMPRODUCT(NB!D100:I100,Notenbogen!C27:H27,C62:H62)/SUMPRODUCT(NB!D100:I100,Notenbogen!C62:H62),2),"")</f>
        <v/>
      </c>
      <c r="J27" s="440" t="str">
        <f>I1SA!C27</f>
        <v/>
      </c>
      <c r="K27" s="441" t="str">
        <f>I2SA!C27</f>
        <v/>
      </c>
      <c r="L27" s="420" t="str">
        <f>IF(COUNT(I27:K27)&gt;0,ROUNDUP(SUMPRODUCT(I27:K27,NB!J100:L100)/COUNT(I27:K27),2),"")</f>
        <v/>
      </c>
      <c r="M27" s="442" t="str">
        <f t="shared" si="0"/>
        <v/>
      </c>
      <c r="N27" s="443" t="str">
        <f>II1Ext!C27</f>
        <v/>
      </c>
      <c r="O27" s="438" t="str">
        <f>II2Ext!C27</f>
        <v/>
      </c>
      <c r="P27" s="438" t="str">
        <f>II3Ext!C27</f>
        <v/>
      </c>
      <c r="Q27" s="416"/>
      <c r="R27" s="416"/>
      <c r="S27" s="415"/>
      <c r="T27" s="417" t="str">
        <f>IF(COUNT(N27:S27)&gt;0,ROUNDUP(SUMPRODUCT(NB!D141:I141,Notenbogen!N27:S27,N62:S62)/SUMPRODUCT(NB!D141:I141,Notenbogen!N62:S62),2),"")</f>
        <v/>
      </c>
      <c r="U27" s="440" t="str">
        <f>II1SA!C27</f>
        <v/>
      </c>
      <c r="V27" s="441" t="str">
        <f>II2SA!C27</f>
        <v/>
      </c>
      <c r="W27" s="420" t="str">
        <f>IF(COUNT(T27:V27)&gt;0,ROUNDUP(SUMPRODUCT(T27:V27,NB!J141:L141)/COUNT(T27:V27),2),"")</f>
        <v/>
      </c>
      <c r="X27" s="444" t="str">
        <f t="shared" si="1"/>
        <v/>
      </c>
      <c r="Y27" s="445" t="str">
        <f t="shared" si="2"/>
        <v/>
      </c>
      <c r="Z27" s="425"/>
      <c r="AA27" s="426"/>
      <c r="AB27" s="427" t="str">
        <f>IF(COUNT(C27:H27)=0,"",IF(Z27&lt;&gt;"", ROUND((2*NB!D26+Z27)/3, 2),ROUND(NB!D26, 2)))</f>
        <v/>
      </c>
      <c r="AC27" s="428" t="str">
        <f>IF(COUNT(J27:K27)+COUNT(U27:V27)&gt;0,ROUNDUP((SUMPRODUCT(NB!K100:L100,Notenbogen!J27:K27)+SUMPRODUCT(NB!K141:L141,Notenbogen!U27:V27))/(COUNT(J27:K27)+COUNT(U27:V27)),2),"")</f>
        <v/>
      </c>
      <c r="AD27" s="429" t="s">
        <v>162</v>
      </c>
      <c r="AE27" s="430"/>
      <c r="AF27" s="431"/>
      <c r="AG27" s="432"/>
    </row>
    <row r="28" spans="1:33" s="433" customFormat="1" ht="24.95" customHeight="1" x14ac:dyDescent="0.2">
      <c r="A28" s="434">
        <v>25</v>
      </c>
      <c r="B28" s="435"/>
      <c r="C28" s="436" t="str">
        <f>I1Ext!C28</f>
        <v/>
      </c>
      <c r="D28" s="438" t="str">
        <f>I2Ext!C28</f>
        <v/>
      </c>
      <c r="E28" s="438" t="str">
        <f>I3Ext!C28</f>
        <v/>
      </c>
      <c r="F28" s="416"/>
      <c r="G28" s="416"/>
      <c r="H28" s="415"/>
      <c r="I28" s="417" t="str">
        <f>IF(COUNT(C28:H28)&gt;0,ROUNDUP(SUMPRODUCT(NB!D101:I101,Notenbogen!C28:H28,C63:H63)/SUMPRODUCT(NB!D101:I101,Notenbogen!C63:H63),2),"")</f>
        <v/>
      </c>
      <c r="J28" s="440" t="str">
        <f>I1SA!C28</f>
        <v/>
      </c>
      <c r="K28" s="441" t="str">
        <f>I2SA!C28</f>
        <v/>
      </c>
      <c r="L28" s="420" t="str">
        <f>IF(COUNT(I28:K28)&gt;0,ROUNDUP(SUMPRODUCT(I28:K28,NB!J101:L101)/COUNT(I28:K28),2),"")</f>
        <v/>
      </c>
      <c r="M28" s="442" t="str">
        <f t="shared" si="0"/>
        <v/>
      </c>
      <c r="N28" s="443" t="str">
        <f>II1Ext!C28</f>
        <v/>
      </c>
      <c r="O28" s="438" t="str">
        <f>II2Ext!C28</f>
        <v/>
      </c>
      <c r="P28" s="438" t="str">
        <f>II3Ext!C28</f>
        <v/>
      </c>
      <c r="Q28" s="416"/>
      <c r="R28" s="416"/>
      <c r="S28" s="415"/>
      <c r="T28" s="417" t="str">
        <f>IF(COUNT(N28:S28)&gt;0,ROUNDUP(SUMPRODUCT(NB!D142:I142,Notenbogen!N28:S28,N63:S63)/SUMPRODUCT(NB!D142:I142,Notenbogen!N63:S63),2),"")</f>
        <v/>
      </c>
      <c r="U28" s="440" t="str">
        <f>II1SA!C28</f>
        <v/>
      </c>
      <c r="V28" s="441" t="str">
        <f>II2SA!C28</f>
        <v/>
      </c>
      <c r="W28" s="420" t="str">
        <f>IF(COUNT(T28:V28)&gt;0,ROUNDUP(SUMPRODUCT(T28:V28,NB!J142:L142)/COUNT(T28:V28),2),"")</f>
        <v/>
      </c>
      <c r="X28" s="444" t="str">
        <f t="shared" si="1"/>
        <v/>
      </c>
      <c r="Y28" s="445" t="str">
        <f t="shared" si="2"/>
        <v/>
      </c>
      <c r="Z28" s="425"/>
      <c r="AA28" s="426"/>
      <c r="AB28" s="427" t="str">
        <f>IF(COUNT(C28:H28)=0,"",IF(Z28&lt;&gt;"", ROUND((2*NB!D27+Z28)/3, 2),ROUND(NB!D27, 2)))</f>
        <v/>
      </c>
      <c r="AC28" s="428" t="str">
        <f>IF(COUNT(J28:K28)+COUNT(U28:V28)&gt;0,ROUNDUP((SUMPRODUCT(NB!K101:L101,Notenbogen!J28:K28)+SUMPRODUCT(NB!K142:L142,Notenbogen!U28:V28))/(COUNT(J28:K28)+COUNT(U28:V28)),2),"")</f>
        <v/>
      </c>
      <c r="AD28" s="429" t="s">
        <v>162</v>
      </c>
      <c r="AE28" s="430"/>
      <c r="AF28" s="431"/>
      <c r="AG28" s="432"/>
    </row>
    <row r="29" spans="1:33" s="433" customFormat="1" ht="24.95" customHeight="1" x14ac:dyDescent="0.2">
      <c r="A29" s="434">
        <v>26</v>
      </c>
      <c r="B29" s="435"/>
      <c r="C29" s="436" t="str">
        <f>I1Ext!C29</f>
        <v/>
      </c>
      <c r="D29" s="438" t="str">
        <f>I2Ext!C28</f>
        <v/>
      </c>
      <c r="E29" s="438" t="str">
        <f>I3Ext!C29</f>
        <v/>
      </c>
      <c r="F29" s="416"/>
      <c r="G29" s="416"/>
      <c r="H29" s="415"/>
      <c r="I29" s="417" t="str">
        <f>IF(COUNT(C29:H29)&gt;0,ROUNDUP(SUMPRODUCT(NB!D102:I102,Notenbogen!C29:H29,C64:H64)/SUMPRODUCT(NB!D102:I102,Notenbogen!C64:H64),2),"")</f>
        <v/>
      </c>
      <c r="J29" s="440" t="str">
        <f>I1SA!C29</f>
        <v/>
      </c>
      <c r="K29" s="441" t="str">
        <f>I2SA!C29</f>
        <v/>
      </c>
      <c r="L29" s="420" t="str">
        <f>IF(COUNT(I29:K29)&gt;0,ROUNDUP(SUMPRODUCT(I29:K29,NB!J102:L102)/COUNT(I29:K29),2),"")</f>
        <v/>
      </c>
      <c r="M29" s="442" t="str">
        <f t="shared" si="0"/>
        <v/>
      </c>
      <c r="N29" s="443" t="str">
        <f>II1Ext!C29</f>
        <v/>
      </c>
      <c r="O29" s="438" t="str">
        <f>II2Ext!C29</f>
        <v/>
      </c>
      <c r="P29" s="438" t="str">
        <f>II3Ext!C29</f>
        <v/>
      </c>
      <c r="Q29" s="416"/>
      <c r="R29" s="416"/>
      <c r="S29" s="415"/>
      <c r="T29" s="417" t="str">
        <f>IF(COUNT(N29:S29)&gt;0,ROUNDUP(SUMPRODUCT(NB!D143:I143,Notenbogen!N29:S29,N64:S64)/SUMPRODUCT(NB!D143:I143,Notenbogen!N64:S64),2),"")</f>
        <v/>
      </c>
      <c r="U29" s="440" t="str">
        <f>II1SA!C29</f>
        <v/>
      </c>
      <c r="V29" s="441" t="str">
        <f>II2SA!C29</f>
        <v/>
      </c>
      <c r="W29" s="420" t="str">
        <f>IF(COUNT(T29:V29)&gt;0,ROUNDUP(SUMPRODUCT(T29:V29,NB!J143:L143)/COUNT(T29:V29),2),"")</f>
        <v/>
      </c>
      <c r="X29" s="444" t="str">
        <f t="shared" si="1"/>
        <v/>
      </c>
      <c r="Y29" s="445" t="str">
        <f t="shared" si="2"/>
        <v/>
      </c>
      <c r="Z29" s="425"/>
      <c r="AA29" s="426"/>
      <c r="AB29" s="427" t="str">
        <f>IF(COUNT(C29:H29)=0,"",IF(Z29&lt;&gt;"", ROUND((2*NB!D28+Z29)/3, 2),ROUND(NB!D28, 2)))</f>
        <v/>
      </c>
      <c r="AC29" s="428" t="str">
        <f>IF(COUNT(J29:K29)+COUNT(U29:V29)&gt;0,ROUNDUP((SUMPRODUCT(NB!K102:L102,Notenbogen!J29:K29)+SUMPRODUCT(NB!K143:L143,Notenbogen!U29:V29))/(COUNT(J29:K29)+COUNT(U29:V29)),2),"")</f>
        <v/>
      </c>
      <c r="AD29" s="429" t="s">
        <v>162</v>
      </c>
      <c r="AE29" s="430"/>
      <c r="AF29" s="431"/>
      <c r="AG29" s="432"/>
    </row>
    <row r="30" spans="1:33" s="433" customFormat="1" ht="24.95" customHeight="1" x14ac:dyDescent="0.2">
      <c r="A30" s="434">
        <v>27</v>
      </c>
      <c r="B30" s="435"/>
      <c r="C30" s="436" t="str">
        <f>I1Ext!C30</f>
        <v/>
      </c>
      <c r="D30" s="438" t="str">
        <f>I2Ext!C30</f>
        <v/>
      </c>
      <c r="E30" s="438" t="str">
        <f>I3Ext!C30</f>
        <v/>
      </c>
      <c r="F30" s="416"/>
      <c r="G30" s="416"/>
      <c r="H30" s="415"/>
      <c r="I30" s="417" t="str">
        <f>IF(COUNT(C30:H30)&gt;0,ROUNDUP(SUMPRODUCT(NB!D103:I103,Notenbogen!C30:H30,C65:H65)/SUMPRODUCT(NB!D103:I103,Notenbogen!C65:H65),2),"")</f>
        <v/>
      </c>
      <c r="J30" s="440" t="str">
        <f>I1SA!C30</f>
        <v/>
      </c>
      <c r="K30" s="441" t="str">
        <f>I2SA!C30</f>
        <v/>
      </c>
      <c r="L30" s="420" t="str">
        <f>IF(COUNT(I30:K30)&gt;0,ROUNDUP(SUMPRODUCT(I30:K30,NB!J103:L103)/COUNT(I30:K30),2),"")</f>
        <v/>
      </c>
      <c r="M30" s="442" t="str">
        <f t="shared" si="0"/>
        <v/>
      </c>
      <c r="N30" s="443" t="str">
        <f>II1Ext!C30</f>
        <v/>
      </c>
      <c r="O30" s="438" t="str">
        <f>II2Ext!C30</f>
        <v/>
      </c>
      <c r="P30" s="438" t="str">
        <f>II3Ext!C30</f>
        <v/>
      </c>
      <c r="Q30" s="416"/>
      <c r="R30" s="416"/>
      <c r="S30" s="415"/>
      <c r="T30" s="417" t="str">
        <f>IF(COUNT(N30:S30)&gt;0,ROUNDUP(SUMPRODUCT(NB!D144:I144,Notenbogen!N30:S30,N65:S65)/SUMPRODUCT(NB!D144:I144,Notenbogen!N65:S65),2),"")</f>
        <v/>
      </c>
      <c r="U30" s="440" t="str">
        <f>II1SA!C30</f>
        <v/>
      </c>
      <c r="V30" s="441" t="str">
        <f>II2SA!C30</f>
        <v/>
      </c>
      <c r="W30" s="420" t="str">
        <f>IF(COUNT(T30:V30)&gt;0,ROUNDUP(SUMPRODUCT(T30:V30,NB!J144:L144)/COUNT(T30:V30),2),"")</f>
        <v/>
      </c>
      <c r="X30" s="444" t="str">
        <f t="shared" si="1"/>
        <v/>
      </c>
      <c r="Y30" s="445" t="str">
        <f t="shared" si="2"/>
        <v/>
      </c>
      <c r="Z30" s="425"/>
      <c r="AA30" s="426"/>
      <c r="AB30" s="427" t="str">
        <f>IF(COUNT(C30:H30)=0,"",IF(Z30&lt;&gt;"", ROUND((2*NB!D29+Z30)/3, 2),ROUND(NB!D29, 2)))</f>
        <v/>
      </c>
      <c r="AC30" s="428" t="str">
        <f>IF(COUNT(J30:K30)+COUNT(U30:V30)&gt;0,ROUNDUP((SUMPRODUCT(NB!K103:L103,Notenbogen!J30:K30)+SUMPRODUCT(NB!K144:L144,Notenbogen!U30:V30))/(COUNT(J30:K30)+COUNT(U30:V30)),2),"")</f>
        <v/>
      </c>
      <c r="AD30" s="429" t="s">
        <v>162</v>
      </c>
      <c r="AE30" s="430"/>
      <c r="AF30" s="431"/>
      <c r="AG30" s="432"/>
    </row>
    <row r="31" spans="1:33" s="433" customFormat="1" ht="24.95" customHeight="1" x14ac:dyDescent="0.2">
      <c r="A31" s="434">
        <v>28</v>
      </c>
      <c r="B31" s="435"/>
      <c r="C31" s="436" t="str">
        <f>I1Ext!C31</f>
        <v/>
      </c>
      <c r="D31" s="438" t="str">
        <f>I2Ext!C30</f>
        <v/>
      </c>
      <c r="E31" s="438" t="str">
        <f>I3Ext!C31</f>
        <v/>
      </c>
      <c r="F31" s="416"/>
      <c r="G31" s="416"/>
      <c r="H31" s="415"/>
      <c r="I31" s="417" t="str">
        <f>IF(COUNT(C31:H31)&gt;0,ROUNDUP(SUMPRODUCT(NB!D104:I104,Notenbogen!C31:H31,C66:H66)/SUMPRODUCT(NB!D104:I104,Notenbogen!C66:H66),2),"")</f>
        <v/>
      </c>
      <c r="J31" s="440" t="str">
        <f>I1SA!C31</f>
        <v/>
      </c>
      <c r="K31" s="441" t="str">
        <f>I2SA!C31</f>
        <v/>
      </c>
      <c r="L31" s="420" t="str">
        <f>IF(COUNT(I31:K31)&gt;0,ROUNDUP(SUMPRODUCT(I31:K31,NB!J104:L104)/COUNT(I31:K31),2),"")</f>
        <v/>
      </c>
      <c r="M31" s="442" t="str">
        <f t="shared" si="0"/>
        <v/>
      </c>
      <c r="N31" s="443" t="str">
        <f>II1Ext!C31</f>
        <v/>
      </c>
      <c r="O31" s="438" t="str">
        <f>II2Ext!C31</f>
        <v/>
      </c>
      <c r="P31" s="438" t="str">
        <f>II3Ext!C31</f>
        <v/>
      </c>
      <c r="Q31" s="416"/>
      <c r="R31" s="416"/>
      <c r="S31" s="415"/>
      <c r="T31" s="417" t="str">
        <f>IF(COUNT(N31:S31)&gt;0,ROUNDUP(SUMPRODUCT(NB!D145:I145,Notenbogen!N31:S31,N66:S66)/SUMPRODUCT(NB!D145:I145,Notenbogen!N66:S66),2),"")</f>
        <v/>
      </c>
      <c r="U31" s="440" t="str">
        <f>II1SA!C31</f>
        <v/>
      </c>
      <c r="V31" s="441" t="str">
        <f>II2SA!C31</f>
        <v/>
      </c>
      <c r="W31" s="420" t="str">
        <f>IF(COUNT(T31:V31)&gt;0,ROUNDUP(SUMPRODUCT(T31:V31,NB!J145:L145)/COUNT(T31:V31),2),"")</f>
        <v/>
      </c>
      <c r="X31" s="444" t="str">
        <f t="shared" si="1"/>
        <v/>
      </c>
      <c r="Y31" s="445" t="str">
        <f t="shared" si="2"/>
        <v/>
      </c>
      <c r="Z31" s="425"/>
      <c r="AA31" s="426"/>
      <c r="AB31" s="427" t="str">
        <f>IF(COUNT(C31:H31)=0,"",IF(Z31&lt;&gt;"", ROUND((2*NB!D30+Z31)/3, 2),ROUND(NB!D30, 2)))</f>
        <v/>
      </c>
      <c r="AC31" s="428" t="str">
        <f>IF(COUNT(J31:K31)+COUNT(U31:V31)&gt;0,ROUNDUP((SUMPRODUCT(NB!K104:L104,Notenbogen!J31:K31)+SUMPRODUCT(NB!K145:L145,Notenbogen!U31:V31))/(COUNT(J31:K31)+COUNT(U31:V31)),2),"")</f>
        <v/>
      </c>
      <c r="AD31" s="429" t="s">
        <v>162</v>
      </c>
      <c r="AE31" s="430"/>
      <c r="AF31" s="431"/>
      <c r="AG31" s="432"/>
    </row>
    <row r="32" spans="1:33" s="433" customFormat="1" ht="24.95" customHeight="1" x14ac:dyDescent="0.2">
      <c r="A32" s="434">
        <v>29</v>
      </c>
      <c r="B32" s="435"/>
      <c r="C32" s="436" t="str">
        <f>I1Ext!C32</f>
        <v/>
      </c>
      <c r="D32" s="438" t="str">
        <f>I2Ext!C32</f>
        <v/>
      </c>
      <c r="E32" s="438" t="str">
        <f>I3Ext!C32</f>
        <v/>
      </c>
      <c r="F32" s="416"/>
      <c r="G32" s="416"/>
      <c r="H32" s="415"/>
      <c r="I32" s="417" t="str">
        <f>IF(COUNT(C32:H32)&gt;0,ROUNDUP(SUMPRODUCT(NB!D105:I105,Notenbogen!C32:H32,C67:H67)/SUMPRODUCT(NB!D105:I105,Notenbogen!C67:H67),2),"")</f>
        <v/>
      </c>
      <c r="J32" s="440" t="str">
        <f>I1SA!C32</f>
        <v/>
      </c>
      <c r="K32" s="441" t="str">
        <f>I2SA!C32</f>
        <v/>
      </c>
      <c r="L32" s="420" t="str">
        <f>IF(COUNT(I32:K32)&gt;0,ROUNDUP(SUMPRODUCT(I32:K32,NB!J105:L105)/COUNT(I32:K32),2),"")</f>
        <v/>
      </c>
      <c r="M32" s="442" t="str">
        <f t="shared" si="0"/>
        <v/>
      </c>
      <c r="N32" s="443" t="str">
        <f>II1Ext!C32</f>
        <v/>
      </c>
      <c r="O32" s="438" t="str">
        <f>II2Ext!C32</f>
        <v/>
      </c>
      <c r="P32" s="438" t="str">
        <f>II3Ext!C32</f>
        <v/>
      </c>
      <c r="Q32" s="416"/>
      <c r="R32" s="416"/>
      <c r="S32" s="415"/>
      <c r="T32" s="417" t="str">
        <f>IF(COUNT(N32:S32)&gt;0,ROUNDUP(SUMPRODUCT(NB!D146:I146,Notenbogen!N32:S32,N67:S67)/SUMPRODUCT(NB!D146:I146,Notenbogen!N67:S67),2),"")</f>
        <v/>
      </c>
      <c r="U32" s="440" t="str">
        <f>II1SA!C32</f>
        <v/>
      </c>
      <c r="V32" s="441" t="str">
        <f>II2SA!C32</f>
        <v/>
      </c>
      <c r="W32" s="420" t="str">
        <f>IF(COUNT(T32:V32)&gt;0,ROUNDUP(SUMPRODUCT(T32:V32,NB!J146:L146)/COUNT(T32:V32),2),"")</f>
        <v/>
      </c>
      <c r="X32" s="444" t="str">
        <f t="shared" si="1"/>
        <v/>
      </c>
      <c r="Y32" s="445" t="str">
        <f t="shared" si="2"/>
        <v/>
      </c>
      <c r="Z32" s="425"/>
      <c r="AA32" s="426"/>
      <c r="AB32" s="427" t="str">
        <f>IF(COUNT(C32:H32)=0,"",IF(Z32&lt;&gt;"", ROUND((2*NB!D31+Z32)/3, 2),ROUND(NB!D31, 2)))</f>
        <v/>
      </c>
      <c r="AC32" s="428" t="str">
        <f>IF(COUNT(J32:K32)+COUNT(U32:V32)&gt;0,ROUNDUP((SUMPRODUCT(NB!K105:L105,Notenbogen!J32:K32)+SUMPRODUCT(NB!K146:L146,Notenbogen!U32:V32))/(COUNT(J32:K32)+COUNT(U32:V32)),2),"")</f>
        <v/>
      </c>
      <c r="AD32" s="429" t="s">
        <v>162</v>
      </c>
      <c r="AE32" s="430"/>
      <c r="AF32" s="431"/>
      <c r="AG32" s="432"/>
    </row>
    <row r="33" spans="1:33" s="433" customFormat="1" ht="24.95" customHeight="1" x14ac:dyDescent="0.2">
      <c r="A33" s="434">
        <v>30</v>
      </c>
      <c r="B33" s="435"/>
      <c r="C33" s="436" t="str">
        <f>I1Ext!C33</f>
        <v/>
      </c>
      <c r="D33" s="438" t="str">
        <f>I2Ext!C32</f>
        <v/>
      </c>
      <c r="E33" s="438" t="str">
        <f>I3Ext!C33</f>
        <v/>
      </c>
      <c r="F33" s="416"/>
      <c r="G33" s="416"/>
      <c r="H33" s="415"/>
      <c r="I33" s="417" t="str">
        <f>IF(COUNT(C33:H33)&gt;0,ROUNDUP(SUMPRODUCT(NB!D106:I106,Notenbogen!C33:H33,C68:H68)/SUMPRODUCT(NB!D106:I106,Notenbogen!C68:H68),2),"")</f>
        <v/>
      </c>
      <c r="J33" s="440" t="str">
        <f>I1SA!C33</f>
        <v/>
      </c>
      <c r="K33" s="441" t="str">
        <f>I2SA!C33</f>
        <v/>
      </c>
      <c r="L33" s="420" t="str">
        <f>IF(COUNT(I33:K33)&gt;0,ROUNDUP(SUMPRODUCT(I33:K33,NB!J106:L106)/COUNT(I33:K33),2),"")</f>
        <v/>
      </c>
      <c r="M33" s="442" t="str">
        <f t="shared" si="0"/>
        <v/>
      </c>
      <c r="N33" s="443" t="str">
        <f>II1Ext!C33</f>
        <v/>
      </c>
      <c r="O33" s="438" t="str">
        <f>II2Ext!C33</f>
        <v/>
      </c>
      <c r="P33" s="438" t="str">
        <f>II3Ext!C33</f>
        <v/>
      </c>
      <c r="Q33" s="416"/>
      <c r="R33" s="416"/>
      <c r="S33" s="415"/>
      <c r="T33" s="417" t="str">
        <f>IF(COUNT(N33:S33)&gt;0,ROUNDUP(SUMPRODUCT(NB!D147:I147,Notenbogen!N33:S33,N68:S68)/SUMPRODUCT(NB!D147:I147,Notenbogen!N68:S68),2),"")</f>
        <v/>
      </c>
      <c r="U33" s="440" t="str">
        <f>II1SA!C33</f>
        <v/>
      </c>
      <c r="V33" s="441" t="str">
        <f>II2SA!C33</f>
        <v/>
      </c>
      <c r="W33" s="420" t="str">
        <f>IF(COUNT(T33:V33)&gt;0,ROUNDUP(SUMPRODUCT(T33:V33,NB!J147:L147)/COUNT(T33:V33),2),"")</f>
        <v/>
      </c>
      <c r="X33" s="444" t="str">
        <f t="shared" si="1"/>
        <v/>
      </c>
      <c r="Y33" s="445" t="str">
        <f t="shared" si="2"/>
        <v/>
      </c>
      <c r="Z33" s="425"/>
      <c r="AA33" s="426"/>
      <c r="AB33" s="427" t="str">
        <f>IF(COUNT(C33:H33)=0,"",IF(Z33&lt;&gt;"", ROUND((2*NB!D32+Z33)/3, 2),ROUND(NB!D32, 2)))</f>
        <v/>
      </c>
      <c r="AC33" s="428" t="str">
        <f>IF(COUNT(J33:K33)+COUNT(U33:V33)&gt;0,ROUNDUP((SUMPRODUCT(NB!K106:L106,Notenbogen!J33:K33)+SUMPRODUCT(NB!K147:L147,Notenbogen!U33:V33))/(COUNT(J33:K33)+COUNT(U33:V33)),2),"")</f>
        <v/>
      </c>
      <c r="AD33" s="429" t="s">
        <v>162</v>
      </c>
      <c r="AE33" s="430"/>
      <c r="AF33" s="431"/>
      <c r="AG33" s="432"/>
    </row>
    <row r="34" spans="1:33" s="433" customFormat="1" ht="24.95" customHeight="1" x14ac:dyDescent="0.2">
      <c r="A34" s="434">
        <v>31</v>
      </c>
      <c r="B34" s="435"/>
      <c r="C34" s="436" t="str">
        <f>I1Ext!C34</f>
        <v/>
      </c>
      <c r="D34" s="438" t="str">
        <f>I2Ext!C34</f>
        <v/>
      </c>
      <c r="E34" s="438" t="str">
        <f>I3Ext!C34</f>
        <v/>
      </c>
      <c r="F34" s="416"/>
      <c r="G34" s="416"/>
      <c r="H34" s="415"/>
      <c r="I34" s="417" t="str">
        <f>IF(COUNT(C34:H34)&gt;0,ROUNDUP(SUMPRODUCT(NB!D107:I107,Notenbogen!C34:H34,C69:H69)/SUMPRODUCT(NB!D107:I107,Notenbogen!C69:H69),2),"")</f>
        <v/>
      </c>
      <c r="J34" s="440" t="str">
        <f>I1SA!C34</f>
        <v/>
      </c>
      <c r="K34" s="441" t="str">
        <f>I2SA!C34</f>
        <v/>
      </c>
      <c r="L34" s="420" t="str">
        <f>IF(COUNT(I34:K34)&gt;0,ROUNDUP(SUMPRODUCT(I34:K34,NB!J107:L107)/COUNT(I34:K34),2),"")</f>
        <v/>
      </c>
      <c r="M34" s="442" t="str">
        <f t="shared" si="0"/>
        <v/>
      </c>
      <c r="N34" s="443" t="str">
        <f>II1Ext!C34</f>
        <v/>
      </c>
      <c r="O34" s="438" t="str">
        <f>II2Ext!C34</f>
        <v/>
      </c>
      <c r="P34" s="438" t="str">
        <f>II3Ext!C34</f>
        <v/>
      </c>
      <c r="Q34" s="416"/>
      <c r="R34" s="416"/>
      <c r="S34" s="415"/>
      <c r="T34" s="417" t="str">
        <f>IF(COUNT(N34:S34)&gt;0,ROUNDUP(SUMPRODUCT(NB!D148:I148,Notenbogen!N34:S34,N69:S69)/SUMPRODUCT(NB!D148:I148,Notenbogen!N69:S69),2),"")</f>
        <v/>
      </c>
      <c r="U34" s="440" t="str">
        <f>II1SA!C34</f>
        <v/>
      </c>
      <c r="V34" s="441" t="str">
        <f>II2SA!C34</f>
        <v/>
      </c>
      <c r="W34" s="420" t="str">
        <f>IF(COUNT(T34:V34)&gt;0,ROUNDUP(SUMPRODUCT(T34:V34,NB!J148:L148)/COUNT(T34:V34),2),"")</f>
        <v/>
      </c>
      <c r="X34" s="444" t="str">
        <f t="shared" si="1"/>
        <v/>
      </c>
      <c r="Y34" s="445" t="str">
        <f t="shared" si="2"/>
        <v/>
      </c>
      <c r="Z34" s="425"/>
      <c r="AA34" s="426"/>
      <c r="AB34" s="427" t="str">
        <f>IF(COUNT(C34:H34)=0,"",IF(Z34&lt;&gt;"", ROUND((2*NB!D33+Z34)/3, 2),ROUND(NB!D33, 2)))</f>
        <v/>
      </c>
      <c r="AC34" s="428" t="str">
        <f>IF(COUNT(J34:K34)+COUNT(U34:V34)&gt;0,ROUNDUP((SUMPRODUCT(NB!K107:L107,Notenbogen!J34:K34)+SUMPRODUCT(NB!K148:L148,Notenbogen!U34:V34))/(COUNT(J34:K34)+COUNT(U34:V34)),2),"")</f>
        <v/>
      </c>
      <c r="AD34" s="429" t="s">
        <v>162</v>
      </c>
      <c r="AE34" s="430"/>
      <c r="AF34" s="431"/>
      <c r="AG34" s="432"/>
    </row>
    <row r="35" spans="1:33" s="433" customFormat="1" ht="24.95" customHeight="1" x14ac:dyDescent="0.2">
      <c r="A35" s="434">
        <v>32</v>
      </c>
      <c r="B35" s="435"/>
      <c r="C35" s="436" t="str">
        <f>I1Ext!C35</f>
        <v/>
      </c>
      <c r="D35" s="438" t="str">
        <f>I2Ext!C34</f>
        <v/>
      </c>
      <c r="E35" s="438" t="str">
        <f>I3Ext!C35</f>
        <v/>
      </c>
      <c r="F35" s="416"/>
      <c r="G35" s="416"/>
      <c r="H35" s="415"/>
      <c r="I35" s="417" t="str">
        <f>IF(COUNT(C35:H35)&gt;0,ROUNDUP(SUMPRODUCT(NB!D108:I108,Notenbogen!C35:H35,C70:H70)/SUMPRODUCT(NB!D108:I108,Notenbogen!C70:H70),2),"")</f>
        <v/>
      </c>
      <c r="J35" s="440" t="str">
        <f>I1SA!C35</f>
        <v/>
      </c>
      <c r="K35" s="441" t="str">
        <f>I2SA!C35</f>
        <v/>
      </c>
      <c r="L35" s="420" t="str">
        <f>IF(COUNT(I35:K35)&gt;0,ROUNDUP(SUMPRODUCT(I35:K35,NB!J108:L108)/COUNT(I35:K35),2),"")</f>
        <v/>
      </c>
      <c r="M35" s="442" t="str">
        <f t="shared" si="0"/>
        <v/>
      </c>
      <c r="N35" s="443" t="str">
        <f>II1Ext!C35</f>
        <v/>
      </c>
      <c r="O35" s="438" t="str">
        <f>II2Ext!C35</f>
        <v/>
      </c>
      <c r="P35" s="438" t="str">
        <f>II3Ext!C35</f>
        <v/>
      </c>
      <c r="Q35" s="416"/>
      <c r="R35" s="416"/>
      <c r="S35" s="415"/>
      <c r="T35" s="417" t="str">
        <f>IF(COUNT(N35:S35)&gt;0,ROUNDUP(SUMPRODUCT(NB!D149:I149,Notenbogen!N35:S35,N70:S70)/SUMPRODUCT(NB!D149:I149,Notenbogen!N70:S70),2),"")</f>
        <v/>
      </c>
      <c r="U35" s="440" t="str">
        <f>II1SA!C35</f>
        <v/>
      </c>
      <c r="V35" s="441" t="str">
        <f>II2SA!C35</f>
        <v/>
      </c>
      <c r="W35" s="420" t="str">
        <f>IF(COUNT(T35:V35)&gt;0,ROUNDUP(SUMPRODUCT(T35:V35,NB!J149:L149)/COUNT(T35:V35),2),"")</f>
        <v/>
      </c>
      <c r="X35" s="444" t="str">
        <f t="shared" si="1"/>
        <v/>
      </c>
      <c r="Y35" s="445" t="str">
        <f t="shared" si="2"/>
        <v/>
      </c>
      <c r="Z35" s="425"/>
      <c r="AA35" s="426"/>
      <c r="AB35" s="427" t="str">
        <f>IF(COUNT(C35:H35)=0,"",IF(Z35&lt;&gt;"", ROUND((2*NB!D34+Z35)/3, 2),ROUND(NB!D34, 2)))</f>
        <v/>
      </c>
      <c r="AC35" s="428" t="str">
        <f>IF(COUNT(J35:K35)+COUNT(U35:V35)&gt;0,ROUNDUP((SUMPRODUCT(NB!K108:L108,Notenbogen!J35:K35)+SUMPRODUCT(NB!K149:L149,Notenbogen!U35:V35))/(COUNT(J35:K35)+COUNT(U35:V35)),2),"")</f>
        <v/>
      </c>
      <c r="AD35" s="429" t="s">
        <v>162</v>
      </c>
      <c r="AE35" s="430"/>
      <c r="AF35" s="431"/>
      <c r="AG35" s="432"/>
    </row>
    <row r="36" spans="1:33" s="433" customFormat="1" ht="24.95" customHeight="1" x14ac:dyDescent="0.2">
      <c r="A36" s="434">
        <v>33</v>
      </c>
      <c r="B36" s="435"/>
      <c r="C36" s="436" t="str">
        <f>I1Ext!C36</f>
        <v/>
      </c>
      <c r="D36" s="438" t="str">
        <f>I2Ext!C36</f>
        <v/>
      </c>
      <c r="E36" s="438" t="str">
        <f>I3Ext!C36</f>
        <v/>
      </c>
      <c r="F36" s="416"/>
      <c r="G36" s="416"/>
      <c r="H36" s="415"/>
      <c r="I36" s="417" t="str">
        <f>IF(COUNT(C36:H36)&gt;0,ROUNDUP(SUMPRODUCT(NB!D109:I109,Notenbogen!C36:H36,C71:H71)/SUMPRODUCT(NB!D109:I109,Notenbogen!C71:H71),2),"")</f>
        <v/>
      </c>
      <c r="J36" s="440" t="str">
        <f>I1SA!C36</f>
        <v/>
      </c>
      <c r="K36" s="441" t="str">
        <f>I2SA!C36</f>
        <v/>
      </c>
      <c r="L36" s="420" t="str">
        <f>IF(COUNT(I36:K36)&gt;0,ROUNDUP(SUMPRODUCT(I36:K36,NB!J109:L109)/COUNT(I36:K36),2),"")</f>
        <v/>
      </c>
      <c r="M36" s="442" t="str">
        <f t="shared" si="0"/>
        <v/>
      </c>
      <c r="N36" s="443" t="str">
        <f>II1Ext!C36</f>
        <v/>
      </c>
      <c r="O36" s="438" t="str">
        <f>II2Ext!C36</f>
        <v/>
      </c>
      <c r="P36" s="438" t="str">
        <f>II3Ext!C36</f>
        <v/>
      </c>
      <c r="Q36" s="416"/>
      <c r="R36" s="416"/>
      <c r="S36" s="415"/>
      <c r="T36" s="417" t="str">
        <f>IF(COUNT(N36:S36)&gt;0,ROUNDUP(SUMPRODUCT(NB!D150:I150,Notenbogen!N36:S36,N71:S71)/SUMPRODUCT(NB!D150:I150,Notenbogen!N71:S71),2),"")</f>
        <v/>
      </c>
      <c r="U36" s="440" t="str">
        <f>II1SA!C36</f>
        <v/>
      </c>
      <c r="V36" s="441" t="str">
        <f>II2SA!C36</f>
        <v/>
      </c>
      <c r="W36" s="420" t="str">
        <f>IF(COUNT(T36:V36)&gt;0,ROUNDUP(SUMPRODUCT(T36:V36,NB!J150:L150)/COUNT(T36:V36),2),"")</f>
        <v/>
      </c>
      <c r="X36" s="444" t="str">
        <f t="shared" si="1"/>
        <v/>
      </c>
      <c r="Y36" s="445" t="str">
        <f t="shared" si="2"/>
        <v/>
      </c>
      <c r="Z36" s="425"/>
      <c r="AA36" s="426"/>
      <c r="AB36" s="427" t="str">
        <f>IF(COUNT(C36:H36)=0,"",IF(Z36&lt;&gt;"", ROUND((2*NB!D35+Z36)/3, 2),ROUND(NB!D35, 2)))</f>
        <v/>
      </c>
      <c r="AC36" s="428" t="str">
        <f>IF(COUNT(J36:K36)+COUNT(U36:V36)&gt;0,ROUNDUP((SUMPRODUCT(NB!K109:L109,Notenbogen!J36:K36)+SUMPRODUCT(NB!K150:L150,Notenbogen!U36:V36))/(COUNT(J36:K36)+COUNT(U36:V36)),2),"")</f>
        <v/>
      </c>
      <c r="AD36" s="429" t="s">
        <v>162</v>
      </c>
      <c r="AE36" s="430"/>
      <c r="AF36" s="431"/>
      <c r="AG36" s="432"/>
    </row>
    <row r="37" spans="1:33" s="433" customFormat="1" ht="24.95" customHeight="1" x14ac:dyDescent="0.2">
      <c r="A37" s="434">
        <v>34</v>
      </c>
      <c r="B37" s="435"/>
      <c r="C37" s="436" t="str">
        <f>I1Ext!C37</f>
        <v/>
      </c>
      <c r="D37" s="438" t="str">
        <f>I2Ext!C36</f>
        <v/>
      </c>
      <c r="E37" s="438" t="str">
        <f>I3Ext!C37</f>
        <v/>
      </c>
      <c r="F37" s="416"/>
      <c r="G37" s="416"/>
      <c r="H37" s="415"/>
      <c r="I37" s="417" t="str">
        <f>IF(COUNT(C37:H37)&gt;0,ROUNDUP(SUMPRODUCT(NB!D110:I110,Notenbogen!C37:H37,C72:H72)/SUMPRODUCT(NB!D110:I110,Notenbogen!C72:H72),2),"")</f>
        <v/>
      </c>
      <c r="J37" s="440" t="str">
        <f>I1SA!C37</f>
        <v/>
      </c>
      <c r="K37" s="441" t="str">
        <f>I2SA!C37</f>
        <v/>
      </c>
      <c r="L37" s="420" t="str">
        <f>IF(COUNT(I37:K37)&gt;0,ROUNDUP(SUMPRODUCT(I37:K37,NB!J110:L110)/COUNT(I37:K37),2),"")</f>
        <v/>
      </c>
      <c r="M37" s="442" t="str">
        <f t="shared" si="0"/>
        <v/>
      </c>
      <c r="N37" s="443" t="str">
        <f>II1Ext!C37</f>
        <v/>
      </c>
      <c r="O37" s="438" t="str">
        <f>II2Ext!C37</f>
        <v/>
      </c>
      <c r="P37" s="438" t="str">
        <f>II3Ext!C37</f>
        <v/>
      </c>
      <c r="Q37" s="416"/>
      <c r="R37" s="416"/>
      <c r="S37" s="415"/>
      <c r="T37" s="417" t="str">
        <f>IF(COUNT(N37:S37)&gt;0,ROUNDUP(SUMPRODUCT(NB!D151:I151,Notenbogen!N37:S37,N72:S72)/SUMPRODUCT(NB!D151:I151,Notenbogen!N72:S72),2),"")</f>
        <v/>
      </c>
      <c r="U37" s="440" t="str">
        <f>II1SA!C37</f>
        <v/>
      </c>
      <c r="V37" s="441" t="str">
        <f>II2SA!C37</f>
        <v/>
      </c>
      <c r="W37" s="420" t="str">
        <f>IF(COUNT(T37:V37)&gt;0,ROUNDUP(SUMPRODUCT(T37:V37,NB!J151:L151)/COUNT(T37:V37),2),"")</f>
        <v/>
      </c>
      <c r="X37" s="444" t="str">
        <f t="shared" si="1"/>
        <v/>
      </c>
      <c r="Y37" s="445" t="str">
        <f t="shared" si="2"/>
        <v/>
      </c>
      <c r="Z37" s="425"/>
      <c r="AA37" s="426"/>
      <c r="AB37" s="427" t="str">
        <f>IF(COUNT(C37:H37)=0,"",IF(Z37&lt;&gt;"", ROUND((2*NB!D36+Z37)/3, 2),ROUND(NB!D36, 2)))</f>
        <v/>
      </c>
      <c r="AC37" s="428" t="str">
        <f>IF(COUNT(J37:K37)+COUNT(U37:V37)&gt;0,ROUNDUP((SUMPRODUCT(NB!K110:L110,Notenbogen!J37:K37)+SUMPRODUCT(NB!K151:L151,Notenbogen!U37:V37))/(COUNT(J37:K37)+COUNT(U37:V37)),2),"")</f>
        <v/>
      </c>
      <c r="AD37" s="429" t="s">
        <v>162</v>
      </c>
      <c r="AE37" s="430"/>
      <c r="AF37" s="431"/>
      <c r="AG37" s="432"/>
    </row>
    <row r="38" spans="1:33" s="433" customFormat="1" ht="24.95" customHeight="1" thickBot="1" x14ac:dyDescent="0.25">
      <c r="A38" s="446">
        <v>35</v>
      </c>
      <c r="B38" s="447"/>
      <c r="C38" s="448" t="str">
        <f>I1Ext!C38</f>
        <v/>
      </c>
      <c r="D38" s="449" t="str">
        <f>I2Ext!C38</f>
        <v/>
      </c>
      <c r="E38" s="449" t="str">
        <f>I3Ext!C38</f>
        <v/>
      </c>
      <c r="F38" s="450"/>
      <c r="G38" s="450"/>
      <c r="H38" s="451"/>
      <c r="I38" s="452" t="str">
        <f>IF(COUNT(C38:H38)&gt;0,ROUNDUP(SUMPRODUCT(NB!D111:I111,Notenbogen!C38:H38,C73:H73)/SUMPRODUCT(NB!D111:I111,Notenbogen!C73:H73),2),"")</f>
        <v/>
      </c>
      <c r="J38" s="453" t="str">
        <f>I1SA!C38</f>
        <v/>
      </c>
      <c r="K38" s="454" t="str">
        <f>I2SA!C38</f>
        <v/>
      </c>
      <c r="L38" s="481" t="str">
        <f>IF(COUNT(I38:K38)&gt;0,ROUNDUP(SUMPRODUCT(I38:K38,NB!J111:L111)/COUNT(I38:K38),2),"")</f>
        <v/>
      </c>
      <c r="M38" s="456" t="str">
        <f t="shared" si="0"/>
        <v/>
      </c>
      <c r="N38" s="457" t="str">
        <f>II1Ext!C38</f>
        <v/>
      </c>
      <c r="O38" s="449" t="str">
        <f>II2Ext!C38</f>
        <v/>
      </c>
      <c r="P38" s="449" t="str">
        <f>II3Ext!C38</f>
        <v/>
      </c>
      <c r="Q38" s="450"/>
      <c r="R38" s="450"/>
      <c r="S38" s="451"/>
      <c r="T38" s="483" t="str">
        <f>IF(COUNT(N38:S38)&gt;0,ROUNDUP(SUMPRODUCT(NB!D152:I152,Notenbogen!N38:S38,N73:S73)/SUMPRODUCT(NB!D152:I152,Notenbogen!N73:S73),2),"")</f>
        <v/>
      </c>
      <c r="U38" s="453" t="str">
        <f>II1SA!C38</f>
        <v/>
      </c>
      <c r="V38" s="454" t="str">
        <f>II2SA!C38</f>
        <v/>
      </c>
      <c r="W38" s="455" t="str">
        <f>IF(COUNT(T38:V38)&gt;0,ROUNDUP(SUMPRODUCT(T38:V38,NB!J152:L152)/COUNT(T38:V38),2),"")</f>
        <v/>
      </c>
      <c r="X38" s="458" t="str">
        <f t="shared" si="1"/>
        <v/>
      </c>
      <c r="Y38" s="459" t="str">
        <f t="shared" si="2"/>
        <v/>
      </c>
      <c r="Z38" s="460"/>
      <c r="AA38" s="426"/>
      <c r="AB38" s="455" t="str">
        <f>IF(COUNT(C38:H38)=0,"",IF(Z38&lt;&gt;"", ROUND((2*NB!D37+Z38)/3, 2),ROUND(NB!D37, 2)))</f>
        <v/>
      </c>
      <c r="AC38" s="428" t="str">
        <f>IF(COUNT(J38:K38)+COUNT(U38:V38)&gt;0,ROUNDUP((SUMPRODUCT(NB!K111:L111,Notenbogen!J38:K38)+SUMPRODUCT(NB!K152:L152,Notenbogen!U38:V38))/(COUNT(J38:K38)+COUNT(U38:V38)),2),"")</f>
        <v/>
      </c>
      <c r="AD38" s="461" t="s">
        <v>162</v>
      </c>
      <c r="AE38" s="462"/>
      <c r="AF38" s="463"/>
      <c r="AG38" s="432"/>
    </row>
    <row r="39" spans="1:33" ht="20.100000000000001" customHeight="1" thickBot="1" x14ac:dyDescent="0.25">
      <c r="A39" s="395"/>
      <c r="B39" s="464" t="s">
        <v>47</v>
      </c>
      <c r="C39" s="465">
        <v>1</v>
      </c>
      <c r="D39" s="465">
        <v>1</v>
      </c>
      <c r="E39" s="465">
        <v>1</v>
      </c>
      <c r="F39" s="465">
        <v>1</v>
      </c>
      <c r="G39" s="465">
        <v>1</v>
      </c>
      <c r="H39" s="465">
        <v>1</v>
      </c>
      <c r="I39" s="403"/>
      <c r="J39" s="393"/>
      <c r="K39" s="393"/>
      <c r="L39" s="482"/>
      <c r="M39" s="393"/>
      <c r="N39" s="465">
        <v>1</v>
      </c>
      <c r="O39" s="465">
        <v>1</v>
      </c>
      <c r="P39" s="465">
        <v>1</v>
      </c>
      <c r="Q39" s="465">
        <v>1</v>
      </c>
      <c r="R39" s="465">
        <v>1</v>
      </c>
      <c r="S39" s="465">
        <v>1</v>
      </c>
      <c r="T39" s="482"/>
      <c r="U39" s="393"/>
      <c r="V39" s="393"/>
      <c r="W39" s="403"/>
      <c r="X39" s="393"/>
      <c r="Y39" s="393"/>
      <c r="Z39" s="466"/>
      <c r="AA39" s="392"/>
      <c r="AB39" s="398"/>
      <c r="AC39" s="391"/>
      <c r="AD39" s="398"/>
      <c r="AE39" s="398"/>
      <c r="AF39" s="398"/>
    </row>
    <row r="40" spans="1:33" x14ac:dyDescent="0.2">
      <c r="A40" s="398"/>
      <c r="B40" s="398"/>
      <c r="C40" s="398"/>
      <c r="D40" s="398"/>
      <c r="E40" s="398"/>
      <c r="F40" s="398"/>
      <c r="G40" s="398"/>
      <c r="H40" s="398"/>
      <c r="I40" s="398"/>
      <c r="J40" s="398"/>
      <c r="K40" s="398"/>
      <c r="L40" s="398"/>
      <c r="M40" s="398"/>
      <c r="N40" s="398"/>
      <c r="O40" s="398"/>
      <c r="P40" s="398"/>
      <c r="Q40" s="398"/>
      <c r="R40" s="398"/>
      <c r="S40" s="398"/>
      <c r="T40" s="398"/>
      <c r="U40" s="398"/>
      <c r="V40" s="398"/>
      <c r="W40" s="398"/>
      <c r="X40" s="398"/>
      <c r="Y40" s="398"/>
      <c r="Z40" s="398"/>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id="{220A1057-6BFC-42DD-9DAE-CD538BA55A10}">
            <xm:f>N(diNo!$D4)=1</xm:f>
            <x14:dxf>
              <fill>
                <patternFill>
                  <bgColor rgb="FFFFFF99"/>
                </patternFill>
              </fill>
            </x14:dxf>
          </x14:cfRule>
          <xm:sqref>AE4:AF38 AB4:AC38</xm:sqref>
        </x14:conditionalFormatting>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NB!$Y$6:$Y$21</xm:f>
          </x14:formula1>
          <xm:sqref>Z4:Z38</xm:sqref>
        </x14:dataValidation>
        <x14:dataValidation type="list" allowBlank="1" showInputMessage="1" showErrorMessage="1">
          <x14:formula1>
            <xm:f>NB!$A$3:$A$5</xm:f>
          </x14:formula1>
          <xm:sqref>AD4:AD38</xm:sqref>
        </x14:dataValidation>
        <x14:dataValidation type="list" allowBlank="1" showInputMessage="1" showErrorMessage="1">
          <x14:formula1>
            <xm:f>NB!$Y$6:$Y$21</xm:f>
          </x14:formula1>
          <xm:sqref>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4"/>
      <c r="I1" s="240"/>
      <c r="L1" s="386"/>
      <c r="M1" s="386"/>
    </row>
    <row r="2" spans="1:40" ht="12.75" customHeight="1" x14ac:dyDescent="0.2">
      <c r="A2" s="1" t="s">
        <v>163</v>
      </c>
      <c r="D2" s="1" t="s">
        <v>164</v>
      </c>
      <c r="T2" s="112" t="s">
        <v>49</v>
      </c>
      <c r="U2" s="16"/>
      <c r="V2" s="17"/>
      <c r="W2" s="500" t="s">
        <v>25</v>
      </c>
      <c r="X2" s="501"/>
      <c r="Y2" s="502" t="s">
        <v>18</v>
      </c>
      <c r="Z2" s="505" t="s">
        <v>26</v>
      </c>
      <c r="AA2" s="506"/>
      <c r="AB2" s="15"/>
      <c r="AC2" s="18" t="s">
        <v>6</v>
      </c>
      <c r="AD2" s="19" t="s">
        <v>18</v>
      </c>
      <c r="AE2" s="384"/>
      <c r="AF2" s="507" t="s">
        <v>27</v>
      </c>
      <c r="AG2" s="508"/>
      <c r="AH2" s="20"/>
      <c r="AI2" s="18" t="s">
        <v>6</v>
      </c>
      <c r="AJ2" s="19" t="s">
        <v>18</v>
      </c>
      <c r="AK2" s="21"/>
      <c r="AL2" s="509" t="s">
        <v>28</v>
      </c>
      <c r="AM2" s="510"/>
      <c r="AN2" s="22" t="s">
        <v>29</v>
      </c>
    </row>
    <row r="3" spans="1:40" ht="12.75" customHeight="1" x14ac:dyDescent="0.2">
      <c r="A3" s="1" t="s">
        <v>165</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511" t="s">
        <v>28</v>
      </c>
      <c r="X3" s="512"/>
      <c r="Y3" s="503"/>
      <c r="Z3" s="513" t="s">
        <v>31</v>
      </c>
      <c r="AA3" s="514"/>
      <c r="AB3" s="15"/>
      <c r="AC3" s="24"/>
      <c r="AD3" s="25"/>
      <c r="AE3" s="383"/>
      <c r="AF3" s="26" t="s">
        <v>32</v>
      </c>
      <c r="AG3" s="27" t="s">
        <v>33</v>
      </c>
      <c r="AH3" s="20"/>
      <c r="AI3" s="24"/>
      <c r="AJ3" s="25"/>
      <c r="AK3" s="383"/>
      <c r="AL3" s="383" t="s">
        <v>32</v>
      </c>
      <c r="AM3" s="241" t="s">
        <v>33</v>
      </c>
      <c r="AN3" s="28"/>
    </row>
    <row r="4" spans="1:40" ht="12.75" customHeight="1" x14ac:dyDescent="0.2">
      <c r="A4" s="467" t="s">
        <v>162</v>
      </c>
      <c r="D4" s="1" t="str">
        <f>IF(COUNT(Notenbogen!C5:H5)+COUNT(Notenbogen!N5:S5)&gt;0,ROUNDUP((SUMPRODUCT(NB!D78:I78,Notenbogen!C5:H5,Notenbogen!C40:H40)+SUMPRODUCT(NB!D119:I119,Notenbogen!N5:S5,Notenbogen!N40:S40))/(SUMPRODUCT(NB!D78:I78,Notenbogen!C40:H40)+SUMPRODUCT(NB!D119:I119,Notenbogen!N40:S40)),2),"")</f>
        <v/>
      </c>
      <c r="E4" s="386"/>
      <c r="F4" s="515"/>
      <c r="G4" s="515"/>
      <c r="H4" s="386"/>
      <c r="I4" s="386"/>
      <c r="J4" s="386"/>
      <c r="L4" s="515"/>
      <c r="M4" s="515"/>
      <c r="N4" s="515"/>
      <c r="O4" s="515"/>
      <c r="U4" s="29" t="s">
        <v>34</v>
      </c>
      <c r="V4" s="10" t="s">
        <v>25</v>
      </c>
      <c r="W4" s="385" t="s">
        <v>32</v>
      </c>
      <c r="X4" s="383" t="s">
        <v>33</v>
      </c>
      <c r="Y4" s="503"/>
      <c r="Z4" s="513" t="s">
        <v>35</v>
      </c>
      <c r="AA4" s="514"/>
      <c r="AB4" s="30"/>
      <c r="AC4" s="24"/>
      <c r="AD4" s="25"/>
      <c r="AE4" s="30"/>
      <c r="AF4" s="31"/>
      <c r="AG4" s="32"/>
      <c r="AH4" s="30"/>
      <c r="AI4" s="33"/>
      <c r="AJ4" s="34"/>
      <c r="AK4" s="35"/>
      <c r="AL4" s="36"/>
      <c r="AM4" s="37"/>
      <c r="AN4" s="38"/>
    </row>
    <row r="5" spans="1:40" s="106" customFormat="1" ht="12.75" customHeight="1" x14ac:dyDescent="0.2">
      <c r="A5" s="468" t="s">
        <v>166</v>
      </c>
      <c r="B5" s="469"/>
      <c r="C5" s="469"/>
      <c r="D5" s="1" t="str">
        <f>IF(COUNT(Notenbogen!C6:H6)+COUNT(Notenbogen!N6:S6)&gt;0,ROUNDUP((SUMPRODUCT(NB!D79:I79,Notenbogen!C6:H6,Notenbogen!C41:H41)+SUMPRODUCT(NB!D120:I120,Notenbogen!N6:S6,Notenbogen!N41:S41))/(SUMPRODUCT(NB!D79:I79,Notenbogen!C41:H41)+SUMPRODUCT(NB!D120:I120,Notenbogen!N41:S41)),2),"")</f>
        <v/>
      </c>
      <c r="E5" s="470"/>
      <c r="F5" s="470"/>
      <c r="G5" s="470"/>
      <c r="H5" s="470"/>
      <c r="I5" s="470"/>
      <c r="J5" s="470"/>
      <c r="K5" s="470"/>
      <c r="L5" s="470"/>
      <c r="M5" s="470"/>
      <c r="N5" s="470"/>
      <c r="O5" s="470"/>
      <c r="P5" s="470"/>
      <c r="Q5" s="470"/>
      <c r="R5" s="470"/>
      <c r="T5" s="116"/>
      <c r="U5" s="39"/>
      <c r="V5" s="11"/>
      <c r="W5" s="40"/>
      <c r="X5" s="36"/>
      <c r="Y5" s="504"/>
      <c r="Z5" s="77"/>
      <c r="AA5" s="28"/>
      <c r="AB5" s="30"/>
      <c r="AC5" s="33"/>
      <c r="AD5" s="34"/>
      <c r="AE5" s="35"/>
      <c r="AF5" s="41"/>
      <c r="AG5" s="42"/>
      <c r="AH5" s="30"/>
      <c r="AI5" s="43" t="s">
        <v>36</v>
      </c>
      <c r="AJ5" s="25">
        <v>15</v>
      </c>
      <c r="AK5" s="30"/>
      <c r="AL5" s="26">
        <f>I1SA!$H$30</f>
        <v>40</v>
      </c>
      <c r="AM5" s="242">
        <f>AL6+0.5</f>
        <v>38.5</v>
      </c>
      <c r="AN5" s="28">
        <f t="shared" ref="AN5:AN19" si="0">IF(AM5&gt;AL5,"ALARM",AL5-AL6)</f>
        <v>2</v>
      </c>
    </row>
    <row r="6" spans="1:40" s="106" customFormat="1" ht="12.75" customHeight="1" x14ac:dyDescent="0.2">
      <c r="B6" s="469"/>
      <c r="C6" s="469"/>
      <c r="D6" s="1" t="str">
        <f>IF(COUNT(Notenbogen!C7:H7)+COUNT(Notenbogen!N7:S7)&gt;0,ROUNDUP((SUMPRODUCT(NB!D80:I80,Notenbogen!C7:H7,Notenbogen!C42:H42)+SUMPRODUCT(NB!D121:I121,Notenbogen!N7:S7,Notenbogen!N42:S42))/(SUMPRODUCT(NB!D80:I80,Notenbogen!C42:H42)+SUMPRODUCT(NB!D121:I121,Notenbogen!N42:S42)),2),"")</f>
        <v/>
      </c>
      <c r="E6" s="470"/>
      <c r="F6" s="470"/>
      <c r="G6" s="470"/>
      <c r="H6" s="470"/>
      <c r="I6" s="470"/>
      <c r="J6" s="470"/>
      <c r="K6" s="470"/>
      <c r="L6" s="470"/>
      <c r="M6" s="470"/>
      <c r="N6" s="470"/>
      <c r="O6" s="470"/>
      <c r="P6" s="470"/>
      <c r="Q6" s="470"/>
      <c r="R6" s="470"/>
      <c r="T6" s="116"/>
      <c r="U6" s="70">
        <f>+I1SA!A43</f>
        <v>0</v>
      </c>
      <c r="V6" s="72">
        <f>IF(I1SA!$H$32="M",AN5+U6,AN48+U6)</f>
        <v>2.5</v>
      </c>
      <c r="W6" s="253">
        <f>I1SA!$H$30</f>
        <v>40</v>
      </c>
      <c r="X6" s="242">
        <f>W7+0.5</f>
        <v>38</v>
      </c>
      <c r="Y6" s="385">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2">
        <f t="shared" ref="AM6:AM18" si="2">AL7+0.5</f>
        <v>37</v>
      </c>
      <c r="AN6" s="28">
        <f t="shared" si="0"/>
        <v>1.5</v>
      </c>
    </row>
    <row r="7" spans="1:40" ht="12.75" customHeight="1" x14ac:dyDescent="0.2">
      <c r="B7" s="469"/>
      <c r="C7" s="471"/>
      <c r="D7" s="1" t="str">
        <f>IF(COUNT(Notenbogen!C8:H8)+COUNT(Notenbogen!N8:S8)&gt;0,ROUNDUP((SUMPRODUCT(NB!D81:I81,Notenbogen!C8:H8,Notenbogen!C43:H43)+SUMPRODUCT(NB!D122:I122,Notenbogen!N8:S8,Notenbogen!N43:S43))/(SUMPRODUCT(NB!D81:I81,Notenbogen!C43:H43)+SUMPRODUCT(NB!D122:I122,Notenbogen!N43:S43)),2),"")</f>
        <v/>
      </c>
      <c r="E7" s="470"/>
      <c r="F7" s="470"/>
      <c r="G7" s="470"/>
      <c r="H7" s="470"/>
      <c r="I7" s="470"/>
      <c r="J7" s="470"/>
      <c r="K7" s="110"/>
      <c r="L7" s="470"/>
      <c r="M7" s="470"/>
      <c r="N7" s="470"/>
      <c r="O7" s="470"/>
      <c r="P7" s="470"/>
      <c r="Q7" s="470"/>
      <c r="R7" s="470"/>
      <c r="U7" s="49">
        <f>+I1SA!A44</f>
        <v>0</v>
      </c>
      <c r="V7" s="73">
        <f>IF(I1SA!$H$32="M",AN6+U7,AN49+U7)</f>
        <v>2</v>
      </c>
      <c r="W7" s="253">
        <f t="shared" ref="W7:W21" si="3">W6-V6</f>
        <v>37.5</v>
      </c>
      <c r="X7" s="242">
        <f t="shared" ref="X7:X20" si="4">W8+0.5</f>
        <v>36</v>
      </c>
      <c r="Y7" s="385">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2">
        <f t="shared" si="2"/>
        <v>35</v>
      </c>
      <c r="AN7" s="38">
        <f t="shared" si="0"/>
        <v>2</v>
      </c>
    </row>
    <row r="8" spans="1:40" ht="12.75" customHeight="1" x14ac:dyDescent="0.2">
      <c r="B8" s="469"/>
      <c r="C8" s="471"/>
      <c r="D8" s="1" t="str">
        <f>IF(COUNT(Notenbogen!C9:H9)+COUNT(Notenbogen!N9:S9)&gt;0,ROUNDUP((SUMPRODUCT(NB!D82:I82,Notenbogen!C9:H9,Notenbogen!C44:H44)+SUMPRODUCT(NB!D123:I123,Notenbogen!N9:S9,Notenbogen!N44:S44))/(SUMPRODUCT(NB!D82:I82,Notenbogen!C44:H44)+SUMPRODUCT(NB!D123:I123,Notenbogen!N44:S44)),2),"")</f>
        <v/>
      </c>
      <c r="E8" s="470"/>
      <c r="F8" s="470"/>
      <c r="G8" s="470"/>
      <c r="H8" s="470"/>
      <c r="I8" s="470"/>
      <c r="J8" s="470"/>
      <c r="K8" s="110"/>
      <c r="L8" s="470"/>
      <c r="M8" s="470"/>
      <c r="N8" s="470"/>
      <c r="O8" s="470"/>
      <c r="P8" s="470"/>
      <c r="Q8" s="470"/>
      <c r="R8" s="470"/>
      <c r="U8" s="71">
        <f>+I1SA!A45</f>
        <v>0</v>
      </c>
      <c r="V8" s="73">
        <f>IF(I1SA!$H$32="M",AN7+U8,AN50+U8)</f>
        <v>2</v>
      </c>
      <c r="W8" s="254">
        <f t="shared" si="3"/>
        <v>35.5</v>
      </c>
      <c r="X8" s="242">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2">
        <f t="shared" si="2"/>
        <v>33.5</v>
      </c>
      <c r="AN8" s="28">
        <f t="shared" si="0"/>
        <v>1.5</v>
      </c>
    </row>
    <row r="9" spans="1:40" ht="12.75" customHeight="1" x14ac:dyDescent="0.2">
      <c r="B9" s="469"/>
      <c r="C9" s="471"/>
      <c r="D9" s="1" t="str">
        <f>IF(COUNT(Notenbogen!C10:H10)+COUNT(Notenbogen!N10:S10)&gt;0,ROUNDUP((SUMPRODUCT(NB!D83:I83,Notenbogen!C10:H10,Notenbogen!C45:H45)+SUMPRODUCT(NB!D124:I124,Notenbogen!N10:S10,Notenbogen!N45:S45))/(SUMPRODUCT(NB!D83:I83,Notenbogen!C45:H45)+SUMPRODUCT(NB!D124:I124,Notenbogen!N45:S45)),2),"")</f>
        <v/>
      </c>
      <c r="E9" s="470"/>
      <c r="F9" s="470"/>
      <c r="G9" s="470"/>
      <c r="H9" s="470"/>
      <c r="I9" s="470"/>
      <c r="J9" s="470"/>
      <c r="K9" s="110"/>
      <c r="L9" s="470"/>
      <c r="M9" s="470"/>
      <c r="N9" s="470"/>
      <c r="O9" s="470"/>
      <c r="P9" s="470"/>
      <c r="Q9" s="470"/>
      <c r="R9" s="470"/>
      <c r="U9" s="49">
        <f>+I1SA!A46</f>
        <v>0</v>
      </c>
      <c r="V9" s="72">
        <f>IF(I1SA!$H$32="M",AN8+U9,AN51+U9)</f>
        <v>2</v>
      </c>
      <c r="W9" s="253">
        <f t="shared" si="3"/>
        <v>33.5</v>
      </c>
      <c r="X9" s="242">
        <f t="shared" si="4"/>
        <v>32</v>
      </c>
      <c r="Y9" s="385">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2">
        <f t="shared" si="2"/>
        <v>32</v>
      </c>
      <c r="AN9" s="28">
        <f t="shared" si="0"/>
        <v>1.5</v>
      </c>
    </row>
    <row r="10" spans="1:40" ht="12.75" customHeight="1" x14ac:dyDescent="0.2">
      <c r="B10" s="469"/>
      <c r="C10" s="471"/>
      <c r="D10" s="1" t="str">
        <f>IF(COUNT(Notenbogen!C11:H11)+COUNT(Notenbogen!N11:S11)&gt;0,ROUNDUP((SUMPRODUCT(NB!D84:I84,Notenbogen!C11:H11,Notenbogen!C46:H46)+SUMPRODUCT(NB!D125:I125,Notenbogen!N11:S11,Notenbogen!N46:S46))/(SUMPRODUCT(NB!D84:I84,Notenbogen!C46:H46)+SUMPRODUCT(NB!D125:I125,Notenbogen!N46:S46)),2),"")</f>
        <v/>
      </c>
      <c r="E10" s="470"/>
      <c r="F10" s="470"/>
      <c r="G10" s="470"/>
      <c r="H10" s="470"/>
      <c r="I10" s="470"/>
      <c r="J10" s="470"/>
      <c r="K10" s="110"/>
      <c r="L10" s="470"/>
      <c r="M10" s="470"/>
      <c r="N10" s="470"/>
      <c r="O10" s="470"/>
      <c r="P10" s="470"/>
      <c r="Q10" s="470"/>
      <c r="R10" s="470"/>
      <c r="U10" s="49">
        <f>+I1SA!A47</f>
        <v>0</v>
      </c>
      <c r="V10" s="73">
        <f>IF(I1SA!$H$32="M",AN9+U10,AN52+U10)</f>
        <v>2</v>
      </c>
      <c r="W10" s="253">
        <f t="shared" si="3"/>
        <v>31.5</v>
      </c>
      <c r="X10" s="242">
        <f t="shared" si="4"/>
        <v>30</v>
      </c>
      <c r="Y10" s="385">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2">
        <f t="shared" si="2"/>
        <v>30</v>
      </c>
      <c r="AN10" s="38">
        <f t="shared" si="0"/>
        <v>2</v>
      </c>
    </row>
    <row r="11" spans="1:40" ht="12.75" customHeight="1" x14ac:dyDescent="0.2">
      <c r="B11" s="469"/>
      <c r="C11" s="471"/>
      <c r="D11" s="1" t="str">
        <f>IF(COUNT(Notenbogen!C12:H12)+COUNT(Notenbogen!N12:S12)&gt;0,ROUNDUP((SUMPRODUCT(NB!D85:I85,Notenbogen!C12:H12,Notenbogen!C47:H47)+SUMPRODUCT(NB!D126:I126,Notenbogen!N12:S12,Notenbogen!N47:S47))/(SUMPRODUCT(NB!D85:I85,Notenbogen!C47:H47)+SUMPRODUCT(NB!D126:I126,Notenbogen!N47:S47)),2),"")</f>
        <v/>
      </c>
      <c r="E11" s="470"/>
      <c r="F11" s="470"/>
      <c r="G11" s="470"/>
      <c r="H11" s="470"/>
      <c r="I11" s="470"/>
      <c r="J11" s="470"/>
      <c r="K11" s="110"/>
      <c r="L11" s="470"/>
      <c r="M11" s="470"/>
      <c r="N11" s="470"/>
      <c r="O11" s="470"/>
      <c r="P11" s="470"/>
      <c r="Q11" s="470"/>
      <c r="R11" s="470"/>
      <c r="U11" s="49">
        <f>+I1SA!A48</f>
        <v>0</v>
      </c>
      <c r="V11" s="75">
        <f>IF(I1SA!$H$32="M",AN10+U11,AN53+U11)</f>
        <v>2</v>
      </c>
      <c r="W11" s="254">
        <f t="shared" si="3"/>
        <v>29.5</v>
      </c>
      <c r="X11" s="242">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2">
        <f t="shared" si="2"/>
        <v>28.5</v>
      </c>
      <c r="AN11" s="28">
        <f t="shared" si="0"/>
        <v>1.5</v>
      </c>
    </row>
    <row r="12" spans="1:40" ht="12.75" customHeight="1" x14ac:dyDescent="0.2">
      <c r="B12" s="469"/>
      <c r="C12" s="471"/>
      <c r="D12" s="1" t="str">
        <f>IF(COUNT(Notenbogen!C13:H13)+COUNT(Notenbogen!N13:S13)&gt;0,ROUNDUP((SUMPRODUCT(NB!D86:I86,Notenbogen!C13:H13,Notenbogen!C48:H48)+SUMPRODUCT(NB!D127:I127,Notenbogen!N13:S13,Notenbogen!N48:S48))/(SUMPRODUCT(NB!D86:I86,Notenbogen!C48:H48)+SUMPRODUCT(NB!D127:I127,Notenbogen!N48:S48)),2),"")</f>
        <v/>
      </c>
      <c r="E12" s="470"/>
      <c r="F12" s="470"/>
      <c r="G12" s="470"/>
      <c r="H12" s="470"/>
      <c r="I12" s="470"/>
      <c r="J12" s="470"/>
      <c r="K12" s="110"/>
      <c r="L12" s="470"/>
      <c r="M12" s="470"/>
      <c r="N12" s="470"/>
      <c r="O12" s="470"/>
      <c r="P12" s="470"/>
      <c r="Q12" s="470"/>
      <c r="R12" s="470"/>
      <c r="U12" s="70">
        <f>+I1SA!A49</f>
        <v>0</v>
      </c>
      <c r="V12" s="73">
        <f>IF(I1SA!$H$32="M",AN11+U12,AN54+U12)</f>
        <v>1.5</v>
      </c>
      <c r="W12" s="253">
        <f t="shared" si="3"/>
        <v>27.5</v>
      </c>
      <c r="X12" s="242">
        <f t="shared" si="4"/>
        <v>26.5</v>
      </c>
      <c r="Y12" s="385">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2">
        <f t="shared" si="2"/>
        <v>26.5</v>
      </c>
      <c r="AN12" s="28">
        <f t="shared" si="0"/>
        <v>2</v>
      </c>
    </row>
    <row r="13" spans="1:40" ht="12.75" customHeight="1" x14ac:dyDescent="0.2">
      <c r="B13" s="469"/>
      <c r="C13" s="471"/>
      <c r="D13" s="1" t="str">
        <f>IF(COUNT(Notenbogen!C14:H14)+COUNT(Notenbogen!N14:S14)&gt;0,ROUNDUP((SUMPRODUCT(NB!D87:I87,Notenbogen!C14:H14,Notenbogen!C49:H49)+SUMPRODUCT(NB!D128:I128,Notenbogen!N14:S14,Notenbogen!N49:S49))/(SUMPRODUCT(NB!D87:I87,Notenbogen!C49:H49)+SUMPRODUCT(NB!D128:I128,Notenbogen!N49:S49)),2),"")</f>
        <v/>
      </c>
      <c r="E13" s="470"/>
      <c r="F13" s="470"/>
      <c r="G13" s="470"/>
      <c r="H13" s="470"/>
      <c r="I13" s="470"/>
      <c r="J13" s="470"/>
      <c r="K13" s="110"/>
      <c r="L13" s="470"/>
      <c r="M13" s="470"/>
      <c r="N13" s="470"/>
      <c r="O13" s="470"/>
      <c r="P13" s="470"/>
      <c r="Q13" s="470"/>
      <c r="R13" s="470"/>
      <c r="U13" s="49">
        <f>+I1SA!A50</f>
        <v>0</v>
      </c>
      <c r="V13" s="73">
        <f>IF(I1SA!$H$32="M",AN12+U13,AN55+U13)</f>
        <v>1</v>
      </c>
      <c r="W13" s="253">
        <f t="shared" si="3"/>
        <v>26</v>
      </c>
      <c r="X13" s="242">
        <f t="shared" si="4"/>
        <v>25.5</v>
      </c>
      <c r="Y13" s="385">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2">
        <f t="shared" si="2"/>
        <v>25</v>
      </c>
      <c r="AN13" s="38">
        <f t="shared" si="0"/>
        <v>1.5</v>
      </c>
    </row>
    <row r="14" spans="1:40" ht="12.75" customHeight="1" x14ac:dyDescent="0.2">
      <c r="B14" s="469"/>
      <c r="C14" s="471"/>
      <c r="D14" s="1" t="str">
        <f>IF(COUNT(Notenbogen!C15:H15)+COUNT(Notenbogen!N15:S15)&gt;0,ROUNDUP((SUMPRODUCT(NB!D88:I88,Notenbogen!C15:H15,Notenbogen!C50:H50)+SUMPRODUCT(NB!D129:I129,Notenbogen!N15:S15,Notenbogen!N50:S50))/(SUMPRODUCT(NB!D88:I88,Notenbogen!C50:H50)+SUMPRODUCT(NB!D129:I129,Notenbogen!N50:S50)),2),"")</f>
        <v/>
      </c>
      <c r="E14" s="470"/>
      <c r="F14" s="470"/>
      <c r="G14" s="470"/>
      <c r="H14" s="470"/>
      <c r="I14" s="470"/>
      <c r="J14" s="470"/>
      <c r="K14" s="110"/>
      <c r="L14" s="470"/>
      <c r="M14" s="470"/>
      <c r="N14" s="470"/>
      <c r="O14" s="470"/>
      <c r="P14" s="470"/>
      <c r="Q14" s="470"/>
      <c r="R14" s="470"/>
      <c r="U14" s="71">
        <f>+I1SA!A51</f>
        <v>0</v>
      </c>
      <c r="V14" s="73">
        <f>IF(I1SA!$H$32="M",AN13+U14,AN56+U14)</f>
        <v>1.5</v>
      </c>
      <c r="W14" s="254">
        <f t="shared" si="3"/>
        <v>25</v>
      </c>
      <c r="X14" s="242">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2">
        <f t="shared" si="2"/>
        <v>23.5</v>
      </c>
      <c r="AN14" s="28">
        <f t="shared" si="0"/>
        <v>1.5</v>
      </c>
    </row>
    <row r="15" spans="1:40" ht="12.75" customHeight="1" x14ac:dyDescent="0.2">
      <c r="B15" s="469"/>
      <c r="C15" s="471"/>
      <c r="D15" s="1" t="str">
        <f>IF(COUNT(Notenbogen!C16:H16)+COUNT(Notenbogen!N16:S16)&gt;0,ROUNDUP((SUMPRODUCT(NB!D89:I89,Notenbogen!C16:H16,Notenbogen!C51:H51)+SUMPRODUCT(NB!D130:I130,Notenbogen!N16:S16,Notenbogen!N51:S51))/(SUMPRODUCT(NB!D89:I89,Notenbogen!C51:H51)+SUMPRODUCT(NB!D130:I130,Notenbogen!N51:S51)),2),"")</f>
        <v/>
      </c>
      <c r="E15" s="470"/>
      <c r="F15" s="470"/>
      <c r="G15" s="470"/>
      <c r="H15" s="470"/>
      <c r="I15" s="470"/>
      <c r="J15" s="470"/>
      <c r="K15" s="110"/>
      <c r="L15" s="470"/>
      <c r="M15" s="470"/>
      <c r="N15" s="470"/>
      <c r="O15" s="470"/>
      <c r="P15" s="470"/>
      <c r="Q15" s="470"/>
      <c r="R15" s="470"/>
      <c r="U15" s="49">
        <f>+I1SA!A52</f>
        <v>0</v>
      </c>
      <c r="V15" s="72">
        <f>IF(I1SA!$H$32="M",AN14+U15,AN57+U15)</f>
        <v>1.5</v>
      </c>
      <c r="W15" s="253">
        <f t="shared" si="3"/>
        <v>23.5</v>
      </c>
      <c r="X15" s="242">
        <f t="shared" si="4"/>
        <v>22.5</v>
      </c>
      <c r="Y15" s="385">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2">
        <f t="shared" si="2"/>
        <v>21.5</v>
      </c>
      <c r="AN15" s="28">
        <f t="shared" si="0"/>
        <v>2</v>
      </c>
    </row>
    <row r="16" spans="1:40" ht="12.75" customHeight="1" x14ac:dyDescent="0.2">
      <c r="B16" s="469"/>
      <c r="C16" s="471"/>
      <c r="D16" s="1" t="str">
        <f>IF(COUNT(Notenbogen!C17:H17)+COUNT(Notenbogen!N17:S17)&gt;0,ROUNDUP((SUMPRODUCT(NB!D90:I90,Notenbogen!C17:H17,Notenbogen!C52:H52)+SUMPRODUCT(NB!D131:I131,Notenbogen!N17:S17,Notenbogen!N52:S52))/(SUMPRODUCT(NB!D90:I90,Notenbogen!C52:H52)+SUMPRODUCT(NB!D131:I131,Notenbogen!N52:S52)),2),"")</f>
        <v/>
      </c>
      <c r="E16" s="470"/>
      <c r="F16" s="470"/>
      <c r="G16" s="470"/>
      <c r="H16" s="470"/>
      <c r="I16" s="470"/>
      <c r="J16" s="470"/>
      <c r="K16" s="110"/>
      <c r="L16" s="470"/>
      <c r="M16" s="470"/>
      <c r="N16" s="470"/>
      <c r="O16" s="470"/>
      <c r="P16" s="470"/>
      <c r="Q16" s="470"/>
      <c r="R16" s="470"/>
      <c r="U16" s="49">
        <f>+I1SA!A53</f>
        <v>0</v>
      </c>
      <c r="V16" s="73">
        <f>IF(I1SA!$H$32="M",AN15+U16,AN58+U16)</f>
        <v>1.5</v>
      </c>
      <c r="W16" s="253">
        <f t="shared" si="3"/>
        <v>22</v>
      </c>
      <c r="X16" s="242">
        <f t="shared" si="4"/>
        <v>21</v>
      </c>
      <c r="Y16" s="385">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2">
        <f t="shared" si="2"/>
        <v>20</v>
      </c>
      <c r="AN16" s="38">
        <f t="shared" si="0"/>
        <v>1.5</v>
      </c>
    </row>
    <row r="17" spans="2:40" ht="12.75" customHeight="1" x14ac:dyDescent="0.2">
      <c r="B17" s="469"/>
      <c r="C17" s="471"/>
      <c r="D17" s="1" t="str">
        <f>IF(COUNT(Notenbogen!C18:H18)+COUNT(Notenbogen!N18:S18)&gt;0,ROUNDUP((SUMPRODUCT(NB!D91:I91,Notenbogen!C18:H18,Notenbogen!C53:H53)+SUMPRODUCT(NB!D132:I132,Notenbogen!N18:S18,Notenbogen!N53:S53))/(SUMPRODUCT(NB!D91:I91,Notenbogen!C53:H53)+SUMPRODUCT(NB!D132:I132,Notenbogen!N53:S53)),2),"")</f>
        <v/>
      </c>
      <c r="E17" s="470"/>
      <c r="F17" s="470"/>
      <c r="G17" s="470"/>
      <c r="H17" s="470"/>
      <c r="I17" s="470"/>
      <c r="J17" s="470"/>
      <c r="K17" s="110"/>
      <c r="L17" s="470"/>
      <c r="M17" s="470"/>
      <c r="N17" s="470"/>
      <c r="O17" s="470"/>
      <c r="P17" s="470"/>
      <c r="Q17" s="470"/>
      <c r="R17" s="470"/>
      <c r="U17" s="49">
        <f>+I1SA!A54</f>
        <v>0</v>
      </c>
      <c r="V17" s="75">
        <f>IF(I1SA!$H$32="M",AN16+U17,AN59+U17)</f>
        <v>1</v>
      </c>
      <c r="W17" s="254">
        <f t="shared" si="3"/>
        <v>20.5</v>
      </c>
      <c r="X17" s="242">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2">
        <f t="shared" si="2"/>
        <v>18</v>
      </c>
      <c r="AN17" s="28">
        <f t="shared" si="0"/>
        <v>2</v>
      </c>
    </row>
    <row r="18" spans="2:40" ht="12.75" customHeight="1" x14ac:dyDescent="0.2">
      <c r="B18" s="469"/>
      <c r="C18" s="471"/>
      <c r="D18" s="1" t="str">
        <f>IF(COUNT(Notenbogen!C19:H19)+COUNT(Notenbogen!N19:S19)&gt;0,ROUNDUP((SUMPRODUCT(NB!D92:I92,Notenbogen!C19:H19,Notenbogen!C54:H54)+SUMPRODUCT(NB!D133:I133,Notenbogen!N19:S19,Notenbogen!N54:S54))/(SUMPRODUCT(NB!D92:I92,Notenbogen!C54:H54)+SUMPRODUCT(NB!D133:I133,Notenbogen!N54:S54)),2),"")</f>
        <v/>
      </c>
      <c r="E18" s="470"/>
      <c r="F18" s="470"/>
      <c r="G18" s="470"/>
      <c r="H18" s="470"/>
      <c r="I18" s="470"/>
      <c r="J18" s="470"/>
      <c r="K18" s="110"/>
      <c r="L18" s="470"/>
      <c r="M18" s="470"/>
      <c r="N18" s="470"/>
      <c r="O18" s="470"/>
      <c r="P18" s="470"/>
      <c r="Q18" s="470"/>
      <c r="R18" s="470"/>
      <c r="U18" s="70">
        <f>+I1SA!A55</f>
        <v>0</v>
      </c>
      <c r="V18" s="72">
        <f>IF(I1SA!$H$32="M",AN17+U18,AN60+U18)</f>
        <v>2</v>
      </c>
      <c r="W18" s="253">
        <f t="shared" si="3"/>
        <v>19.5</v>
      </c>
      <c r="X18" s="242">
        <f t="shared" si="4"/>
        <v>18</v>
      </c>
      <c r="Y18" s="385">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2">
        <f t="shared" si="2"/>
        <v>16</v>
      </c>
      <c r="AN18" s="28">
        <f t="shared" si="0"/>
        <v>2</v>
      </c>
    </row>
    <row r="19" spans="2:40" ht="12.75" customHeight="1" x14ac:dyDescent="0.2">
      <c r="B19" s="469"/>
      <c r="C19" s="471"/>
      <c r="D19" s="1" t="str">
        <f>IF(COUNT(Notenbogen!C20:H20)+COUNT(Notenbogen!N20:S20)&gt;0,ROUNDUP((SUMPRODUCT(NB!D93:I93,Notenbogen!C20:H20,Notenbogen!C55:H55)+SUMPRODUCT(NB!D134:I134,Notenbogen!N20:S20,Notenbogen!N55:S55))/(SUMPRODUCT(NB!D93:I93,Notenbogen!C55:H55)+SUMPRODUCT(NB!D134:I134,Notenbogen!N55:S55)),2),"")</f>
        <v/>
      </c>
      <c r="E19" s="470"/>
      <c r="F19" s="470"/>
      <c r="G19" s="470"/>
      <c r="H19" s="470"/>
      <c r="I19" s="470"/>
      <c r="J19" s="470"/>
      <c r="K19" s="110"/>
      <c r="L19" s="470"/>
      <c r="M19" s="470"/>
      <c r="N19" s="470"/>
      <c r="O19" s="470"/>
      <c r="P19" s="470"/>
      <c r="Q19" s="470"/>
      <c r="R19" s="470"/>
      <c r="U19" s="49">
        <f>+I1SA!A56</f>
        <v>0</v>
      </c>
      <c r="V19" s="73">
        <f>IF(I1SA!$H$32="M",AN18+U19,AN61+U19)</f>
        <v>2</v>
      </c>
      <c r="W19" s="253">
        <f t="shared" si="3"/>
        <v>17.5</v>
      </c>
      <c r="X19" s="242">
        <f t="shared" si="4"/>
        <v>16</v>
      </c>
      <c r="Y19" s="385">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8">
        <f>ROUNDUP(I1SA!$H$30*(I1SA!$H$34/500),1)*5</f>
        <v>14.000000000000002</v>
      </c>
      <c r="AN19" s="38">
        <f t="shared" si="0"/>
        <v>1.9999999999999982</v>
      </c>
    </row>
    <row r="20" spans="2:40" ht="12.75" customHeight="1" thickBot="1" x14ac:dyDescent="0.25">
      <c r="B20" s="469"/>
      <c r="C20" s="471"/>
      <c r="D20" s="1" t="str">
        <f>IF(COUNT(Notenbogen!C21:H21)+COUNT(Notenbogen!N21:S21)&gt;0,ROUNDUP((SUMPRODUCT(NB!D94:I94,Notenbogen!C21:H21,Notenbogen!C56:H56)+SUMPRODUCT(NB!D135:I135,Notenbogen!N21:S21,Notenbogen!N56:S56))/(SUMPRODUCT(NB!D94:I94,Notenbogen!C56:H56)+SUMPRODUCT(NB!D135:I135,Notenbogen!N56:S56)),2),"")</f>
        <v/>
      </c>
      <c r="E20" s="470"/>
      <c r="F20" s="470"/>
      <c r="G20" s="470"/>
      <c r="H20" s="470"/>
      <c r="I20" s="470"/>
      <c r="J20" s="470"/>
      <c r="K20" s="110"/>
      <c r="L20" s="470"/>
      <c r="M20" s="470"/>
      <c r="N20" s="470"/>
      <c r="O20" s="470"/>
      <c r="P20" s="470"/>
      <c r="Q20" s="470"/>
      <c r="R20" s="470"/>
      <c r="U20" s="71">
        <f>+I1SA!A57</f>
        <v>0</v>
      </c>
      <c r="V20" s="75">
        <f>IF(I1SA!$H$32="M",AN19+U20,AN62+U20)</f>
        <v>1.9999999999999982</v>
      </c>
      <c r="W20" s="254">
        <f t="shared" si="3"/>
        <v>15.5</v>
      </c>
      <c r="X20" s="242">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9">
        <v>0</v>
      </c>
      <c r="AN20" s="59">
        <f>IF(AM20&gt;AM19,"ALARM",AL20)</f>
        <v>13.500000000000002</v>
      </c>
    </row>
    <row r="21" spans="2:40" ht="12.75" customHeight="1" thickBot="1" x14ac:dyDescent="0.25">
      <c r="B21" s="469"/>
      <c r="C21" s="471"/>
      <c r="D21" s="1" t="str">
        <f>IF(COUNT(Notenbogen!C22:H22)+COUNT(Notenbogen!N22:S22)&gt;0,ROUNDUP((SUMPRODUCT(NB!D95:I95,Notenbogen!C22:H22,Notenbogen!C57:H57)+SUMPRODUCT(NB!D136:I136,Notenbogen!N22:S22,Notenbogen!N57:S57))/(SUMPRODUCT(NB!D95:I95,Notenbogen!C57:H57)+SUMPRODUCT(NB!D136:I136,Notenbogen!N57:S57)),2),"")</f>
        <v/>
      </c>
      <c r="E21" s="470"/>
      <c r="F21" s="470"/>
      <c r="G21" s="470"/>
      <c r="H21" s="470"/>
      <c r="I21" s="470"/>
      <c r="J21" s="470"/>
      <c r="K21" s="110"/>
      <c r="L21" s="470"/>
      <c r="M21" s="470"/>
      <c r="N21" s="470"/>
      <c r="O21" s="470"/>
      <c r="P21" s="470"/>
      <c r="Q21" s="470"/>
      <c r="R21" s="470"/>
      <c r="U21" s="12" t="s">
        <v>37</v>
      </c>
      <c r="V21" s="74">
        <f>IF(I1SA!$H$32="M",+W21,W63)</f>
        <v>0</v>
      </c>
      <c r="W21" s="255">
        <f t="shared" si="3"/>
        <v>13.500000000000002</v>
      </c>
      <c r="X21" s="242">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69"/>
      <c r="C22" s="471"/>
      <c r="D22" s="1" t="str">
        <f>IF(COUNT(Notenbogen!C23:H23)+COUNT(Notenbogen!N23:S23)&gt;0,ROUNDUP((SUMPRODUCT(NB!D96:I96,Notenbogen!C23:H23,Notenbogen!C58:H58)+SUMPRODUCT(NB!D137:I137,Notenbogen!N23:S23,Notenbogen!N58:S58))/(SUMPRODUCT(NB!D96:I96,Notenbogen!C58:H58)+SUMPRODUCT(NB!D137:I137,Notenbogen!N58:S58)),2),"")</f>
        <v/>
      </c>
      <c r="E22" s="470"/>
      <c r="F22" s="470"/>
      <c r="G22" s="470"/>
      <c r="H22" s="470"/>
      <c r="I22" s="470"/>
      <c r="J22" s="470"/>
      <c r="K22" s="110"/>
      <c r="L22" s="470"/>
      <c r="M22" s="470"/>
      <c r="N22" s="470"/>
      <c r="O22" s="470"/>
      <c r="P22" s="470"/>
      <c r="Q22" s="470"/>
      <c r="R22" s="470"/>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69"/>
      <c r="C23" s="471"/>
      <c r="D23" s="1" t="str">
        <f>IF(COUNT(Notenbogen!C24:H24)+COUNT(Notenbogen!N24:S24)&gt;0,ROUNDUP((SUMPRODUCT(NB!D97:I97,Notenbogen!C24:H24,Notenbogen!C59:H59)+SUMPRODUCT(NB!D138:I138,Notenbogen!N24:S24,Notenbogen!N59:S59))/(SUMPRODUCT(NB!D97:I97,Notenbogen!C59:H59)+SUMPRODUCT(NB!D138:I138,Notenbogen!N59:S59)),2),"")</f>
        <v/>
      </c>
      <c r="E23" s="470"/>
      <c r="F23" s="470"/>
      <c r="G23" s="470"/>
      <c r="H23" s="470"/>
      <c r="I23" s="470"/>
      <c r="J23" s="470"/>
      <c r="K23" s="110"/>
      <c r="L23" s="470"/>
      <c r="M23" s="470"/>
      <c r="N23" s="470"/>
      <c r="O23" s="470"/>
      <c r="P23" s="470"/>
      <c r="Q23" s="470"/>
      <c r="R23" s="470"/>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69"/>
      <c r="C24" s="471"/>
      <c r="D24" s="1" t="str">
        <f>IF(COUNT(Notenbogen!C25:H25)+COUNT(Notenbogen!N25:S25)&gt;0,ROUNDUP((SUMPRODUCT(NB!D98:I98,Notenbogen!C25:H25,Notenbogen!C60:H60)+SUMPRODUCT(NB!D139:I139,Notenbogen!N25:S25,Notenbogen!N60:S60))/(SUMPRODUCT(NB!D98:I98,Notenbogen!C60:H60)+SUMPRODUCT(NB!D139:I139,Notenbogen!N60:S60)),2),"")</f>
        <v/>
      </c>
      <c r="E24" s="470"/>
      <c r="F24" s="470"/>
      <c r="G24" s="470"/>
      <c r="H24" s="470"/>
      <c r="I24" s="470"/>
      <c r="J24" s="470"/>
      <c r="K24" s="110"/>
      <c r="L24" s="470"/>
      <c r="M24" s="470"/>
      <c r="N24" s="470"/>
      <c r="O24" s="470"/>
      <c r="P24" s="470"/>
      <c r="Q24" s="470"/>
      <c r="R24" s="470"/>
      <c r="U24" s="15"/>
      <c r="V24" s="247">
        <f t="shared" ref="V24:V39" si="5">+X24</f>
        <v>0</v>
      </c>
      <c r="W24" s="247">
        <f>+W21</f>
        <v>13.500000000000002</v>
      </c>
      <c r="X24" s="247">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69"/>
      <c r="C25" s="471"/>
      <c r="D25" s="1" t="str">
        <f>IF(COUNT(Notenbogen!C26:H26)+COUNT(Notenbogen!N26:S26)&gt;0,ROUNDUP((SUMPRODUCT(NB!D99:I99,Notenbogen!C26:H26,Notenbogen!C61:H61)+SUMPRODUCT(NB!D140:I140,Notenbogen!N26:S26,Notenbogen!N61:S61))/(SUMPRODUCT(NB!D99:I99,Notenbogen!C61:H61)+SUMPRODUCT(NB!D140:I140,Notenbogen!N61:S61)),2),"")</f>
        <v/>
      </c>
      <c r="E25" s="470"/>
      <c r="F25" s="470"/>
      <c r="G25" s="470"/>
      <c r="H25" s="470"/>
      <c r="I25" s="470"/>
      <c r="J25" s="470"/>
      <c r="K25" s="110"/>
      <c r="L25" s="470"/>
      <c r="M25" s="470"/>
      <c r="N25" s="470"/>
      <c r="O25" s="470"/>
      <c r="P25" s="470"/>
      <c r="Q25" s="470"/>
      <c r="R25" s="470"/>
      <c r="U25" s="15"/>
      <c r="V25" s="247">
        <f t="shared" si="5"/>
        <v>14.000000000000002</v>
      </c>
      <c r="W25" s="247">
        <f>+W20</f>
        <v>15.5</v>
      </c>
      <c r="X25" s="247">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69"/>
      <c r="C26" s="471"/>
      <c r="D26" s="1" t="str">
        <f>IF(COUNT(Notenbogen!C27:H27)+COUNT(Notenbogen!N27:S27)&gt;0,ROUNDUP((SUMPRODUCT(NB!D100:I100,Notenbogen!C27:H27,Notenbogen!C62:H62)+SUMPRODUCT(NB!D141:I141,Notenbogen!N27:S27,Notenbogen!N62:S62))/(SUMPRODUCT(NB!D100:I100,Notenbogen!C62:H62)+SUMPRODUCT(NB!D141:I141,Notenbogen!N62:S62)),2),"")</f>
        <v/>
      </c>
      <c r="E26" s="470"/>
      <c r="F26" s="470"/>
      <c r="G26" s="470"/>
      <c r="H26" s="470"/>
      <c r="I26" s="470"/>
      <c r="J26" s="470"/>
      <c r="K26" s="110"/>
      <c r="L26" s="470"/>
      <c r="M26" s="470"/>
      <c r="N26" s="470"/>
      <c r="O26" s="470"/>
      <c r="P26" s="470"/>
      <c r="Q26" s="470"/>
      <c r="R26" s="470"/>
      <c r="U26" s="15"/>
      <c r="V26" s="247">
        <f t="shared" si="5"/>
        <v>16</v>
      </c>
      <c r="W26" s="247">
        <f>+W19</f>
        <v>17.5</v>
      </c>
      <c r="X26" s="247">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69"/>
      <c r="C27" s="471"/>
      <c r="D27" s="1" t="str">
        <f>IF(COUNT(Notenbogen!C28:H28)+COUNT(Notenbogen!N28:S28)&gt;0,ROUNDUP((SUMPRODUCT(NB!D101:I101,Notenbogen!C28:H28,Notenbogen!C63:H63)+SUMPRODUCT(NB!D142:I142,Notenbogen!N28:S28,Notenbogen!N63:S63))/(SUMPRODUCT(NB!D101:I101,Notenbogen!C63:H63)+SUMPRODUCT(NB!D142:I142,Notenbogen!N63:S63)),2),"")</f>
        <v/>
      </c>
      <c r="E27" s="470"/>
      <c r="F27" s="470"/>
      <c r="G27" s="470"/>
      <c r="H27" s="470"/>
      <c r="I27" s="470"/>
      <c r="J27" s="470"/>
      <c r="K27" s="110"/>
      <c r="L27" s="470"/>
      <c r="M27" s="470"/>
      <c r="N27" s="470"/>
      <c r="O27" s="470"/>
      <c r="P27" s="470"/>
      <c r="Q27" s="470"/>
      <c r="R27" s="470"/>
      <c r="U27" s="15"/>
      <c r="V27" s="247">
        <f t="shared" si="5"/>
        <v>18</v>
      </c>
      <c r="W27" s="247">
        <f>+W18</f>
        <v>19.5</v>
      </c>
      <c r="X27" s="247">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69"/>
      <c r="C28" s="471"/>
      <c r="D28" s="1" t="str">
        <f>IF(COUNT(Notenbogen!C29:H29)+COUNT(Notenbogen!N29:S29)&gt;0,ROUNDUP((SUMPRODUCT(NB!D102:I102,Notenbogen!C29:H29,Notenbogen!C64:H64)+SUMPRODUCT(NB!D143:I143,Notenbogen!N29:S29,Notenbogen!N64:S64))/(SUMPRODUCT(NB!D102:I102,Notenbogen!C64:H64)+SUMPRODUCT(NB!D143:I143,Notenbogen!N64:S64)),2),"")</f>
        <v/>
      </c>
      <c r="E28" s="470"/>
      <c r="F28" s="470"/>
      <c r="G28" s="470"/>
      <c r="H28" s="470"/>
      <c r="I28" s="470"/>
      <c r="J28" s="470"/>
      <c r="K28" s="110"/>
      <c r="L28" s="470"/>
      <c r="M28" s="470"/>
      <c r="N28" s="470"/>
      <c r="O28" s="470"/>
      <c r="P28" s="470"/>
      <c r="Q28" s="470"/>
      <c r="R28" s="470"/>
      <c r="U28" s="15"/>
      <c r="V28" s="247">
        <f t="shared" si="5"/>
        <v>20</v>
      </c>
      <c r="W28" s="247">
        <f>+W17</f>
        <v>20.5</v>
      </c>
      <c r="X28" s="247">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69"/>
      <c r="C29" s="471"/>
      <c r="D29" s="1" t="str">
        <f>IF(COUNT(Notenbogen!C30:H30)+COUNT(Notenbogen!N30:S30)&gt;0,ROUNDUP((SUMPRODUCT(NB!D103:I103,Notenbogen!C30:H30,Notenbogen!C65:H65)+SUMPRODUCT(NB!D144:I144,Notenbogen!N30:S30,Notenbogen!N65:S65))/(SUMPRODUCT(NB!D103:I103,Notenbogen!C65:H65)+SUMPRODUCT(NB!D144:I144,Notenbogen!N65:S65)),2),"")</f>
        <v/>
      </c>
      <c r="E29" s="470"/>
      <c r="F29" s="470"/>
      <c r="G29" s="470"/>
      <c r="H29" s="470"/>
      <c r="I29" s="470"/>
      <c r="J29" s="470"/>
      <c r="K29" s="110"/>
      <c r="L29" s="470"/>
      <c r="M29" s="470"/>
      <c r="N29" s="470"/>
      <c r="O29" s="470"/>
      <c r="P29" s="470"/>
      <c r="Q29" s="470"/>
      <c r="R29" s="470"/>
      <c r="U29" s="15"/>
      <c r="V29" s="247">
        <f t="shared" si="5"/>
        <v>21</v>
      </c>
      <c r="W29" s="247">
        <f>+W16</f>
        <v>22</v>
      </c>
      <c r="X29" s="247">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69"/>
      <c r="C30" s="471"/>
      <c r="D30" s="1" t="str">
        <f>IF(COUNT(Notenbogen!C31:H31)+COUNT(Notenbogen!N31:S31)&gt;0,ROUNDUP((SUMPRODUCT(NB!D104:I104,Notenbogen!C31:H31,Notenbogen!C66:H66)+SUMPRODUCT(NB!D145:I145,Notenbogen!N31:S31,Notenbogen!N66:S66))/(SUMPRODUCT(NB!D104:I104,Notenbogen!C66:H66)+SUMPRODUCT(NB!D145:I145,Notenbogen!N66:S66)),2),"")</f>
        <v/>
      </c>
      <c r="E30" s="470"/>
      <c r="F30" s="470"/>
      <c r="G30" s="470"/>
      <c r="H30" s="470"/>
      <c r="I30" s="470"/>
      <c r="J30" s="470"/>
      <c r="K30" s="110"/>
      <c r="L30" s="470"/>
      <c r="M30" s="470"/>
      <c r="N30" s="470"/>
      <c r="O30" s="470"/>
      <c r="P30" s="470"/>
      <c r="Q30" s="470"/>
      <c r="R30" s="470"/>
      <c r="U30" s="15"/>
      <c r="V30" s="247">
        <f t="shared" si="5"/>
        <v>22.5</v>
      </c>
      <c r="W30" s="247">
        <f>+W15</f>
        <v>23.5</v>
      </c>
      <c r="X30" s="247">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69"/>
      <c r="C31" s="471"/>
      <c r="D31" s="1" t="str">
        <f>IF(COUNT(Notenbogen!C32:H32)+COUNT(Notenbogen!N32:S32)&gt;0,ROUNDUP((SUMPRODUCT(NB!D105:I105,Notenbogen!C32:H32,Notenbogen!C67:H67)+SUMPRODUCT(NB!D146:I146,Notenbogen!N32:S32,Notenbogen!N67:S67))/(SUMPRODUCT(NB!D105:I105,Notenbogen!C67:H67)+SUMPRODUCT(NB!D146:I146,Notenbogen!N67:S67)),2),"")</f>
        <v/>
      </c>
      <c r="E31" s="470"/>
      <c r="F31" s="470"/>
      <c r="G31" s="470"/>
      <c r="H31" s="470"/>
      <c r="I31" s="470"/>
      <c r="J31" s="470"/>
      <c r="K31" s="110"/>
      <c r="L31" s="470"/>
      <c r="M31" s="470"/>
      <c r="N31" s="470"/>
      <c r="O31" s="470"/>
      <c r="P31" s="470"/>
      <c r="Q31" s="470"/>
      <c r="R31" s="470"/>
      <c r="U31" s="15"/>
      <c r="V31" s="247">
        <f t="shared" si="5"/>
        <v>24</v>
      </c>
      <c r="W31" s="247">
        <f>+W14</f>
        <v>25</v>
      </c>
      <c r="X31" s="247">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69"/>
      <c r="C32" s="471"/>
      <c r="D32" s="1" t="str">
        <f>IF(COUNT(Notenbogen!C33:H33)+COUNT(Notenbogen!N33:S33)&gt;0,ROUNDUP((SUMPRODUCT(NB!D106:I106,Notenbogen!C33:H33,Notenbogen!C68:H68)+SUMPRODUCT(NB!D147:I147,Notenbogen!N33:S33,Notenbogen!N68:S68))/(SUMPRODUCT(NB!D106:I106,Notenbogen!C68:H68)+SUMPRODUCT(NB!D147:I147,Notenbogen!N68:S68)),2),"")</f>
        <v/>
      </c>
      <c r="E32" s="470"/>
      <c r="F32" s="470"/>
      <c r="G32" s="470"/>
      <c r="H32" s="470"/>
      <c r="I32" s="470"/>
      <c r="J32" s="470"/>
      <c r="K32" s="110"/>
      <c r="L32" s="470"/>
      <c r="M32" s="470"/>
      <c r="N32" s="470"/>
      <c r="O32" s="470"/>
      <c r="P32" s="470"/>
      <c r="Q32" s="470"/>
      <c r="R32" s="470"/>
      <c r="U32" s="15"/>
      <c r="V32" s="247">
        <f t="shared" si="5"/>
        <v>25.5</v>
      </c>
      <c r="W32" s="247">
        <f>+W13</f>
        <v>26</v>
      </c>
      <c r="X32" s="247">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69"/>
      <c r="C33" s="471"/>
      <c r="D33" s="1" t="str">
        <f>IF(COUNT(Notenbogen!C34:H34)+COUNT(Notenbogen!N34:S34)&gt;0,ROUNDUP((SUMPRODUCT(NB!D107:I107,Notenbogen!C34:H34,Notenbogen!C69:H69)+SUMPRODUCT(NB!D148:I148,Notenbogen!N34:S34,Notenbogen!N69:S69))/(SUMPRODUCT(NB!D107:I107,Notenbogen!C69:H69)+SUMPRODUCT(NB!D148:I148,Notenbogen!N69:S69)),2),"")</f>
        <v/>
      </c>
      <c r="E33" s="470"/>
      <c r="F33" s="470"/>
      <c r="G33" s="470"/>
      <c r="H33" s="470"/>
      <c r="I33" s="470"/>
      <c r="J33" s="470"/>
      <c r="K33" s="110"/>
      <c r="L33" s="470"/>
      <c r="M33" s="470"/>
      <c r="N33" s="470"/>
      <c r="O33" s="470"/>
      <c r="P33" s="470"/>
      <c r="Q33" s="470"/>
      <c r="R33" s="470"/>
      <c r="U33" s="15"/>
      <c r="V33" s="247">
        <f t="shared" si="5"/>
        <v>26.5</v>
      </c>
      <c r="W33" s="247">
        <f>+W12</f>
        <v>27.5</v>
      </c>
      <c r="X33" s="247">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69"/>
      <c r="C34" s="471"/>
      <c r="D34" s="1" t="str">
        <f>IF(COUNT(Notenbogen!C35:H35)+COUNT(Notenbogen!N35:S35)&gt;0,ROUNDUP((SUMPRODUCT(NB!D108:I108,Notenbogen!C35:H35,Notenbogen!C70:H70)+SUMPRODUCT(NB!D149:I149,Notenbogen!N35:S35,Notenbogen!N70:S70))/(SUMPRODUCT(NB!D108:I108,Notenbogen!C70:H70)+SUMPRODUCT(NB!D149:I149,Notenbogen!N70:S70)),2),"")</f>
        <v/>
      </c>
      <c r="E34" s="470"/>
      <c r="F34" s="470"/>
      <c r="G34" s="470"/>
      <c r="H34" s="470"/>
      <c r="I34" s="470"/>
      <c r="J34" s="470"/>
      <c r="K34" s="110"/>
      <c r="L34" s="470"/>
      <c r="M34" s="470"/>
      <c r="N34" s="470"/>
      <c r="O34" s="470"/>
      <c r="P34" s="470"/>
      <c r="Q34" s="470"/>
      <c r="R34" s="470"/>
      <c r="U34" s="15"/>
      <c r="V34" s="247">
        <f t="shared" si="5"/>
        <v>28</v>
      </c>
      <c r="W34" s="247">
        <f>+W11</f>
        <v>29.5</v>
      </c>
      <c r="X34" s="247">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69"/>
      <c r="C35" s="471"/>
      <c r="D35" s="1" t="str">
        <f>IF(COUNT(Notenbogen!C36:H36)+COUNT(Notenbogen!N36:S36)&gt;0,ROUNDUP((SUMPRODUCT(NB!D109:I109,Notenbogen!C36:H36,Notenbogen!C71:H71)+SUMPRODUCT(NB!D150:I150,Notenbogen!N36:S36,Notenbogen!N71:S71))/(SUMPRODUCT(NB!D109:I109,Notenbogen!C71:H71)+SUMPRODUCT(NB!D150:I150,Notenbogen!N71:S71)),2),"")</f>
        <v/>
      </c>
      <c r="E35" s="470"/>
      <c r="F35" s="470"/>
      <c r="G35" s="470"/>
      <c r="H35" s="470"/>
      <c r="I35" s="470"/>
      <c r="J35" s="470"/>
      <c r="K35" s="110"/>
      <c r="L35" s="470"/>
      <c r="M35" s="470"/>
      <c r="N35" s="470"/>
      <c r="O35" s="470"/>
      <c r="P35" s="470"/>
      <c r="Q35" s="470"/>
      <c r="R35" s="470"/>
      <c r="U35" s="15"/>
      <c r="V35" s="247">
        <f t="shared" si="5"/>
        <v>30</v>
      </c>
      <c r="W35" s="247">
        <f>+W10</f>
        <v>31.5</v>
      </c>
      <c r="X35" s="247">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69"/>
      <c r="C36" s="471"/>
      <c r="D36" s="1" t="str">
        <f>IF(COUNT(Notenbogen!C37:H37)+COUNT(Notenbogen!N37:S37)&gt;0,ROUNDUP((SUMPRODUCT(NB!D110:I110,Notenbogen!C37:H37,Notenbogen!C72:H72)+SUMPRODUCT(NB!D151:I151,Notenbogen!N37:S37,Notenbogen!N72:S72))/(SUMPRODUCT(NB!D110:I110,Notenbogen!C72:H72)+SUMPRODUCT(NB!D151:I151,Notenbogen!N72:S72)),2),"")</f>
        <v/>
      </c>
      <c r="E36" s="470"/>
      <c r="F36" s="470"/>
      <c r="G36" s="470"/>
      <c r="H36" s="470"/>
      <c r="I36" s="470"/>
      <c r="J36" s="470"/>
      <c r="K36" s="110"/>
      <c r="L36" s="470"/>
      <c r="M36" s="470"/>
      <c r="N36" s="470"/>
      <c r="O36" s="470"/>
      <c r="P36" s="470"/>
      <c r="Q36" s="470"/>
      <c r="R36" s="470"/>
      <c r="U36" s="15"/>
      <c r="V36" s="247">
        <f t="shared" si="5"/>
        <v>32</v>
      </c>
      <c r="W36" s="247">
        <f>+W9</f>
        <v>33.5</v>
      </c>
      <c r="X36" s="247">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69"/>
      <c r="C37" s="471"/>
      <c r="D37" s="1" t="str">
        <f>IF(COUNT(Notenbogen!C38:H38)+COUNT(Notenbogen!N38:S38)&gt;0,ROUNDUP((SUMPRODUCT(NB!D111:I111,Notenbogen!C38:H38,Notenbogen!C73:H73)+SUMPRODUCT(NB!D152:I152,Notenbogen!N38:S38,Notenbogen!N73:S73))/(SUMPRODUCT(NB!D111:I111,Notenbogen!C73:H73)+SUMPRODUCT(NB!D152:I152,Notenbogen!N73:S73)),2),"")</f>
        <v/>
      </c>
      <c r="E37" s="470"/>
      <c r="F37" s="470"/>
      <c r="G37" s="470"/>
      <c r="H37" s="470"/>
      <c r="I37" s="470"/>
      <c r="J37" s="470"/>
      <c r="K37" s="110"/>
      <c r="L37" s="470"/>
      <c r="M37" s="470"/>
      <c r="N37" s="470"/>
      <c r="O37" s="470"/>
      <c r="P37" s="470"/>
      <c r="Q37" s="470"/>
      <c r="R37" s="470"/>
      <c r="U37" s="15"/>
      <c r="V37" s="247">
        <f t="shared" si="5"/>
        <v>34</v>
      </c>
      <c r="W37" s="247">
        <f>+W8</f>
        <v>35.5</v>
      </c>
      <c r="X37" s="247">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69"/>
      <c r="C38" s="471"/>
      <c r="D38" s="469"/>
      <c r="E38" s="470"/>
      <c r="F38" s="470"/>
      <c r="G38" s="470"/>
      <c r="H38" s="470"/>
      <c r="I38" s="470"/>
      <c r="J38" s="470"/>
      <c r="K38" s="110"/>
      <c r="L38" s="470"/>
      <c r="M38" s="470"/>
      <c r="N38" s="470"/>
      <c r="O38" s="470"/>
      <c r="P38" s="470"/>
      <c r="Q38" s="470"/>
      <c r="R38" s="470"/>
      <c r="U38" s="15"/>
      <c r="V38" s="247">
        <f t="shared" si="5"/>
        <v>36</v>
      </c>
      <c r="W38" s="247">
        <f>+W7</f>
        <v>37.5</v>
      </c>
      <c r="X38" s="247">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69"/>
      <c r="C39" s="471"/>
      <c r="D39" s="469"/>
      <c r="E39" s="470"/>
      <c r="F39" s="470"/>
      <c r="G39" s="470"/>
      <c r="H39" s="470"/>
      <c r="I39" s="470"/>
      <c r="J39" s="470"/>
      <c r="K39" s="110"/>
      <c r="L39" s="470"/>
      <c r="M39" s="470"/>
      <c r="N39" s="470"/>
      <c r="O39" s="470"/>
      <c r="P39" s="470"/>
      <c r="Q39" s="470"/>
      <c r="R39" s="470"/>
      <c r="U39" s="15"/>
      <c r="V39" s="247">
        <f t="shared" si="5"/>
        <v>38</v>
      </c>
      <c r="W39" s="247">
        <f>+W6</f>
        <v>40</v>
      </c>
      <c r="X39" s="247">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69"/>
      <c r="C40" s="471"/>
      <c r="D40" s="469"/>
      <c r="E40" s="470"/>
      <c r="F40" s="470"/>
      <c r="G40" s="470"/>
      <c r="H40" s="470"/>
      <c r="I40" s="470"/>
      <c r="J40" s="470"/>
      <c r="K40" s="110"/>
      <c r="L40" s="470"/>
      <c r="M40" s="470"/>
      <c r="N40" s="470"/>
      <c r="O40" s="470"/>
      <c r="P40" s="470"/>
      <c r="Q40" s="470"/>
      <c r="R40" s="470"/>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69"/>
      <c r="C41" s="471"/>
      <c r="D41" s="469"/>
      <c r="E41" s="470"/>
      <c r="F41" s="470"/>
      <c r="G41" s="470"/>
      <c r="H41" s="470"/>
      <c r="I41" s="470"/>
      <c r="J41" s="470"/>
      <c r="K41" s="110"/>
      <c r="L41" s="470"/>
      <c r="M41" s="470"/>
      <c r="N41" s="470"/>
      <c r="O41" s="470"/>
      <c r="P41" s="470"/>
      <c r="Q41" s="470"/>
      <c r="R41" s="470"/>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69"/>
      <c r="C42" s="471"/>
      <c r="D42" s="469"/>
      <c r="E42" s="470"/>
      <c r="F42" s="470"/>
      <c r="G42" s="470"/>
      <c r="H42" s="470"/>
      <c r="I42" s="470"/>
      <c r="J42" s="470"/>
      <c r="K42" s="110"/>
      <c r="L42" s="470"/>
      <c r="M42" s="470"/>
      <c r="N42" s="470"/>
      <c r="O42" s="470"/>
      <c r="P42" s="470"/>
      <c r="Q42" s="470"/>
      <c r="R42" s="470"/>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69"/>
      <c r="C43" s="471"/>
      <c r="D43" s="469"/>
      <c r="E43" s="470"/>
      <c r="F43" s="470"/>
      <c r="G43" s="470"/>
      <c r="H43" s="470"/>
      <c r="I43" s="470"/>
      <c r="J43" s="470"/>
      <c r="K43" s="110"/>
      <c r="L43" s="470"/>
      <c r="M43" s="470"/>
      <c r="N43" s="470"/>
      <c r="O43" s="470"/>
      <c r="P43" s="470"/>
      <c r="Q43" s="470"/>
      <c r="R43" s="470"/>
      <c r="U43" s="15"/>
      <c r="V43" s="15"/>
      <c r="W43" s="15"/>
      <c r="X43" s="15"/>
      <c r="Y43" s="15"/>
      <c r="Z43" s="15"/>
      <c r="AA43" s="15"/>
      <c r="AB43" s="15"/>
      <c r="AC43" s="15"/>
      <c r="AD43" s="15"/>
      <c r="AE43" s="15"/>
      <c r="AF43" s="15"/>
      <c r="AG43" s="15"/>
      <c r="AH43" s="20"/>
      <c r="AI43" s="383"/>
      <c r="AJ43" s="26"/>
      <c r="AK43" s="26"/>
      <c r="AL43" s="20"/>
      <c r="AM43" s="53" t="s">
        <v>41</v>
      </c>
      <c r="AN43" s="383"/>
    </row>
    <row r="44" spans="2:40" ht="12.75" customHeight="1" thickBot="1" x14ac:dyDescent="0.25">
      <c r="B44" s="469"/>
      <c r="C44" s="471"/>
      <c r="D44" s="469"/>
      <c r="E44" s="470"/>
      <c r="F44" s="470"/>
      <c r="G44" s="470"/>
      <c r="H44" s="470"/>
      <c r="I44" s="470"/>
      <c r="J44" s="470"/>
      <c r="K44" s="110"/>
      <c r="L44" s="470"/>
      <c r="M44" s="470"/>
      <c r="N44" s="470"/>
      <c r="O44" s="470"/>
      <c r="P44" s="470"/>
      <c r="Q44" s="470"/>
      <c r="R44" s="470"/>
      <c r="U44" s="383"/>
      <c r="V44" s="250"/>
      <c r="W44" s="516"/>
      <c r="X44" s="516"/>
      <c r="Y44" s="30"/>
      <c r="Z44" s="516"/>
      <c r="AA44" s="516"/>
      <c r="AB44" s="15"/>
      <c r="AC44" s="30"/>
      <c r="AD44" s="383"/>
      <c r="AE44" s="383"/>
      <c r="AF44" s="26"/>
      <c r="AG44" s="26"/>
      <c r="AH44" s="20"/>
      <c r="AI44" s="30"/>
      <c r="AJ44" s="383"/>
      <c r="AK44" s="30"/>
      <c r="AL44" s="383"/>
      <c r="AM44" s="383"/>
      <c r="AN44" s="383"/>
    </row>
    <row r="45" spans="2:40" ht="12.75" customHeight="1" x14ac:dyDescent="0.2">
      <c r="B45" s="469"/>
      <c r="C45" s="471"/>
      <c r="D45" s="469"/>
      <c r="E45" s="470"/>
      <c r="F45" s="470"/>
      <c r="G45" s="470"/>
      <c r="H45" s="470"/>
      <c r="I45" s="470"/>
      <c r="J45" s="470"/>
      <c r="K45" s="110"/>
      <c r="L45" s="470"/>
      <c r="M45" s="470"/>
      <c r="N45" s="470"/>
      <c r="O45" s="470"/>
      <c r="P45" s="470"/>
      <c r="Q45" s="470"/>
      <c r="R45" s="470"/>
      <c r="U45" s="251"/>
      <c r="V45" s="250"/>
      <c r="W45" s="512"/>
      <c r="X45" s="512"/>
      <c r="Y45" s="30"/>
      <c r="Z45" s="516"/>
      <c r="AA45" s="516"/>
      <c r="AB45" s="15"/>
      <c r="AC45" s="18" t="s">
        <v>6</v>
      </c>
      <c r="AD45" s="19" t="s">
        <v>18</v>
      </c>
      <c r="AE45" s="384"/>
      <c r="AF45" s="507" t="s">
        <v>27</v>
      </c>
      <c r="AG45" s="508"/>
      <c r="AH45" s="20"/>
      <c r="AI45" s="18" t="s">
        <v>6</v>
      </c>
      <c r="AJ45" s="19" t="s">
        <v>18</v>
      </c>
      <c r="AK45" s="21"/>
      <c r="AL45" s="509" t="s">
        <v>28</v>
      </c>
      <c r="AM45" s="510"/>
      <c r="AN45" s="22" t="s">
        <v>29</v>
      </c>
    </row>
    <row r="46" spans="2:40" ht="12.75" customHeight="1" x14ac:dyDescent="0.2">
      <c r="B46" s="469"/>
      <c r="C46" s="471"/>
      <c r="D46" s="469"/>
      <c r="E46" s="470"/>
      <c r="F46" s="470"/>
      <c r="G46" s="470"/>
      <c r="H46" s="470"/>
      <c r="I46" s="470"/>
      <c r="J46" s="470"/>
      <c r="K46" s="110"/>
      <c r="L46" s="470"/>
      <c r="M46" s="470"/>
      <c r="N46" s="470"/>
      <c r="O46" s="470"/>
      <c r="P46" s="470"/>
      <c r="Q46" s="470"/>
      <c r="R46" s="470"/>
      <c r="U46" s="252"/>
      <c r="V46" s="250"/>
      <c r="W46" s="383"/>
      <c r="X46" s="383"/>
      <c r="Y46" s="30"/>
      <c r="Z46" s="516"/>
      <c r="AA46" s="516"/>
      <c r="AB46" s="15"/>
      <c r="AC46" s="24"/>
      <c r="AD46" s="25"/>
      <c r="AE46" s="383"/>
      <c r="AF46" s="26" t="s">
        <v>32</v>
      </c>
      <c r="AG46" s="27" t="s">
        <v>33</v>
      </c>
      <c r="AH46" s="20"/>
      <c r="AI46" s="24"/>
      <c r="AJ46" s="25"/>
      <c r="AK46" s="383"/>
      <c r="AL46" s="383" t="s">
        <v>32</v>
      </c>
      <c r="AM46" s="241" t="s">
        <v>33</v>
      </c>
      <c r="AN46" s="28"/>
    </row>
    <row r="47" spans="2:40" ht="12.75" customHeight="1" x14ac:dyDescent="0.2">
      <c r="B47" s="469"/>
      <c r="C47" s="471"/>
      <c r="D47" s="469"/>
      <c r="E47" s="470"/>
      <c r="F47" s="470"/>
      <c r="G47" s="470"/>
      <c r="H47" s="470"/>
      <c r="I47" s="470"/>
      <c r="J47" s="470"/>
      <c r="K47" s="110"/>
      <c r="L47" s="470"/>
      <c r="M47" s="470"/>
      <c r="N47" s="470"/>
      <c r="O47" s="470"/>
      <c r="P47" s="470"/>
      <c r="Q47" s="470"/>
      <c r="R47" s="470"/>
      <c r="U47" s="30"/>
      <c r="V47" s="250"/>
      <c r="W47" s="383"/>
      <c r="X47" s="383"/>
      <c r="Y47" s="30"/>
      <c r="Z47" s="383"/>
      <c r="AA47" s="383"/>
      <c r="AB47" s="15"/>
      <c r="AC47" s="33"/>
      <c r="AD47" s="34"/>
      <c r="AE47" s="35"/>
      <c r="AF47" s="41"/>
      <c r="AG47" s="42"/>
      <c r="AH47" s="30"/>
      <c r="AI47" s="33"/>
      <c r="AJ47" s="34"/>
      <c r="AK47" s="35"/>
      <c r="AL47" s="36"/>
      <c r="AM47" s="37"/>
      <c r="AN47" s="38"/>
    </row>
    <row r="48" spans="2:40" ht="12.75" customHeight="1" x14ac:dyDescent="0.2">
      <c r="B48" s="469"/>
      <c r="C48" s="471"/>
      <c r="D48" s="469"/>
      <c r="E48" s="470"/>
      <c r="F48" s="470"/>
      <c r="G48" s="470"/>
      <c r="H48" s="470"/>
      <c r="I48" s="470"/>
      <c r="J48" s="470"/>
      <c r="K48" s="110"/>
      <c r="L48" s="470"/>
      <c r="M48" s="470"/>
      <c r="N48" s="470"/>
      <c r="O48" s="470"/>
      <c r="P48" s="470"/>
      <c r="Q48" s="470"/>
      <c r="R48" s="470"/>
      <c r="U48" s="251"/>
      <c r="V48" s="250"/>
      <c r="W48" s="26"/>
      <c r="X48" s="26"/>
      <c r="Y48" s="30"/>
      <c r="Z48" s="383"/>
      <c r="AA48" s="383"/>
      <c r="AB48" s="15"/>
      <c r="AC48" s="43" t="s">
        <v>36</v>
      </c>
      <c r="AD48" s="25">
        <v>15</v>
      </c>
      <c r="AE48" s="30"/>
      <c r="AF48" s="26">
        <f>I1SA!$H$35+30*(100-I1SA!$H$35)/30</f>
        <v>100</v>
      </c>
      <c r="AG48" s="27">
        <f t="shared" ref="AG48:AG59" si="6">AF49+0.1</f>
        <v>95</v>
      </c>
      <c r="AH48" s="30"/>
      <c r="AI48" s="43" t="s">
        <v>36</v>
      </c>
      <c r="AJ48" s="25">
        <v>15</v>
      </c>
      <c r="AK48" s="30"/>
      <c r="AL48" s="26">
        <f>I1SA!$H$30</f>
        <v>40</v>
      </c>
      <c r="AM48" s="242">
        <f>AL49+0.5</f>
        <v>38</v>
      </c>
      <c r="AN48" s="28">
        <f t="shared" ref="AN48:AN62" si="7">IF(AM48&gt;AL48,"ALARM",AL48-AL49)</f>
        <v>2.5</v>
      </c>
    </row>
    <row r="49" spans="2:40" ht="12.75" customHeight="1" x14ac:dyDescent="0.2">
      <c r="B49" s="469"/>
      <c r="C49" s="471"/>
      <c r="D49" s="469"/>
      <c r="E49" s="470"/>
      <c r="F49" s="470"/>
      <c r="G49" s="470"/>
      <c r="H49" s="470"/>
      <c r="I49" s="470"/>
      <c r="J49" s="470"/>
      <c r="K49" s="110"/>
      <c r="L49" s="470"/>
      <c r="M49" s="470"/>
      <c r="N49" s="470"/>
      <c r="O49" s="470"/>
      <c r="P49" s="470"/>
      <c r="Q49" s="470"/>
      <c r="R49" s="470"/>
      <c r="U49" s="251"/>
      <c r="V49" s="250"/>
      <c r="W49" s="26"/>
      <c r="X49" s="26"/>
      <c r="Y49" s="30"/>
      <c r="Z49" s="383"/>
      <c r="AA49" s="383"/>
      <c r="AB49" s="15"/>
      <c r="AC49" s="24">
        <v>1</v>
      </c>
      <c r="AD49" s="25">
        <v>14</v>
      </c>
      <c r="AE49" s="30"/>
      <c r="AF49" s="26">
        <f>I1SA!$H$35+27*(100-I1SA!$H$35)/30</f>
        <v>94.9</v>
      </c>
      <c r="AG49" s="27">
        <f t="shared" si="6"/>
        <v>89.899999999999991</v>
      </c>
      <c r="AH49" s="30"/>
      <c r="AI49" s="24">
        <v>1</v>
      </c>
      <c r="AJ49" s="25">
        <v>14</v>
      </c>
      <c r="AK49" s="30"/>
      <c r="AL49" s="26">
        <f>ROUNDDOWN(I1SA!$H$30*AF49/500,1)*5</f>
        <v>37.5</v>
      </c>
      <c r="AM49" s="242">
        <f t="shared" ref="AM49:AM61" si="8">AL50+0.5</f>
        <v>36</v>
      </c>
      <c r="AN49" s="28">
        <f t="shared" si="7"/>
        <v>2</v>
      </c>
    </row>
    <row r="50" spans="2:40" ht="12.75" customHeight="1" x14ac:dyDescent="0.2">
      <c r="B50" s="469"/>
      <c r="C50" s="471"/>
      <c r="D50" s="469"/>
      <c r="E50" s="470"/>
      <c r="F50" s="470"/>
      <c r="G50" s="470"/>
      <c r="H50" s="470"/>
      <c r="I50" s="470"/>
      <c r="J50" s="470"/>
      <c r="K50" s="110"/>
      <c r="L50" s="470"/>
      <c r="M50" s="470"/>
      <c r="N50" s="470"/>
      <c r="O50" s="470"/>
      <c r="P50" s="470"/>
      <c r="Q50" s="470"/>
      <c r="R50" s="470"/>
      <c r="U50" s="251"/>
      <c r="V50" s="250"/>
      <c r="W50" s="26"/>
      <c r="X50" s="26"/>
      <c r="Y50" s="30"/>
      <c r="Z50" s="383"/>
      <c r="AA50" s="383"/>
      <c r="AB50" s="15"/>
      <c r="AC50" s="46" t="s">
        <v>9</v>
      </c>
      <c r="AD50" s="34">
        <v>13</v>
      </c>
      <c r="AE50" s="35"/>
      <c r="AF50" s="47">
        <f>I1SA!$H$35+24*(100-I1SA!$H$35)/30</f>
        <v>89.8</v>
      </c>
      <c r="AG50" s="48">
        <f t="shared" si="6"/>
        <v>84.8</v>
      </c>
      <c r="AH50" s="30"/>
      <c r="AI50" s="46" t="s">
        <v>9</v>
      </c>
      <c r="AJ50" s="34">
        <v>13</v>
      </c>
      <c r="AK50" s="35"/>
      <c r="AL50" s="26">
        <f>ROUNDDOWN(I1SA!$H$30*AF50/500,1)*5</f>
        <v>35.5</v>
      </c>
      <c r="AM50" s="242">
        <f t="shared" si="8"/>
        <v>34</v>
      </c>
      <c r="AN50" s="38">
        <f t="shared" si="7"/>
        <v>2</v>
      </c>
    </row>
    <row r="51" spans="2:40" ht="12.75" customHeight="1" x14ac:dyDescent="0.2">
      <c r="B51" s="469"/>
      <c r="C51" s="471"/>
      <c r="D51" s="469"/>
      <c r="E51" s="470"/>
      <c r="F51" s="470"/>
      <c r="G51" s="470"/>
      <c r="H51" s="470"/>
      <c r="I51" s="470"/>
      <c r="J51" s="470"/>
      <c r="K51" s="110"/>
      <c r="L51" s="470"/>
      <c r="M51" s="470"/>
      <c r="N51" s="470"/>
      <c r="O51" s="470"/>
      <c r="P51" s="470"/>
      <c r="Q51" s="470"/>
      <c r="R51" s="470"/>
      <c r="U51" s="251"/>
      <c r="V51" s="250"/>
      <c r="W51" s="26"/>
      <c r="X51" s="26"/>
      <c r="Y51" s="30"/>
      <c r="Z51" s="383"/>
      <c r="AA51" s="383"/>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2">
        <f t="shared" si="8"/>
        <v>32</v>
      </c>
      <c r="AN51" s="28">
        <f t="shared" si="7"/>
        <v>2</v>
      </c>
    </row>
    <row r="52" spans="2:40" ht="12.75" customHeight="1" x14ac:dyDescent="0.2">
      <c r="B52" s="469"/>
      <c r="C52" s="471"/>
      <c r="D52" s="469"/>
      <c r="E52" s="470"/>
      <c r="F52" s="470"/>
      <c r="G52" s="470"/>
      <c r="H52" s="470"/>
      <c r="I52" s="470"/>
      <c r="J52" s="470"/>
      <c r="K52" s="110"/>
      <c r="L52" s="470"/>
      <c r="M52" s="470"/>
      <c r="N52" s="470"/>
      <c r="O52" s="470"/>
      <c r="P52" s="470"/>
      <c r="Q52" s="470"/>
      <c r="R52" s="470"/>
      <c r="U52" s="251"/>
      <c r="V52" s="250"/>
      <c r="W52" s="26"/>
      <c r="X52" s="26"/>
      <c r="Y52" s="30"/>
      <c r="Z52" s="383"/>
      <c r="AA52" s="383"/>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2">
        <f t="shared" si="8"/>
        <v>30</v>
      </c>
      <c r="AN52" s="28">
        <f t="shared" si="7"/>
        <v>2</v>
      </c>
    </row>
    <row r="53" spans="2:40" ht="12.75" customHeight="1" x14ac:dyDescent="0.2">
      <c r="B53" s="469"/>
      <c r="C53" s="471"/>
      <c r="D53" s="469"/>
      <c r="E53" s="470"/>
      <c r="F53" s="470"/>
      <c r="G53" s="470"/>
      <c r="H53" s="470"/>
      <c r="I53" s="470"/>
      <c r="J53" s="470"/>
      <c r="K53" s="110"/>
      <c r="L53" s="470"/>
      <c r="M53" s="470"/>
      <c r="N53" s="470"/>
      <c r="O53" s="470"/>
      <c r="P53" s="470"/>
      <c r="Q53" s="470"/>
      <c r="R53" s="470"/>
      <c r="U53" s="251"/>
      <c r="V53" s="250"/>
      <c r="W53" s="26"/>
      <c r="X53" s="26"/>
      <c r="Y53" s="30"/>
      <c r="Z53" s="383"/>
      <c r="AA53" s="383"/>
      <c r="AB53" s="15"/>
      <c r="AC53" s="46" t="s">
        <v>9</v>
      </c>
      <c r="AD53" s="34">
        <v>10</v>
      </c>
      <c r="AE53" s="35"/>
      <c r="AF53" s="47">
        <f>I1SA!$H$35+15*(100-I1SA!$H$35)/30</f>
        <v>74.5</v>
      </c>
      <c r="AG53" s="48">
        <f t="shared" si="6"/>
        <v>69.5</v>
      </c>
      <c r="AH53" s="30"/>
      <c r="AI53" s="46" t="s">
        <v>9</v>
      </c>
      <c r="AJ53" s="34">
        <v>10</v>
      </c>
      <c r="AK53" s="35"/>
      <c r="AL53" s="26">
        <f>ROUNDDOWN(I1SA!$H$30*AF53/500,1)*5</f>
        <v>29.5</v>
      </c>
      <c r="AM53" s="242">
        <f t="shared" si="8"/>
        <v>28</v>
      </c>
      <c r="AN53" s="38">
        <f t="shared" si="7"/>
        <v>2</v>
      </c>
    </row>
    <row r="54" spans="2:40" ht="12.75" customHeight="1" x14ac:dyDescent="0.2">
      <c r="B54" s="469"/>
      <c r="C54" s="471"/>
      <c r="D54" s="469"/>
      <c r="E54" s="470"/>
      <c r="F54" s="470"/>
      <c r="G54" s="470"/>
      <c r="H54" s="470"/>
      <c r="I54" s="470"/>
      <c r="J54" s="470"/>
      <c r="K54" s="110"/>
      <c r="L54" s="470"/>
      <c r="M54" s="470"/>
      <c r="N54" s="470"/>
      <c r="O54" s="470"/>
      <c r="P54" s="470"/>
      <c r="Q54" s="470"/>
      <c r="R54" s="470"/>
      <c r="U54" s="251"/>
      <c r="V54" s="250"/>
      <c r="W54" s="26"/>
      <c r="X54" s="26"/>
      <c r="Y54" s="30"/>
      <c r="Z54" s="383"/>
      <c r="AA54" s="383"/>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2">
        <f t="shared" si="8"/>
        <v>26.5</v>
      </c>
      <c r="AN54" s="28">
        <f t="shared" si="7"/>
        <v>1.5</v>
      </c>
    </row>
    <row r="55" spans="2:40" ht="12.75" customHeight="1" x14ac:dyDescent="0.2">
      <c r="B55" s="469"/>
      <c r="C55" s="471"/>
      <c r="D55" s="469"/>
      <c r="E55" s="470"/>
      <c r="F55" s="470"/>
      <c r="G55" s="470"/>
      <c r="H55" s="470"/>
      <c r="I55" s="470"/>
      <c r="J55" s="470"/>
      <c r="K55" s="110"/>
      <c r="L55" s="470"/>
      <c r="M55" s="470"/>
      <c r="N55" s="470"/>
      <c r="O55" s="470"/>
      <c r="P55" s="470"/>
      <c r="Q55" s="470"/>
      <c r="R55" s="470"/>
      <c r="U55" s="251"/>
      <c r="V55" s="250"/>
      <c r="W55" s="26"/>
      <c r="X55" s="26"/>
      <c r="Y55" s="30"/>
      <c r="Z55" s="383"/>
      <c r="AA55" s="383"/>
      <c r="AB55" s="15"/>
      <c r="AC55" s="24">
        <v>3</v>
      </c>
      <c r="AD55" s="25">
        <v>8</v>
      </c>
      <c r="AE55" s="30"/>
      <c r="AF55" s="26">
        <f>I1SA!$H$35+10*(100-I1SA!$H$35)/30</f>
        <v>66</v>
      </c>
      <c r="AG55" s="27">
        <f t="shared" si="6"/>
        <v>62.7</v>
      </c>
      <c r="AH55" s="30"/>
      <c r="AI55" s="24">
        <v>3</v>
      </c>
      <c r="AJ55" s="25">
        <v>8</v>
      </c>
      <c r="AK55" s="30"/>
      <c r="AL55" s="26">
        <f>ROUNDDOWN(I1SA!$H$30*AF55/500,1)*5</f>
        <v>26</v>
      </c>
      <c r="AM55" s="242">
        <f t="shared" si="8"/>
        <v>25.5</v>
      </c>
      <c r="AN55" s="28">
        <f t="shared" si="7"/>
        <v>1</v>
      </c>
    </row>
    <row r="56" spans="2:40" ht="12.75" customHeight="1" x14ac:dyDescent="0.2">
      <c r="B56" s="469"/>
      <c r="C56" s="471"/>
      <c r="D56" s="469"/>
      <c r="E56" s="470"/>
      <c r="F56" s="470"/>
      <c r="G56" s="470"/>
      <c r="H56" s="470"/>
      <c r="I56" s="470"/>
      <c r="J56" s="470"/>
      <c r="K56" s="110"/>
      <c r="L56" s="470"/>
      <c r="M56" s="470"/>
      <c r="N56" s="470"/>
      <c r="O56" s="470"/>
      <c r="P56" s="470"/>
      <c r="Q56" s="470"/>
      <c r="R56" s="470"/>
      <c r="U56" s="251"/>
      <c r="V56" s="250"/>
      <c r="W56" s="26"/>
      <c r="X56" s="26"/>
      <c r="Y56" s="30"/>
      <c r="Z56" s="383"/>
      <c r="AA56" s="383"/>
      <c r="AB56" s="15"/>
      <c r="AC56" s="46" t="s">
        <v>9</v>
      </c>
      <c r="AD56" s="34">
        <v>7</v>
      </c>
      <c r="AE56" s="35"/>
      <c r="AF56" s="47">
        <f>I1SA!$H$35+8*(100-I1SA!$H$35)/30</f>
        <v>62.6</v>
      </c>
      <c r="AG56" s="48">
        <f t="shared" si="6"/>
        <v>59.300000000000004</v>
      </c>
      <c r="AH56" s="30"/>
      <c r="AI56" s="46" t="s">
        <v>9</v>
      </c>
      <c r="AJ56" s="34">
        <v>7</v>
      </c>
      <c r="AK56" s="35"/>
      <c r="AL56" s="26">
        <f>ROUNDDOWN(I1SA!$H$30*AF56/500,1)*5</f>
        <v>25</v>
      </c>
      <c r="AM56" s="242">
        <f t="shared" si="8"/>
        <v>24</v>
      </c>
      <c r="AN56" s="38">
        <f t="shared" si="7"/>
        <v>1.5</v>
      </c>
    </row>
    <row r="57" spans="2:40" ht="12.75" customHeight="1" x14ac:dyDescent="0.2">
      <c r="B57" s="469"/>
      <c r="C57" s="471"/>
      <c r="D57" s="469"/>
      <c r="E57" s="470"/>
      <c r="F57" s="470"/>
      <c r="G57" s="470"/>
      <c r="H57" s="470"/>
      <c r="I57" s="470"/>
      <c r="J57" s="470"/>
      <c r="K57" s="110"/>
      <c r="L57" s="470"/>
      <c r="M57" s="470"/>
      <c r="N57" s="470"/>
      <c r="O57" s="470"/>
      <c r="P57" s="470"/>
      <c r="Q57" s="470"/>
      <c r="R57" s="470"/>
      <c r="U57" s="251"/>
      <c r="V57" s="250"/>
      <c r="W57" s="26"/>
      <c r="X57" s="26"/>
      <c r="Y57" s="30"/>
      <c r="Z57" s="383"/>
      <c r="AA57" s="383"/>
      <c r="AB57" s="15"/>
      <c r="AC57" s="43" t="s">
        <v>36</v>
      </c>
      <c r="AD57" s="25">
        <v>6</v>
      </c>
      <c r="AE57" s="30"/>
      <c r="AF57" s="26">
        <f>I1SA!$H$35+6*(100-I1SA!$H$35)/30</f>
        <v>59.2</v>
      </c>
      <c r="AG57" s="27">
        <f t="shared" si="6"/>
        <v>55.9</v>
      </c>
      <c r="AH57" s="30"/>
      <c r="AI57" s="43" t="s">
        <v>36</v>
      </c>
      <c r="AJ57" s="25">
        <v>6</v>
      </c>
      <c r="AK57" s="30"/>
      <c r="AL57" s="26">
        <f>ROUNDDOWN(I1SA!$H$30*AF57/500,1)*5</f>
        <v>23.5</v>
      </c>
      <c r="AM57" s="242">
        <f t="shared" si="8"/>
        <v>22.5</v>
      </c>
      <c r="AN57" s="28">
        <f t="shared" si="7"/>
        <v>1.5</v>
      </c>
    </row>
    <row r="58" spans="2:40" ht="12.75" customHeight="1" x14ac:dyDescent="0.2">
      <c r="B58" s="469"/>
      <c r="C58" s="471"/>
      <c r="D58" s="469"/>
      <c r="E58" s="470"/>
      <c r="F58" s="470"/>
      <c r="G58" s="470"/>
      <c r="H58" s="470"/>
      <c r="I58" s="470"/>
      <c r="J58" s="470"/>
      <c r="K58" s="110"/>
      <c r="L58" s="470"/>
      <c r="M58" s="470"/>
      <c r="N58" s="470"/>
      <c r="O58" s="470"/>
      <c r="P58" s="470"/>
      <c r="Q58" s="470"/>
      <c r="R58" s="470"/>
      <c r="U58" s="251"/>
      <c r="V58" s="250"/>
      <c r="W58" s="26"/>
      <c r="X58" s="26"/>
      <c r="Y58" s="30"/>
      <c r="Z58" s="383"/>
      <c r="AA58" s="383"/>
      <c r="AB58" s="15"/>
      <c r="AC58" s="24">
        <v>4</v>
      </c>
      <c r="AD58" s="25">
        <v>5</v>
      </c>
      <c r="AE58" s="30"/>
      <c r="AF58" s="26">
        <f>I1SA!$H$35+4*(100-I1SA!$H$35)/30</f>
        <v>55.8</v>
      </c>
      <c r="AG58" s="27">
        <f t="shared" si="6"/>
        <v>52.5</v>
      </c>
      <c r="AH58" s="30"/>
      <c r="AI58" s="24">
        <v>4</v>
      </c>
      <c r="AJ58" s="25">
        <v>5</v>
      </c>
      <c r="AK58" s="30"/>
      <c r="AL58" s="26">
        <f>ROUNDDOWN(I1SA!$H$30*AF58/500,1)*5</f>
        <v>22</v>
      </c>
      <c r="AM58" s="242">
        <f t="shared" si="8"/>
        <v>21</v>
      </c>
      <c r="AN58" s="28">
        <f t="shared" si="7"/>
        <v>1.5</v>
      </c>
    </row>
    <row r="59" spans="2:40" ht="12.75" customHeight="1" x14ac:dyDescent="0.2">
      <c r="B59" s="469"/>
      <c r="C59" s="471"/>
      <c r="D59" s="469"/>
      <c r="E59" s="470"/>
      <c r="F59" s="470"/>
      <c r="G59" s="470"/>
      <c r="H59" s="470"/>
      <c r="I59" s="470"/>
      <c r="J59" s="470"/>
      <c r="K59" s="110"/>
      <c r="L59" s="470"/>
      <c r="M59" s="470"/>
      <c r="N59" s="470"/>
      <c r="O59" s="470"/>
      <c r="P59" s="470"/>
      <c r="Q59" s="470"/>
      <c r="R59" s="470"/>
      <c r="U59" s="251"/>
      <c r="V59" s="250"/>
      <c r="W59" s="26"/>
      <c r="X59" s="26"/>
      <c r="Y59" s="30"/>
      <c r="Z59" s="383"/>
      <c r="AA59" s="383"/>
      <c r="AB59" s="15"/>
      <c r="AC59" s="46" t="s">
        <v>9</v>
      </c>
      <c r="AD59" s="34">
        <v>4</v>
      </c>
      <c r="AE59" s="35"/>
      <c r="AF59" s="47">
        <f>I1SA!$H$35+2*(100-I1SA!$H$35)/30</f>
        <v>52.4</v>
      </c>
      <c r="AG59" s="48">
        <f t="shared" si="6"/>
        <v>49.1</v>
      </c>
      <c r="AH59" s="30"/>
      <c r="AI59" s="46" t="s">
        <v>9</v>
      </c>
      <c r="AJ59" s="34">
        <v>4</v>
      </c>
      <c r="AK59" s="35"/>
      <c r="AL59" s="26">
        <f>ROUNDDOWN(I1SA!$H$30*AF59/500,1)*5</f>
        <v>20.5</v>
      </c>
      <c r="AM59" s="242">
        <f t="shared" si="8"/>
        <v>20</v>
      </c>
      <c r="AN59" s="38">
        <f t="shared" si="7"/>
        <v>1</v>
      </c>
    </row>
    <row r="60" spans="2:40" ht="12.75" customHeight="1" x14ac:dyDescent="0.2">
      <c r="B60" s="469"/>
      <c r="C60" s="471"/>
      <c r="D60" s="469"/>
      <c r="E60" s="470"/>
      <c r="F60" s="470"/>
      <c r="G60" s="470"/>
      <c r="H60" s="470"/>
      <c r="I60" s="470"/>
      <c r="J60" s="470"/>
      <c r="K60" s="110"/>
      <c r="L60" s="470"/>
      <c r="M60" s="470"/>
      <c r="N60" s="470"/>
      <c r="O60" s="470"/>
      <c r="P60" s="470"/>
      <c r="Q60" s="470"/>
      <c r="R60" s="470"/>
      <c r="U60" s="251"/>
      <c r="V60" s="250"/>
      <c r="W60" s="26"/>
      <c r="X60" s="26"/>
      <c r="Y60" s="30"/>
      <c r="Z60" s="383"/>
      <c r="AA60" s="383"/>
      <c r="AB60" s="15"/>
      <c r="AC60" s="43" t="s">
        <v>36</v>
      </c>
      <c r="AD60" s="25">
        <v>3</v>
      </c>
      <c r="AE60" s="30"/>
      <c r="AF60" s="26">
        <f>I1SA!$H$35</f>
        <v>49</v>
      </c>
      <c r="AG60" s="27">
        <f>AF61+0.01</f>
        <v>44.01</v>
      </c>
      <c r="AH60" s="30"/>
      <c r="AI60" s="43" t="s">
        <v>36</v>
      </c>
      <c r="AJ60" s="25">
        <v>3</v>
      </c>
      <c r="AK60" s="30"/>
      <c r="AL60" s="26">
        <f>ROUNDDOWN(I1SA!$H$30*AF60/500,1)*5</f>
        <v>19.5</v>
      </c>
      <c r="AM60" s="242">
        <f t="shared" si="8"/>
        <v>18</v>
      </c>
      <c r="AN60" s="28">
        <f t="shared" si="7"/>
        <v>2</v>
      </c>
    </row>
    <row r="61" spans="2:40" ht="12.75" customHeight="1" x14ac:dyDescent="0.2">
      <c r="B61" s="469"/>
      <c r="C61" s="471"/>
      <c r="D61" s="469"/>
      <c r="E61" s="470"/>
      <c r="F61" s="470"/>
      <c r="G61" s="470"/>
      <c r="H61" s="470"/>
      <c r="I61" s="470"/>
      <c r="J61" s="470"/>
      <c r="K61" s="110"/>
      <c r="L61" s="470"/>
      <c r="M61" s="470"/>
      <c r="N61" s="470"/>
      <c r="O61" s="470"/>
      <c r="P61" s="470"/>
      <c r="Q61" s="470"/>
      <c r="R61" s="470"/>
      <c r="U61" s="251"/>
      <c r="V61" s="250"/>
      <c r="W61" s="26"/>
      <c r="X61" s="26"/>
      <c r="Y61" s="30"/>
      <c r="Z61" s="383"/>
      <c r="AA61" s="383"/>
      <c r="AB61" s="15"/>
      <c r="AC61" s="24">
        <v>5</v>
      </c>
      <c r="AD61" s="25">
        <v>2</v>
      </c>
      <c r="AE61" s="30"/>
      <c r="AF61" s="26">
        <f>AG62+2*(AF60-AG62)/3</f>
        <v>44</v>
      </c>
      <c r="AG61" s="27">
        <f>AF62+0.01</f>
        <v>39.01</v>
      </c>
      <c r="AH61" s="30"/>
      <c r="AI61" s="24">
        <v>5</v>
      </c>
      <c r="AJ61" s="25">
        <v>2</v>
      </c>
      <c r="AK61" s="30"/>
      <c r="AL61" s="26">
        <f>ROUNDDOWN(I1SA!$H$30*AF61/500,1)*5</f>
        <v>17.5</v>
      </c>
      <c r="AM61" s="242">
        <f t="shared" si="8"/>
        <v>16</v>
      </c>
      <c r="AN61" s="28">
        <f t="shared" si="7"/>
        <v>2</v>
      </c>
    </row>
    <row r="62" spans="2:40" ht="12.75" customHeight="1" x14ac:dyDescent="0.2">
      <c r="B62" s="469"/>
      <c r="C62" s="471"/>
      <c r="D62" s="469"/>
      <c r="E62" s="470"/>
      <c r="F62" s="470"/>
      <c r="G62" s="470"/>
      <c r="H62" s="470"/>
      <c r="I62" s="470"/>
      <c r="J62" s="470"/>
      <c r="K62" s="110"/>
      <c r="L62" s="470"/>
      <c r="M62" s="470"/>
      <c r="N62" s="470"/>
      <c r="O62" s="470"/>
      <c r="P62" s="470"/>
      <c r="Q62" s="470"/>
      <c r="R62" s="470"/>
      <c r="U62" s="251"/>
      <c r="V62" s="250"/>
      <c r="W62" s="26"/>
      <c r="X62" s="256"/>
      <c r="Y62" s="30"/>
      <c r="Z62" s="383"/>
      <c r="AA62" s="383"/>
      <c r="AB62" s="15"/>
      <c r="AC62" s="46" t="s">
        <v>9</v>
      </c>
      <c r="AD62" s="34">
        <v>1</v>
      </c>
      <c r="AE62" s="35"/>
      <c r="AF62" s="47">
        <f>AG62+(AF60-AG62)/3</f>
        <v>39</v>
      </c>
      <c r="AG62" s="48">
        <f>I1SA!$H$34</f>
        <v>34</v>
      </c>
      <c r="AH62" s="30"/>
      <c r="AI62" s="46" t="s">
        <v>9</v>
      </c>
      <c r="AJ62" s="34">
        <v>1</v>
      </c>
      <c r="AK62" s="35"/>
      <c r="AL62" s="26">
        <f>ROUNDDOWN(I1SA!$H$30*AF62/500,1)*5</f>
        <v>15.5</v>
      </c>
      <c r="AM62" s="248">
        <f>ROUNDUP(I1SA!$H$30*(I1SA!$H$34/500),1)*5</f>
        <v>14.000000000000002</v>
      </c>
      <c r="AN62" s="38">
        <f t="shared" si="7"/>
        <v>1.9999999999999982</v>
      </c>
    </row>
    <row r="63" spans="2:40" ht="12.75" customHeight="1" thickBot="1" x14ac:dyDescent="0.25">
      <c r="B63" s="469"/>
      <c r="C63" s="471"/>
      <c r="D63" s="469"/>
      <c r="E63" s="470"/>
      <c r="F63" s="470"/>
      <c r="G63" s="470"/>
      <c r="H63" s="470"/>
      <c r="I63" s="470"/>
      <c r="J63" s="470"/>
      <c r="K63" s="110"/>
      <c r="L63" s="470"/>
      <c r="M63" s="470"/>
      <c r="N63" s="470"/>
      <c r="O63" s="470"/>
      <c r="P63" s="470"/>
      <c r="Q63" s="470"/>
      <c r="R63" s="470"/>
      <c r="U63" s="250"/>
      <c r="V63" s="250"/>
      <c r="W63" s="26"/>
      <c r="X63" s="26"/>
      <c r="Y63" s="30"/>
      <c r="Z63" s="383"/>
      <c r="AA63" s="383"/>
      <c r="AB63" s="15"/>
      <c r="AC63" s="54">
        <v>6</v>
      </c>
      <c r="AD63" s="55">
        <v>0</v>
      </c>
      <c r="AE63" s="56"/>
      <c r="AF63" s="61">
        <f>I1SA!$H$34-0.1</f>
        <v>33.9</v>
      </c>
      <c r="AG63" s="62">
        <v>0</v>
      </c>
      <c r="AH63" s="30"/>
      <c r="AI63" s="54">
        <v>6</v>
      </c>
      <c r="AJ63" s="55">
        <v>0</v>
      </c>
      <c r="AK63" s="56"/>
      <c r="AL63" s="61">
        <f>AM62-0.5</f>
        <v>13.500000000000002</v>
      </c>
      <c r="AM63" s="249">
        <v>0</v>
      </c>
      <c r="AN63" s="59">
        <f>IF(AM63&gt;AM62,"ALARM",AL63)</f>
        <v>13.500000000000002</v>
      </c>
    </row>
    <row r="64" spans="2:40" ht="12.75" customHeight="1" x14ac:dyDescent="0.2">
      <c r="B64" s="469"/>
      <c r="C64" s="471"/>
      <c r="D64" s="469"/>
      <c r="E64" s="470"/>
      <c r="F64" s="470"/>
      <c r="G64" s="470"/>
      <c r="H64" s="470"/>
      <c r="I64" s="470"/>
      <c r="J64" s="470"/>
      <c r="K64" s="110"/>
      <c r="L64" s="470"/>
      <c r="M64" s="470"/>
      <c r="N64" s="470"/>
      <c r="O64" s="470"/>
      <c r="P64" s="470"/>
      <c r="Q64" s="470"/>
      <c r="R64" s="470"/>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69"/>
      <c r="C65" s="471"/>
      <c r="D65" s="469"/>
      <c r="E65" s="470"/>
      <c r="F65" s="470"/>
      <c r="G65" s="470"/>
      <c r="H65" s="470"/>
      <c r="I65" s="470"/>
      <c r="J65" s="470"/>
      <c r="K65" s="110"/>
      <c r="L65" s="470"/>
      <c r="M65" s="470"/>
      <c r="N65" s="470"/>
      <c r="O65" s="470"/>
      <c r="P65" s="470"/>
      <c r="Q65" s="470"/>
      <c r="R65" s="470"/>
    </row>
    <row r="66" spans="2:40" ht="12.75" customHeight="1" x14ac:dyDescent="0.2">
      <c r="B66" s="469"/>
      <c r="C66" s="471"/>
      <c r="D66" s="469"/>
      <c r="E66" s="470"/>
      <c r="F66" s="470"/>
      <c r="G66" s="470"/>
      <c r="H66" s="470"/>
      <c r="I66" s="470"/>
      <c r="J66" s="470"/>
      <c r="K66" s="110"/>
      <c r="L66" s="470"/>
      <c r="M66" s="470"/>
      <c r="N66" s="470"/>
      <c r="O66" s="470"/>
      <c r="P66" s="470"/>
      <c r="Q66" s="470"/>
      <c r="R66" s="470"/>
    </row>
    <row r="67" spans="2:40" ht="12.75" customHeight="1" x14ac:dyDescent="0.2">
      <c r="B67" s="469"/>
      <c r="C67" s="471"/>
      <c r="D67" s="469"/>
      <c r="E67" s="470"/>
      <c r="F67" s="470"/>
      <c r="G67" s="470"/>
      <c r="H67" s="470"/>
      <c r="I67" s="470"/>
      <c r="J67" s="470"/>
      <c r="K67" s="110"/>
      <c r="L67" s="470"/>
      <c r="M67" s="470"/>
      <c r="N67" s="470"/>
      <c r="O67" s="470"/>
      <c r="P67" s="470"/>
      <c r="Q67" s="470"/>
      <c r="R67" s="470"/>
    </row>
    <row r="68" spans="2:40" ht="12.75" customHeight="1" x14ac:dyDescent="0.2">
      <c r="B68" s="469"/>
      <c r="C68" s="471"/>
      <c r="D68" s="469"/>
      <c r="E68" s="470"/>
      <c r="F68" s="470"/>
      <c r="G68" s="470"/>
      <c r="H68" s="470"/>
      <c r="I68" s="470"/>
      <c r="J68" s="470"/>
      <c r="K68" s="110"/>
      <c r="L68" s="470"/>
      <c r="M68" s="470"/>
      <c r="N68" s="470"/>
      <c r="O68" s="470"/>
      <c r="P68" s="470"/>
      <c r="Q68" s="470"/>
      <c r="R68" s="470"/>
    </row>
    <row r="69" spans="2:40" ht="12.75" customHeight="1" x14ac:dyDescent="0.2">
      <c r="B69" s="469"/>
      <c r="C69" s="471"/>
      <c r="D69" s="469"/>
      <c r="E69" s="470"/>
      <c r="F69" s="470"/>
      <c r="G69" s="470"/>
      <c r="H69" s="470"/>
      <c r="I69" s="470"/>
      <c r="J69" s="470"/>
      <c r="K69" s="110"/>
      <c r="L69" s="470"/>
      <c r="M69" s="470"/>
      <c r="N69" s="470"/>
      <c r="O69" s="470"/>
      <c r="P69" s="470"/>
      <c r="Q69" s="470"/>
      <c r="R69" s="470"/>
    </row>
    <row r="70" spans="2:40" ht="12.75" customHeight="1" x14ac:dyDescent="0.2">
      <c r="B70" s="469"/>
      <c r="C70" s="471"/>
      <c r="D70" s="469"/>
      <c r="E70" s="470"/>
      <c r="F70" s="470"/>
      <c r="G70" s="470"/>
      <c r="H70" s="470"/>
      <c r="I70" s="470"/>
      <c r="J70" s="470"/>
      <c r="K70" s="110"/>
      <c r="L70" s="470"/>
      <c r="M70" s="470"/>
      <c r="N70" s="470"/>
      <c r="O70" s="470"/>
      <c r="P70" s="470"/>
      <c r="Q70" s="470"/>
      <c r="R70" s="470"/>
    </row>
    <row r="71" spans="2:40" ht="12.75" customHeight="1" x14ac:dyDescent="0.2">
      <c r="B71" s="469"/>
      <c r="C71" s="471"/>
      <c r="D71" s="469"/>
      <c r="E71" s="470"/>
      <c r="F71" s="470"/>
      <c r="G71" s="470"/>
      <c r="H71" s="470"/>
      <c r="I71" s="470"/>
      <c r="J71" s="470"/>
      <c r="K71" s="110"/>
      <c r="L71" s="470"/>
      <c r="M71" s="470"/>
      <c r="N71" s="470"/>
      <c r="O71" s="470"/>
      <c r="P71" s="470"/>
      <c r="Q71" s="470"/>
      <c r="R71" s="470"/>
    </row>
    <row r="73" spans="2:40" ht="12.75" customHeight="1" thickBot="1" x14ac:dyDescent="0.25"/>
    <row r="74" spans="2:40" ht="12.75" customHeight="1" x14ac:dyDescent="0.2">
      <c r="T74" s="112" t="s">
        <v>50</v>
      </c>
      <c r="U74" s="16"/>
      <c r="V74" s="17"/>
      <c r="W74" s="500" t="s">
        <v>25</v>
      </c>
      <c r="X74" s="501"/>
      <c r="Y74" s="502" t="s">
        <v>18</v>
      </c>
      <c r="Z74" s="505" t="s">
        <v>26</v>
      </c>
      <c r="AA74" s="506"/>
      <c r="AB74" s="15"/>
      <c r="AC74" s="18" t="s">
        <v>6</v>
      </c>
      <c r="AD74" s="19" t="s">
        <v>18</v>
      </c>
      <c r="AE74" s="384"/>
      <c r="AF74" s="507" t="s">
        <v>27</v>
      </c>
      <c r="AG74" s="508"/>
      <c r="AH74" s="20"/>
      <c r="AI74" s="18" t="s">
        <v>6</v>
      </c>
      <c r="AJ74" s="19" t="s">
        <v>18</v>
      </c>
      <c r="AK74" s="21"/>
      <c r="AL74" s="509" t="s">
        <v>28</v>
      </c>
      <c r="AM74" s="510"/>
      <c r="AN74" s="22" t="s">
        <v>29</v>
      </c>
    </row>
    <row r="75" spans="2:40" ht="12.75" customHeight="1" x14ac:dyDescent="0.2">
      <c r="D75" s="472" t="s">
        <v>167</v>
      </c>
      <c r="U75" s="23" t="s">
        <v>30</v>
      </c>
      <c r="V75" s="10" t="s">
        <v>29</v>
      </c>
      <c r="W75" s="511" t="s">
        <v>28</v>
      </c>
      <c r="X75" s="512"/>
      <c r="Y75" s="503"/>
      <c r="Z75" s="513" t="s">
        <v>31</v>
      </c>
      <c r="AA75" s="514"/>
      <c r="AB75" s="15"/>
      <c r="AC75" s="24"/>
      <c r="AD75" s="25"/>
      <c r="AE75" s="383"/>
      <c r="AF75" s="26" t="s">
        <v>32</v>
      </c>
      <c r="AG75" s="27" t="s">
        <v>33</v>
      </c>
      <c r="AH75" s="20"/>
      <c r="AI75" s="24"/>
      <c r="AJ75" s="25"/>
      <c r="AK75" s="383"/>
      <c r="AL75" s="383" t="s">
        <v>32</v>
      </c>
      <c r="AM75" s="241" t="s">
        <v>33</v>
      </c>
      <c r="AN75" s="28"/>
    </row>
    <row r="76" spans="2:40" ht="12.75" customHeight="1" x14ac:dyDescent="0.2">
      <c r="D76" s="472" t="s">
        <v>168</v>
      </c>
      <c r="E76" s="472" t="s">
        <v>169</v>
      </c>
      <c r="F76" s="472" t="s">
        <v>170</v>
      </c>
      <c r="G76" s="472" t="s">
        <v>171</v>
      </c>
      <c r="H76" s="472" t="s">
        <v>172</v>
      </c>
      <c r="I76" s="472" t="s">
        <v>173</v>
      </c>
      <c r="J76" s="472" t="s">
        <v>38</v>
      </c>
      <c r="K76" s="472" t="s">
        <v>154</v>
      </c>
      <c r="L76" s="472" t="s">
        <v>155</v>
      </c>
      <c r="U76" s="29" t="s">
        <v>34</v>
      </c>
      <c r="V76" s="10" t="s">
        <v>25</v>
      </c>
      <c r="W76" s="385" t="s">
        <v>32</v>
      </c>
      <c r="X76" s="383" t="s">
        <v>33</v>
      </c>
      <c r="Y76" s="503"/>
      <c r="Z76" s="513" t="s">
        <v>35</v>
      </c>
      <c r="AA76" s="514"/>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504"/>
      <c r="Z77" s="77"/>
      <c r="AA77" s="28"/>
      <c r="AB77" s="30"/>
      <c r="AC77" s="33"/>
      <c r="AD77" s="34"/>
      <c r="AE77" s="35"/>
      <c r="AF77" s="41"/>
      <c r="AG77" s="42"/>
      <c r="AH77" s="30"/>
      <c r="AI77" s="43" t="s">
        <v>36</v>
      </c>
      <c r="AJ77" s="25">
        <v>15</v>
      </c>
      <c r="AK77" s="30"/>
      <c r="AL77" s="26">
        <f>I2SA!$H$30</f>
        <v>40</v>
      </c>
      <c r="AM77" s="242">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3">
        <f>I2SA!$H$30</f>
        <v>40</v>
      </c>
      <c r="X78" s="242">
        <f>W79+0.5</f>
        <v>38</v>
      </c>
      <c r="Y78" s="385">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2">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3">
        <f t="shared" ref="W79:W93" si="12">W78-V78</f>
        <v>37.5</v>
      </c>
      <c r="X79" s="242">
        <f t="shared" ref="X79:X92" si="13">W80+0.5</f>
        <v>36</v>
      </c>
      <c r="Y79" s="385">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2">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4">
        <f t="shared" si="12"/>
        <v>35.5</v>
      </c>
      <c r="X80" s="242">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2">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3">
        <f t="shared" si="12"/>
        <v>33.5</v>
      </c>
      <c r="X81" s="242">
        <f t="shared" si="13"/>
        <v>32</v>
      </c>
      <c r="Y81" s="385">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2">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3">
        <f t="shared" si="12"/>
        <v>31.5</v>
      </c>
      <c r="X82" s="242">
        <f t="shared" si="13"/>
        <v>30</v>
      </c>
      <c r="Y82" s="385">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2">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4">
        <f t="shared" si="12"/>
        <v>29.5</v>
      </c>
      <c r="X83" s="242">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2">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3">
        <f t="shared" si="12"/>
        <v>27.5</v>
      </c>
      <c r="X84" s="242">
        <f t="shared" si="13"/>
        <v>26.5</v>
      </c>
      <c r="Y84" s="385">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2">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3">
        <f t="shared" si="12"/>
        <v>26</v>
      </c>
      <c r="X85" s="242">
        <f t="shared" si="13"/>
        <v>25.5</v>
      </c>
      <c r="Y85" s="385">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2">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4">
        <f t="shared" si="12"/>
        <v>25</v>
      </c>
      <c r="X86" s="242">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2">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3">
        <f t="shared" si="12"/>
        <v>23.5</v>
      </c>
      <c r="X87" s="242">
        <f t="shared" si="13"/>
        <v>22.5</v>
      </c>
      <c r="Y87" s="385">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2">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3">
        <f t="shared" si="12"/>
        <v>22</v>
      </c>
      <c r="X88" s="242">
        <f t="shared" si="13"/>
        <v>21</v>
      </c>
      <c r="Y88" s="385">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2">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4">
        <f t="shared" si="12"/>
        <v>20.5</v>
      </c>
      <c r="X89" s="242">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2">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3">
        <f t="shared" si="12"/>
        <v>19.5</v>
      </c>
      <c r="X90" s="242">
        <f t="shared" si="13"/>
        <v>18</v>
      </c>
      <c r="Y90" s="385">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2">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3">
        <f t="shared" si="12"/>
        <v>17.5</v>
      </c>
      <c r="X91" s="242">
        <f t="shared" si="13"/>
        <v>16</v>
      </c>
      <c r="Y91" s="385">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8">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4">
        <f t="shared" si="12"/>
        <v>15.5</v>
      </c>
      <c r="X92" s="242">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9">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5">
        <f t="shared" si="12"/>
        <v>13.500000000000002</v>
      </c>
      <c r="X93" s="249">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7">
        <f t="shared" ref="V96:V111" si="14">+X96</f>
        <v>0</v>
      </c>
      <c r="W96" s="247">
        <f>+W93</f>
        <v>13.500000000000002</v>
      </c>
      <c r="X96" s="247">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7">
        <f t="shared" si="14"/>
        <v>14.000000000000002</v>
      </c>
      <c r="W97" s="247">
        <f>+W92</f>
        <v>15.5</v>
      </c>
      <c r="X97" s="247">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7">
        <f t="shared" si="14"/>
        <v>16</v>
      </c>
      <c r="W98" s="247">
        <f>+W91</f>
        <v>17.5</v>
      </c>
      <c r="X98" s="247">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7">
        <f t="shared" si="14"/>
        <v>18</v>
      </c>
      <c r="W99" s="247">
        <f>+W90</f>
        <v>19.5</v>
      </c>
      <c r="X99" s="247">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7">
        <f t="shared" si="14"/>
        <v>20</v>
      </c>
      <c r="W100" s="247">
        <f>+W89</f>
        <v>20.5</v>
      </c>
      <c r="X100" s="247">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7">
        <f t="shared" si="14"/>
        <v>21</v>
      </c>
      <c r="W101" s="247">
        <f>+W88</f>
        <v>22</v>
      </c>
      <c r="X101" s="247">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7">
        <f t="shared" si="14"/>
        <v>22.5</v>
      </c>
      <c r="W102" s="247">
        <f>+W87</f>
        <v>23.5</v>
      </c>
      <c r="X102" s="247">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7">
        <f t="shared" si="14"/>
        <v>24</v>
      </c>
      <c r="W103" s="247">
        <f>+W86</f>
        <v>25</v>
      </c>
      <c r="X103" s="247">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7">
        <f t="shared" si="14"/>
        <v>25.5</v>
      </c>
      <c r="W104" s="247">
        <f>+W85</f>
        <v>26</v>
      </c>
      <c r="X104" s="247">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7">
        <f t="shared" si="14"/>
        <v>26.5</v>
      </c>
      <c r="W105" s="247">
        <f>+W84</f>
        <v>27.5</v>
      </c>
      <c r="X105" s="247">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7">
        <f t="shared" si="14"/>
        <v>28</v>
      </c>
      <c r="W106" s="247">
        <f>+W83</f>
        <v>29.5</v>
      </c>
      <c r="X106" s="247">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7">
        <f t="shared" si="14"/>
        <v>30</v>
      </c>
      <c r="W107" s="247">
        <f>+W82</f>
        <v>31.5</v>
      </c>
      <c r="X107" s="247">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7">
        <f t="shared" si="14"/>
        <v>32</v>
      </c>
      <c r="W108" s="247">
        <f>+W81</f>
        <v>33.5</v>
      </c>
      <c r="X108" s="247">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7">
        <f t="shared" si="14"/>
        <v>34</v>
      </c>
      <c r="W109" s="247">
        <f>+W80</f>
        <v>35.5</v>
      </c>
      <c r="X109" s="247">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7">
        <f t="shared" si="14"/>
        <v>36</v>
      </c>
      <c r="W110" s="247">
        <f>+W79</f>
        <v>37.5</v>
      </c>
      <c r="X110" s="247">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7">
        <f t="shared" si="14"/>
        <v>38</v>
      </c>
      <c r="W111" s="247">
        <f>+W78</f>
        <v>40</v>
      </c>
      <c r="X111" s="247">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3"/>
      <c r="AJ115" s="26"/>
      <c r="AK115" s="26"/>
      <c r="AL115" s="20"/>
      <c r="AM115" s="53" t="s">
        <v>41</v>
      </c>
      <c r="AN115" s="383"/>
    </row>
    <row r="116" spans="4:40" ht="12.75" customHeight="1" thickBot="1" x14ac:dyDescent="0.25">
      <c r="D116" s="472" t="s">
        <v>174</v>
      </c>
      <c r="U116" s="383"/>
      <c r="V116" s="250"/>
      <c r="W116" s="516"/>
      <c r="X116" s="516"/>
      <c r="Y116" s="30"/>
      <c r="Z116" s="516"/>
      <c r="AA116" s="516"/>
      <c r="AB116" s="15"/>
      <c r="AC116" s="30"/>
      <c r="AD116" s="383"/>
      <c r="AE116" s="383"/>
      <c r="AF116" s="26"/>
      <c r="AG116" s="26"/>
      <c r="AH116" s="20"/>
      <c r="AI116" s="30"/>
      <c r="AJ116" s="383"/>
      <c r="AK116" s="30"/>
      <c r="AL116" s="383"/>
      <c r="AM116" s="383"/>
      <c r="AN116" s="383"/>
    </row>
    <row r="117" spans="4:40" ht="12.75" customHeight="1" x14ac:dyDescent="0.2">
      <c r="D117" s="472" t="s">
        <v>168</v>
      </c>
      <c r="E117" s="472" t="s">
        <v>169</v>
      </c>
      <c r="F117" s="472" t="s">
        <v>170</v>
      </c>
      <c r="G117" s="472" t="s">
        <v>171</v>
      </c>
      <c r="H117" s="472" t="s">
        <v>172</v>
      </c>
      <c r="I117" s="472" t="s">
        <v>173</v>
      </c>
      <c r="J117" s="472" t="s">
        <v>38</v>
      </c>
      <c r="K117" s="472" t="s">
        <v>154</v>
      </c>
      <c r="L117" s="472" t="s">
        <v>155</v>
      </c>
      <c r="U117" s="251"/>
      <c r="V117" s="250"/>
      <c r="W117" s="512"/>
      <c r="X117" s="512"/>
      <c r="Y117" s="30"/>
      <c r="Z117" s="516"/>
      <c r="AA117" s="516"/>
      <c r="AB117" s="15"/>
      <c r="AC117" s="18" t="s">
        <v>6</v>
      </c>
      <c r="AD117" s="19" t="s">
        <v>18</v>
      </c>
      <c r="AE117" s="384"/>
      <c r="AF117" s="507" t="s">
        <v>27</v>
      </c>
      <c r="AG117" s="508"/>
      <c r="AH117" s="20"/>
      <c r="AI117" s="18" t="s">
        <v>6</v>
      </c>
      <c r="AJ117" s="19" t="s">
        <v>18</v>
      </c>
      <c r="AK117" s="21"/>
      <c r="AL117" s="509" t="s">
        <v>28</v>
      </c>
      <c r="AM117" s="510"/>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2"/>
      <c r="V118" s="250"/>
      <c r="W118" s="383"/>
      <c r="X118" s="383"/>
      <c r="Y118" s="30"/>
      <c r="Z118" s="516"/>
      <c r="AA118" s="516"/>
      <c r="AB118" s="15"/>
      <c r="AC118" s="24"/>
      <c r="AD118" s="25"/>
      <c r="AE118" s="383"/>
      <c r="AF118" s="26" t="s">
        <v>32</v>
      </c>
      <c r="AG118" s="27" t="s">
        <v>33</v>
      </c>
      <c r="AH118" s="20"/>
      <c r="AI118" s="24"/>
      <c r="AJ118" s="25"/>
      <c r="AK118" s="383"/>
      <c r="AL118" s="383" t="s">
        <v>32</v>
      </c>
      <c r="AM118" s="241"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50"/>
      <c r="W119" s="383"/>
      <c r="X119" s="383"/>
      <c r="Y119" s="30"/>
      <c r="Z119" s="383"/>
      <c r="AA119" s="383"/>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1"/>
      <c r="V120" s="250"/>
      <c r="W120" s="44"/>
      <c r="X120" s="383"/>
      <c r="Y120" s="30"/>
      <c r="Z120" s="383"/>
      <c r="AA120" s="383"/>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2">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1"/>
      <c r="V121" s="250"/>
      <c r="W121" s="383"/>
      <c r="X121" s="383"/>
      <c r="Y121" s="30"/>
      <c r="Z121" s="383"/>
      <c r="AA121" s="383"/>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2">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1"/>
      <c r="V122" s="250"/>
      <c r="W122" s="383"/>
      <c r="X122" s="383"/>
      <c r="Y122" s="30"/>
      <c r="Z122" s="383"/>
      <c r="AA122" s="383"/>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2">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1"/>
      <c r="V123" s="250"/>
      <c r="W123" s="383"/>
      <c r="X123" s="383"/>
      <c r="Y123" s="30"/>
      <c r="Z123" s="383"/>
      <c r="AA123" s="383"/>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2">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1"/>
      <c r="V124" s="250"/>
      <c r="W124" s="383"/>
      <c r="X124" s="383"/>
      <c r="Y124" s="30"/>
      <c r="Z124" s="383"/>
      <c r="AA124" s="383"/>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2">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1"/>
      <c r="V125" s="250"/>
      <c r="W125" s="383"/>
      <c r="X125" s="383"/>
      <c r="Y125" s="30"/>
      <c r="Z125" s="383"/>
      <c r="AA125" s="383"/>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2">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1"/>
      <c r="V126" s="250"/>
      <c r="W126" s="383"/>
      <c r="X126" s="383"/>
      <c r="Y126" s="30"/>
      <c r="Z126" s="383"/>
      <c r="AA126" s="383"/>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2">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1"/>
      <c r="V127" s="250"/>
      <c r="W127" s="383"/>
      <c r="X127" s="383"/>
      <c r="Y127" s="30"/>
      <c r="Z127" s="383"/>
      <c r="AA127" s="383"/>
      <c r="AB127" s="15"/>
      <c r="AC127" s="24">
        <v>3</v>
      </c>
      <c r="AD127" s="25">
        <v>8</v>
      </c>
      <c r="AE127" s="30"/>
      <c r="AF127" s="26">
        <f>I2SA!$H$35+10*(100-I2SA!$H$35)/30</f>
        <v>66</v>
      </c>
      <c r="AG127" s="27">
        <f t="shared" si="15"/>
        <v>62.7</v>
      </c>
      <c r="AH127" s="30"/>
      <c r="AI127" s="24">
        <v>3</v>
      </c>
      <c r="AJ127" s="25">
        <v>8</v>
      </c>
      <c r="AK127" s="30"/>
      <c r="AL127" s="26">
        <f>ROUNDDOWN(I2SA!$H$30*AF127/500,1)*5</f>
        <v>26</v>
      </c>
      <c r="AM127" s="242">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1"/>
      <c r="V128" s="250"/>
      <c r="W128" s="383"/>
      <c r="X128" s="383"/>
      <c r="Y128" s="30"/>
      <c r="Z128" s="383"/>
      <c r="AA128" s="383"/>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2">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1"/>
      <c r="V129" s="250"/>
      <c r="W129" s="383"/>
      <c r="X129" s="383"/>
      <c r="Y129" s="30"/>
      <c r="Z129" s="383"/>
      <c r="AA129" s="383"/>
      <c r="AB129" s="15"/>
      <c r="AC129" s="43" t="s">
        <v>36</v>
      </c>
      <c r="AD129" s="25">
        <v>6</v>
      </c>
      <c r="AE129" s="30"/>
      <c r="AF129" s="26">
        <f>I2SA!$H$35+6*(100-I2SA!$H$35)/30</f>
        <v>59.2</v>
      </c>
      <c r="AG129" s="27">
        <f t="shared" si="15"/>
        <v>55.9</v>
      </c>
      <c r="AH129" s="30"/>
      <c r="AI129" s="43" t="s">
        <v>36</v>
      </c>
      <c r="AJ129" s="25">
        <v>6</v>
      </c>
      <c r="AK129" s="30"/>
      <c r="AL129" s="26">
        <f>ROUNDDOWN(I2SA!$H$30*AF129/500,1)*5</f>
        <v>23.5</v>
      </c>
      <c r="AM129" s="242">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1"/>
      <c r="V130" s="250"/>
      <c r="W130" s="383"/>
      <c r="X130" s="383"/>
      <c r="Y130" s="30"/>
      <c r="Z130" s="383"/>
      <c r="AA130" s="383"/>
      <c r="AB130" s="15"/>
      <c r="AC130" s="24">
        <v>4</v>
      </c>
      <c r="AD130" s="25">
        <v>5</v>
      </c>
      <c r="AE130" s="30"/>
      <c r="AF130" s="26">
        <f>I2SA!$H$35+4*(100-I2SA!$H$35)/30</f>
        <v>55.8</v>
      </c>
      <c r="AG130" s="27">
        <f t="shared" si="15"/>
        <v>52.5</v>
      </c>
      <c r="AH130" s="30"/>
      <c r="AI130" s="24">
        <v>4</v>
      </c>
      <c r="AJ130" s="25">
        <v>5</v>
      </c>
      <c r="AK130" s="30"/>
      <c r="AL130" s="26">
        <f>ROUNDDOWN(I2SA!$H$30*AF130/500,1)*5</f>
        <v>22</v>
      </c>
      <c r="AM130" s="242">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1"/>
      <c r="V131" s="250"/>
      <c r="W131" s="383"/>
      <c r="X131" s="383"/>
      <c r="Y131" s="30"/>
      <c r="Z131" s="383"/>
      <c r="AA131" s="383"/>
      <c r="AB131" s="15"/>
      <c r="AC131" s="46" t="s">
        <v>9</v>
      </c>
      <c r="AD131" s="34">
        <v>4</v>
      </c>
      <c r="AE131" s="35"/>
      <c r="AF131" s="47">
        <f>I2SA!$H$35+2*(100-I2SA!$H$35)/30</f>
        <v>52.4</v>
      </c>
      <c r="AG131" s="48">
        <f t="shared" si="15"/>
        <v>49.1</v>
      </c>
      <c r="AH131" s="30"/>
      <c r="AI131" s="46" t="s">
        <v>9</v>
      </c>
      <c r="AJ131" s="34">
        <v>4</v>
      </c>
      <c r="AK131" s="35"/>
      <c r="AL131" s="26">
        <f>ROUNDDOWN(I2SA!$H$30*AF131/500,1)*5</f>
        <v>20.5</v>
      </c>
      <c r="AM131" s="242">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1"/>
      <c r="V132" s="250"/>
      <c r="W132" s="383"/>
      <c r="X132" s="383"/>
      <c r="Y132" s="30"/>
      <c r="Z132" s="383"/>
      <c r="AA132" s="383"/>
      <c r="AB132" s="15"/>
      <c r="AC132" s="43" t="s">
        <v>36</v>
      </c>
      <c r="AD132" s="25">
        <v>3</v>
      </c>
      <c r="AE132" s="30"/>
      <c r="AF132" s="26">
        <f>I2SA!$H$35</f>
        <v>49</v>
      </c>
      <c r="AG132" s="27">
        <f>AF133+0.01</f>
        <v>44.01</v>
      </c>
      <c r="AH132" s="30"/>
      <c r="AI132" s="43" t="s">
        <v>36</v>
      </c>
      <c r="AJ132" s="25">
        <v>3</v>
      </c>
      <c r="AK132" s="30"/>
      <c r="AL132" s="26">
        <f>ROUNDDOWN(I2SA!$H$30*AF132/500,1)*5</f>
        <v>19.5</v>
      </c>
      <c r="AM132" s="242">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1"/>
      <c r="V133" s="250"/>
      <c r="W133" s="383"/>
      <c r="X133" s="383"/>
      <c r="Y133" s="30"/>
      <c r="Z133" s="383"/>
      <c r="AA133" s="383"/>
      <c r="AB133" s="15"/>
      <c r="AC133" s="24">
        <v>5</v>
      </c>
      <c r="AD133" s="25">
        <v>2</v>
      </c>
      <c r="AE133" s="30"/>
      <c r="AF133" s="26">
        <f>AG134+2*(AF132-AG134)/3</f>
        <v>44</v>
      </c>
      <c r="AG133" s="27">
        <f>AF134+0.01</f>
        <v>39.01</v>
      </c>
      <c r="AH133" s="30"/>
      <c r="AI133" s="24">
        <v>5</v>
      </c>
      <c r="AJ133" s="25">
        <v>2</v>
      </c>
      <c r="AK133" s="30"/>
      <c r="AL133" s="26">
        <f>ROUNDDOWN(I2SA!$H$30*AF133/500,1)*5</f>
        <v>17.5</v>
      </c>
      <c r="AM133" s="242">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1"/>
      <c r="V134" s="250"/>
      <c r="W134" s="383"/>
      <c r="X134" s="250"/>
      <c r="Y134" s="30"/>
      <c r="Z134" s="383"/>
      <c r="AA134" s="383"/>
      <c r="AB134" s="15"/>
      <c r="AC134" s="46" t="s">
        <v>9</v>
      </c>
      <c r="AD134" s="34">
        <v>1</v>
      </c>
      <c r="AE134" s="35"/>
      <c r="AF134" s="47">
        <f>AG134+(AF132-AG134)/3</f>
        <v>39</v>
      </c>
      <c r="AG134" s="48">
        <f>I2SA!$H$34</f>
        <v>34</v>
      </c>
      <c r="AH134" s="30"/>
      <c r="AI134" s="46" t="s">
        <v>9</v>
      </c>
      <c r="AJ134" s="34">
        <v>1</v>
      </c>
      <c r="AK134" s="35"/>
      <c r="AL134" s="26">
        <f>ROUNDDOWN(I2SA!$H$30*AF134/500,1)*5</f>
        <v>15.5</v>
      </c>
      <c r="AM134" s="248">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50"/>
      <c r="V135" s="250"/>
      <c r="W135" s="383"/>
      <c r="X135" s="383"/>
      <c r="Y135" s="30"/>
      <c r="Z135" s="383"/>
      <c r="AA135" s="383"/>
      <c r="AB135" s="15"/>
      <c r="AC135" s="54">
        <v>6</v>
      </c>
      <c r="AD135" s="55">
        <v>0</v>
      </c>
      <c r="AE135" s="56"/>
      <c r="AF135" s="61">
        <f>I2SA!$H$34-0.1</f>
        <v>33.9</v>
      </c>
      <c r="AG135" s="62">
        <v>0</v>
      </c>
      <c r="AH135" s="30"/>
      <c r="AI135" s="54">
        <v>6</v>
      </c>
      <c r="AJ135" s="55">
        <v>0</v>
      </c>
      <c r="AK135" s="56"/>
      <c r="AL135" s="61">
        <f>AM134-0.5</f>
        <v>13.500000000000002</v>
      </c>
      <c r="AM135" s="249">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500" t="s">
        <v>25</v>
      </c>
      <c r="X157" s="501"/>
      <c r="Y157" s="502" t="s">
        <v>18</v>
      </c>
      <c r="Z157" s="505" t="s">
        <v>26</v>
      </c>
      <c r="AA157" s="506"/>
      <c r="AB157" s="15"/>
      <c r="AC157" s="18" t="s">
        <v>6</v>
      </c>
      <c r="AD157" s="19" t="s">
        <v>18</v>
      </c>
      <c r="AE157" s="384"/>
      <c r="AF157" s="507" t="s">
        <v>27</v>
      </c>
      <c r="AG157" s="508"/>
      <c r="AH157" s="20"/>
      <c r="AI157" s="18" t="s">
        <v>6</v>
      </c>
      <c r="AJ157" s="19" t="s">
        <v>18</v>
      </c>
      <c r="AK157" s="21"/>
      <c r="AL157" s="509" t="s">
        <v>28</v>
      </c>
      <c r="AM157" s="510"/>
      <c r="AN157" s="22" t="s">
        <v>29</v>
      </c>
    </row>
    <row r="158" spans="4:40" ht="12.75" customHeight="1" x14ac:dyDescent="0.2">
      <c r="U158" s="23" t="s">
        <v>30</v>
      </c>
      <c r="V158" s="10" t="s">
        <v>29</v>
      </c>
      <c r="W158" s="511" t="s">
        <v>28</v>
      </c>
      <c r="X158" s="512"/>
      <c r="Y158" s="503"/>
      <c r="Z158" s="513" t="s">
        <v>31</v>
      </c>
      <c r="AA158" s="514"/>
      <c r="AB158" s="15"/>
      <c r="AC158" s="24"/>
      <c r="AD158" s="25"/>
      <c r="AE158" s="383"/>
      <c r="AF158" s="26" t="s">
        <v>32</v>
      </c>
      <c r="AG158" s="27" t="s">
        <v>33</v>
      </c>
      <c r="AH158" s="20"/>
      <c r="AI158" s="24"/>
      <c r="AJ158" s="25"/>
      <c r="AK158" s="383"/>
      <c r="AL158" s="383" t="s">
        <v>32</v>
      </c>
      <c r="AM158" s="241" t="s">
        <v>33</v>
      </c>
      <c r="AN158" s="28"/>
    </row>
    <row r="159" spans="4:40" ht="12.75" customHeight="1" x14ac:dyDescent="0.2">
      <c r="U159" s="29" t="s">
        <v>34</v>
      </c>
      <c r="V159" s="10" t="s">
        <v>25</v>
      </c>
      <c r="W159" s="385" t="s">
        <v>32</v>
      </c>
      <c r="X159" s="383" t="s">
        <v>33</v>
      </c>
      <c r="Y159" s="503"/>
      <c r="Z159" s="513" t="s">
        <v>35</v>
      </c>
      <c r="AA159" s="514"/>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504"/>
      <c r="Z160" s="77"/>
      <c r="AA160" s="28"/>
      <c r="AB160" s="30"/>
      <c r="AC160" s="33"/>
      <c r="AD160" s="34"/>
      <c r="AE160" s="35"/>
      <c r="AF160" s="41"/>
      <c r="AG160" s="42"/>
      <c r="AH160" s="30"/>
      <c r="AI160" s="43" t="s">
        <v>36</v>
      </c>
      <c r="AJ160" s="25">
        <v>15</v>
      </c>
      <c r="AK160" s="30"/>
      <c r="AL160" s="26">
        <f>I1Ext!$H$30</f>
        <v>20</v>
      </c>
      <c r="AM160" s="242">
        <f>AL161+0.5</f>
        <v>19.5</v>
      </c>
      <c r="AN160" s="28">
        <f t="shared" ref="AN160:AN174" si="18">IF(AM160&gt;AL160,"ALARM",AL160-AL161)</f>
        <v>1</v>
      </c>
    </row>
    <row r="161" spans="21:40" ht="12.75" customHeight="1" x14ac:dyDescent="0.2">
      <c r="U161" s="70">
        <f>+I1Ext!A43</f>
        <v>0</v>
      </c>
      <c r="V161" s="72">
        <f>IF(I1Ext!$H$32="M",AN160+U161,AN203+U161)</f>
        <v>1.5</v>
      </c>
      <c r="W161" s="253">
        <f>I1Ext!$H$30</f>
        <v>20</v>
      </c>
      <c r="X161" s="242">
        <f>W162+0.5</f>
        <v>19</v>
      </c>
      <c r="Y161" s="385">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2">
        <f t="shared" ref="AM161:AM173" si="20">AL162+0.5</f>
        <v>18.5</v>
      </c>
      <c r="AN161" s="28">
        <f t="shared" si="18"/>
        <v>1</v>
      </c>
    </row>
    <row r="162" spans="21:40" ht="12.75" customHeight="1" x14ac:dyDescent="0.2">
      <c r="U162" s="70">
        <f>+I1Ext!A44</f>
        <v>0</v>
      </c>
      <c r="V162" s="73">
        <f>IF(I1Ext!$H$32="M",AN161+U162,AN204+U162)</f>
        <v>1</v>
      </c>
      <c r="W162" s="253">
        <f t="shared" ref="W162:W176" si="21">W161-V161</f>
        <v>18.5</v>
      </c>
      <c r="X162" s="242">
        <f t="shared" ref="X162:X175" si="22">W163+0.5</f>
        <v>18</v>
      </c>
      <c r="Y162" s="385">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2">
        <f t="shared" si="20"/>
        <v>17.5</v>
      </c>
      <c r="AN162" s="38">
        <f t="shared" si="18"/>
        <v>1</v>
      </c>
    </row>
    <row r="163" spans="21:40" ht="12.75" customHeight="1" x14ac:dyDescent="0.2">
      <c r="U163" s="70">
        <f>+I1Ext!A45</f>
        <v>0</v>
      </c>
      <c r="V163" s="73">
        <f>IF(I1Ext!$H$32="M",AN162+U163,AN205+U163)</f>
        <v>1</v>
      </c>
      <c r="W163" s="254">
        <f t="shared" si="21"/>
        <v>17.5</v>
      </c>
      <c r="X163" s="242">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2">
        <f t="shared" si="20"/>
        <v>17</v>
      </c>
      <c r="AN163" s="28">
        <f t="shared" si="18"/>
        <v>0.5</v>
      </c>
    </row>
    <row r="164" spans="21:40" ht="12.75" customHeight="1" x14ac:dyDescent="0.2">
      <c r="U164" s="70">
        <f>+I1Ext!A46</f>
        <v>0</v>
      </c>
      <c r="V164" s="72">
        <f>IF(I1Ext!$H$32="M",AN163+U164,AN206+U164)</f>
        <v>1</v>
      </c>
      <c r="W164" s="253">
        <f t="shared" si="21"/>
        <v>16.5</v>
      </c>
      <c r="X164" s="242">
        <f t="shared" si="22"/>
        <v>16</v>
      </c>
      <c r="Y164" s="385">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2">
        <f t="shared" si="20"/>
        <v>16</v>
      </c>
      <c r="AN164" s="28">
        <f t="shared" si="18"/>
        <v>1</v>
      </c>
    </row>
    <row r="165" spans="21:40" ht="12.75" customHeight="1" x14ac:dyDescent="0.2">
      <c r="U165" s="70">
        <f>+I1Ext!A47</f>
        <v>0</v>
      </c>
      <c r="V165" s="73">
        <f>IF(I1Ext!$H$32="M",AN164+U165,AN207+U165)</f>
        <v>1</v>
      </c>
      <c r="W165" s="253">
        <f t="shared" si="21"/>
        <v>15.5</v>
      </c>
      <c r="X165" s="242">
        <f t="shared" si="22"/>
        <v>15</v>
      </c>
      <c r="Y165" s="385">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2">
        <f t="shared" si="20"/>
        <v>15</v>
      </c>
      <c r="AN165" s="38">
        <f t="shared" si="18"/>
        <v>1</v>
      </c>
    </row>
    <row r="166" spans="21:40" ht="12.75" customHeight="1" x14ac:dyDescent="0.2">
      <c r="U166" s="70">
        <f>+I1Ext!A48</f>
        <v>0</v>
      </c>
      <c r="V166" s="75">
        <f>IF(I1Ext!$H$32="M",AN165+U166,AN208+U166)</f>
        <v>1</v>
      </c>
      <c r="W166" s="254">
        <f t="shared" si="21"/>
        <v>14.5</v>
      </c>
      <c r="X166" s="242">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2">
        <f t="shared" si="20"/>
        <v>14.5</v>
      </c>
      <c r="AN166" s="28">
        <f t="shared" si="18"/>
        <v>0.5</v>
      </c>
    </row>
    <row r="167" spans="21:40" ht="12.75" customHeight="1" x14ac:dyDescent="0.2">
      <c r="U167" s="70">
        <f>+I1Ext!A49</f>
        <v>0</v>
      </c>
      <c r="V167" s="73">
        <f>IF(I1Ext!$H$32="M",AN166+U167,AN209+U167)</f>
        <v>0.5</v>
      </c>
      <c r="W167" s="253">
        <f t="shared" si="21"/>
        <v>13.5</v>
      </c>
      <c r="X167" s="242">
        <f t="shared" si="22"/>
        <v>13.5</v>
      </c>
      <c r="Y167" s="385">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2">
        <f t="shared" si="20"/>
        <v>13.5</v>
      </c>
      <c r="AN167" s="28">
        <f t="shared" si="18"/>
        <v>1</v>
      </c>
    </row>
    <row r="168" spans="21:40" ht="12.75" customHeight="1" x14ac:dyDescent="0.2">
      <c r="U168" s="70">
        <f>+I1Ext!A50</f>
        <v>0</v>
      </c>
      <c r="V168" s="73">
        <f>IF(I1Ext!$H$32="M",AN167+U168,AN210+U168)</f>
        <v>0.5</v>
      </c>
      <c r="W168" s="253">
        <f t="shared" si="21"/>
        <v>13</v>
      </c>
      <c r="X168" s="242">
        <f t="shared" si="22"/>
        <v>13</v>
      </c>
      <c r="Y168" s="385">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2">
        <f t="shared" si="20"/>
        <v>12.5</v>
      </c>
      <c r="AN168" s="38">
        <f t="shared" si="18"/>
        <v>1</v>
      </c>
    </row>
    <row r="169" spans="21:40" ht="12.75" customHeight="1" x14ac:dyDescent="0.2">
      <c r="U169" s="70">
        <f>+I1Ext!A51</f>
        <v>0</v>
      </c>
      <c r="V169" s="73">
        <f>IF(I1Ext!$H$32="M",AN168+U169,AN211+U169)</f>
        <v>1</v>
      </c>
      <c r="W169" s="254">
        <f t="shared" si="21"/>
        <v>12.5</v>
      </c>
      <c r="X169" s="242">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2">
        <f t="shared" si="20"/>
        <v>12</v>
      </c>
      <c r="AN169" s="28">
        <f t="shared" si="18"/>
        <v>0.5</v>
      </c>
    </row>
    <row r="170" spans="21:40" ht="12.75" customHeight="1" x14ac:dyDescent="0.2">
      <c r="U170" s="70">
        <f>+I1Ext!A52</f>
        <v>0</v>
      </c>
      <c r="V170" s="72">
        <f>IF(I1Ext!$H$32="M",AN169+U170,AN212+U170)</f>
        <v>0.5</v>
      </c>
      <c r="W170" s="253">
        <f t="shared" si="21"/>
        <v>11.5</v>
      </c>
      <c r="X170" s="242">
        <f t="shared" si="22"/>
        <v>11.5</v>
      </c>
      <c r="Y170" s="385">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2">
        <f t="shared" si="20"/>
        <v>11</v>
      </c>
      <c r="AN170" s="28">
        <f t="shared" si="18"/>
        <v>1</v>
      </c>
    </row>
    <row r="171" spans="21:40" ht="12.75" customHeight="1" x14ac:dyDescent="0.2">
      <c r="U171" s="70">
        <f>+I1Ext!A53</f>
        <v>0</v>
      </c>
      <c r="V171" s="73">
        <f>IF(I1Ext!$H$32="M",AN170+U171,AN213+U171)</f>
        <v>1</v>
      </c>
      <c r="W171" s="253">
        <f t="shared" si="21"/>
        <v>11</v>
      </c>
      <c r="X171" s="242">
        <f t="shared" si="22"/>
        <v>10.5</v>
      </c>
      <c r="Y171" s="385">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2">
        <f t="shared" si="20"/>
        <v>10</v>
      </c>
      <c r="AN171" s="38">
        <f t="shared" si="18"/>
        <v>1</v>
      </c>
    </row>
    <row r="172" spans="21:40" ht="12.75" customHeight="1" x14ac:dyDescent="0.2">
      <c r="U172" s="70">
        <f>+I1Ext!A54</f>
        <v>0</v>
      </c>
      <c r="V172" s="75">
        <f>IF(I1Ext!$H$32="M",AN171+U172,AN214+U172)</f>
        <v>0.5</v>
      </c>
      <c r="W172" s="254">
        <f t="shared" si="21"/>
        <v>10</v>
      </c>
      <c r="X172" s="242">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2">
        <f t="shared" si="20"/>
        <v>9</v>
      </c>
      <c r="AN172" s="28">
        <f t="shared" si="18"/>
        <v>1</v>
      </c>
    </row>
    <row r="173" spans="21:40" ht="12.75" customHeight="1" x14ac:dyDescent="0.2">
      <c r="U173" s="70">
        <f>+I1Ext!A55</f>
        <v>0</v>
      </c>
      <c r="V173" s="72">
        <f>IF(I1Ext!$H$32="M",AN172+U173,AN215+U173)</f>
        <v>1</v>
      </c>
      <c r="W173" s="253">
        <f t="shared" si="21"/>
        <v>9.5</v>
      </c>
      <c r="X173" s="242">
        <f t="shared" si="22"/>
        <v>9</v>
      </c>
      <c r="Y173" s="385">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2">
        <f t="shared" si="20"/>
        <v>8</v>
      </c>
      <c r="AN173" s="28">
        <f t="shared" si="18"/>
        <v>1</v>
      </c>
    </row>
    <row r="174" spans="21:40" ht="12.75" customHeight="1" x14ac:dyDescent="0.2">
      <c r="U174" s="70">
        <f>+I1Ext!A56</f>
        <v>0</v>
      </c>
      <c r="V174" s="73">
        <f>IF(I1Ext!$H$32="M",AN173+U174,AN216+U174)</f>
        <v>1</v>
      </c>
      <c r="W174" s="253">
        <f t="shared" si="21"/>
        <v>8.5</v>
      </c>
      <c r="X174" s="242">
        <f t="shared" si="22"/>
        <v>8</v>
      </c>
      <c r="Y174" s="385">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8">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4">
        <f t="shared" si="21"/>
        <v>7.5</v>
      </c>
      <c r="X175" s="242">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9">
        <v>0</v>
      </c>
      <c r="AN175" s="59">
        <f>IF(AM175&gt;AM174,"ALARM",AL175)</f>
        <v>6.5000000000000009</v>
      </c>
    </row>
    <row r="176" spans="21:40" ht="12.75" customHeight="1" thickBot="1" x14ac:dyDescent="0.25">
      <c r="U176" s="12" t="s">
        <v>37</v>
      </c>
      <c r="V176" s="74">
        <f>IF(I1Ext!$H$32="M",+W176,W218)</f>
        <v>0</v>
      </c>
      <c r="W176" s="255">
        <f t="shared" si="21"/>
        <v>6.5000000000000009</v>
      </c>
      <c r="X176" s="249">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7">
        <f t="shared" ref="V179:V194" si="23">+X179</f>
        <v>0</v>
      </c>
      <c r="W179" s="247">
        <f>+W176</f>
        <v>6.5000000000000009</v>
      </c>
      <c r="X179" s="247">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7">
        <f t="shared" si="23"/>
        <v>7.0000000000000009</v>
      </c>
      <c r="W180" s="247">
        <f>+W175</f>
        <v>7.5</v>
      </c>
      <c r="X180" s="247">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7">
        <f t="shared" si="23"/>
        <v>8</v>
      </c>
      <c r="W181" s="247">
        <f>+W174</f>
        <v>8.5</v>
      </c>
      <c r="X181" s="247">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7">
        <f t="shared" si="23"/>
        <v>9</v>
      </c>
      <c r="W182" s="247">
        <f>+W173</f>
        <v>9.5</v>
      </c>
      <c r="X182" s="247">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7">
        <f t="shared" si="23"/>
        <v>10</v>
      </c>
      <c r="W183" s="247">
        <f>+W172</f>
        <v>10</v>
      </c>
      <c r="X183" s="247">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7">
        <f t="shared" si="23"/>
        <v>10.5</v>
      </c>
      <c r="W184" s="247">
        <f>+W171</f>
        <v>11</v>
      </c>
      <c r="X184" s="247">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7">
        <f t="shared" si="23"/>
        <v>11.5</v>
      </c>
      <c r="W185" s="247">
        <f>+W170</f>
        <v>11.5</v>
      </c>
      <c r="X185" s="247">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7">
        <f t="shared" si="23"/>
        <v>12</v>
      </c>
      <c r="W186" s="247">
        <f>+W169</f>
        <v>12.5</v>
      </c>
      <c r="X186" s="247">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7">
        <f t="shared" si="23"/>
        <v>13</v>
      </c>
      <c r="W187" s="247">
        <f>+W168</f>
        <v>13</v>
      </c>
      <c r="X187" s="247">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7">
        <f t="shared" si="23"/>
        <v>13.5</v>
      </c>
      <c r="W188" s="247">
        <f>+W167</f>
        <v>13.5</v>
      </c>
      <c r="X188" s="247">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7">
        <f t="shared" si="23"/>
        <v>14</v>
      </c>
      <c r="W189" s="247">
        <f>+W166</f>
        <v>14.5</v>
      </c>
      <c r="X189" s="247">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7">
        <f t="shared" si="23"/>
        <v>15</v>
      </c>
      <c r="W190" s="247">
        <f>+W165</f>
        <v>15.5</v>
      </c>
      <c r="X190" s="247">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7">
        <f t="shared" si="23"/>
        <v>16</v>
      </c>
      <c r="W191" s="247">
        <f>+W164</f>
        <v>16.5</v>
      </c>
      <c r="X191" s="247">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7">
        <f t="shared" si="23"/>
        <v>17</v>
      </c>
      <c r="W192" s="247">
        <f>+W163</f>
        <v>17.5</v>
      </c>
      <c r="X192" s="247">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7">
        <f t="shared" si="23"/>
        <v>18</v>
      </c>
      <c r="W193" s="247">
        <f>+W162</f>
        <v>18.5</v>
      </c>
      <c r="X193" s="247">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7">
        <f t="shared" si="23"/>
        <v>19</v>
      </c>
      <c r="W194" s="247">
        <f>+W161</f>
        <v>20</v>
      </c>
      <c r="X194" s="247">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3"/>
      <c r="AJ198" s="26"/>
      <c r="AK198" s="26"/>
      <c r="AL198" s="20"/>
      <c r="AM198" s="53"/>
      <c r="AN198" s="383"/>
    </row>
    <row r="199" spans="21:40" ht="12.75" customHeight="1" thickBot="1" x14ac:dyDescent="0.25">
      <c r="U199" s="383"/>
      <c r="V199" s="250"/>
      <c r="W199" s="516"/>
      <c r="X199" s="516"/>
      <c r="Y199" s="30"/>
      <c r="Z199" s="516"/>
      <c r="AA199" s="516"/>
      <c r="AB199" s="15"/>
      <c r="AC199" s="30"/>
      <c r="AD199" s="383"/>
      <c r="AE199" s="383"/>
      <c r="AF199" s="26"/>
      <c r="AG199" s="26"/>
      <c r="AH199" s="20"/>
      <c r="AI199" s="30"/>
      <c r="AJ199" s="383"/>
      <c r="AK199" s="30"/>
      <c r="AL199" s="383"/>
      <c r="AM199" s="383"/>
      <c r="AN199" s="383"/>
    </row>
    <row r="200" spans="21:40" ht="12.75" customHeight="1" x14ac:dyDescent="0.2">
      <c r="U200" s="251"/>
      <c r="V200" s="250"/>
      <c r="W200" s="512"/>
      <c r="X200" s="512"/>
      <c r="Y200" s="30"/>
      <c r="Z200" s="516"/>
      <c r="AA200" s="516"/>
      <c r="AB200" s="15"/>
      <c r="AC200" s="18" t="s">
        <v>6</v>
      </c>
      <c r="AD200" s="19" t="s">
        <v>18</v>
      </c>
      <c r="AE200" s="384"/>
      <c r="AF200" s="507" t="s">
        <v>27</v>
      </c>
      <c r="AG200" s="508"/>
      <c r="AH200" s="20"/>
      <c r="AI200" s="18" t="s">
        <v>6</v>
      </c>
      <c r="AJ200" s="19" t="s">
        <v>18</v>
      </c>
      <c r="AK200" s="21"/>
      <c r="AL200" s="509" t="s">
        <v>28</v>
      </c>
      <c r="AM200" s="510"/>
      <c r="AN200" s="22" t="s">
        <v>29</v>
      </c>
    </row>
    <row r="201" spans="21:40" ht="12.75" customHeight="1" x14ac:dyDescent="0.2">
      <c r="U201" s="252"/>
      <c r="V201" s="250"/>
      <c r="W201" s="383"/>
      <c r="X201" s="383"/>
      <c r="Y201" s="30"/>
      <c r="Z201" s="516"/>
      <c r="AA201" s="516"/>
      <c r="AB201" s="15"/>
      <c r="AC201" s="24"/>
      <c r="AD201" s="25"/>
      <c r="AE201" s="383"/>
      <c r="AF201" s="26" t="s">
        <v>32</v>
      </c>
      <c r="AG201" s="27" t="s">
        <v>33</v>
      </c>
      <c r="AH201" s="20"/>
      <c r="AI201" s="24"/>
      <c r="AJ201" s="25"/>
      <c r="AK201" s="383"/>
      <c r="AL201" s="383" t="s">
        <v>32</v>
      </c>
      <c r="AM201" s="241" t="s">
        <v>33</v>
      </c>
      <c r="AN201" s="28"/>
    </row>
    <row r="202" spans="21:40" ht="12.75" customHeight="1" x14ac:dyDescent="0.2">
      <c r="U202" s="30"/>
      <c r="V202" s="250"/>
      <c r="W202" s="383"/>
      <c r="X202" s="383"/>
      <c r="Y202" s="30"/>
      <c r="Z202" s="383"/>
      <c r="AA202" s="383"/>
      <c r="AB202" s="15"/>
      <c r="AC202" s="33"/>
      <c r="AD202" s="34"/>
      <c r="AE202" s="35"/>
      <c r="AF202" s="41"/>
      <c r="AG202" s="42"/>
      <c r="AH202" s="30"/>
      <c r="AI202" s="33"/>
      <c r="AJ202" s="34"/>
      <c r="AK202" s="35"/>
      <c r="AL202" s="36"/>
      <c r="AM202" s="37"/>
      <c r="AN202" s="38"/>
    </row>
    <row r="203" spans="21:40" ht="12.75" customHeight="1" x14ac:dyDescent="0.2">
      <c r="U203" s="251"/>
      <c r="V203" s="250"/>
      <c r="W203" s="44"/>
      <c r="X203" s="383"/>
      <c r="Y203" s="30"/>
      <c r="Z203" s="383"/>
      <c r="AA203" s="383"/>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2">
        <f>AL204+0.5</f>
        <v>19</v>
      </c>
      <c r="AN203" s="28">
        <f t="shared" ref="AN203:AN217" si="25">IF(AM203&gt;AL203,"ALARM",AL203-AL204)</f>
        <v>1.5</v>
      </c>
    </row>
    <row r="204" spans="21:40" ht="12.75" customHeight="1" x14ac:dyDescent="0.2">
      <c r="U204" s="251"/>
      <c r="V204" s="250"/>
      <c r="W204" s="383"/>
      <c r="X204" s="383"/>
      <c r="Y204" s="30"/>
      <c r="Z204" s="383"/>
      <c r="AA204" s="383"/>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2">
        <f t="shared" ref="AM204:AM216" si="26">AL205+0.5</f>
        <v>18</v>
      </c>
      <c r="AN204" s="28">
        <f t="shared" si="25"/>
        <v>1</v>
      </c>
    </row>
    <row r="205" spans="21:40" ht="12.75" customHeight="1" x14ac:dyDescent="0.2">
      <c r="U205" s="251"/>
      <c r="V205" s="250"/>
      <c r="W205" s="383"/>
      <c r="X205" s="383"/>
      <c r="Y205" s="30"/>
      <c r="Z205" s="383"/>
      <c r="AA205" s="383"/>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2">
        <f t="shared" si="26"/>
        <v>17</v>
      </c>
      <c r="AN205" s="38">
        <f t="shared" si="25"/>
        <v>1</v>
      </c>
    </row>
    <row r="206" spans="21:40" ht="12.75" customHeight="1" x14ac:dyDescent="0.2">
      <c r="U206" s="251"/>
      <c r="V206" s="250"/>
      <c r="W206" s="383"/>
      <c r="X206" s="383"/>
      <c r="Y206" s="30"/>
      <c r="Z206" s="383"/>
      <c r="AA206" s="383"/>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2">
        <f t="shared" si="26"/>
        <v>16</v>
      </c>
      <c r="AN206" s="28">
        <f t="shared" si="25"/>
        <v>1</v>
      </c>
    </row>
    <row r="207" spans="21:40" ht="12.75" customHeight="1" x14ac:dyDescent="0.2">
      <c r="U207" s="251"/>
      <c r="V207" s="250"/>
      <c r="W207" s="383"/>
      <c r="X207" s="383"/>
      <c r="Y207" s="30"/>
      <c r="Z207" s="383"/>
      <c r="AA207" s="383"/>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2">
        <f t="shared" si="26"/>
        <v>15</v>
      </c>
      <c r="AN207" s="28">
        <f t="shared" si="25"/>
        <v>1</v>
      </c>
    </row>
    <row r="208" spans="21:40" ht="12.75" customHeight="1" x14ac:dyDescent="0.2">
      <c r="U208" s="251"/>
      <c r="V208" s="250"/>
      <c r="W208" s="383"/>
      <c r="X208" s="383"/>
      <c r="Y208" s="30"/>
      <c r="Z208" s="383"/>
      <c r="AA208" s="383"/>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2">
        <f t="shared" si="26"/>
        <v>14</v>
      </c>
      <c r="AN208" s="38">
        <f t="shared" si="25"/>
        <v>1</v>
      </c>
    </row>
    <row r="209" spans="21:40" ht="12.75" customHeight="1" x14ac:dyDescent="0.2">
      <c r="U209" s="251"/>
      <c r="V209" s="250"/>
      <c r="W209" s="383"/>
      <c r="X209" s="383"/>
      <c r="Y209" s="30"/>
      <c r="Z209" s="383"/>
      <c r="AA209" s="383"/>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2">
        <f t="shared" si="26"/>
        <v>13.5</v>
      </c>
      <c r="AN209" s="28">
        <f t="shared" si="25"/>
        <v>0.5</v>
      </c>
    </row>
    <row r="210" spans="21:40" ht="12.75" customHeight="1" x14ac:dyDescent="0.2">
      <c r="U210" s="251"/>
      <c r="V210" s="250"/>
      <c r="W210" s="383"/>
      <c r="X210" s="383"/>
      <c r="Y210" s="30"/>
      <c r="Z210" s="383"/>
      <c r="AA210" s="383"/>
      <c r="AB210" s="15"/>
      <c r="AC210" s="24">
        <v>3</v>
      </c>
      <c r="AD210" s="25">
        <v>8</v>
      </c>
      <c r="AE210" s="30"/>
      <c r="AF210" s="26">
        <f>I1Ext!$H$35+10*(100-I1Ext!$H$35)/30</f>
        <v>66</v>
      </c>
      <c r="AG210" s="27">
        <f t="shared" si="24"/>
        <v>62.7</v>
      </c>
      <c r="AH210" s="30"/>
      <c r="AI210" s="24">
        <v>3</v>
      </c>
      <c r="AJ210" s="25">
        <v>8</v>
      </c>
      <c r="AK210" s="30"/>
      <c r="AL210" s="26">
        <f>ROUNDDOWN(I1Ext!$H$30*AF210/500,1)*5</f>
        <v>13</v>
      </c>
      <c r="AM210" s="242">
        <f t="shared" si="26"/>
        <v>13</v>
      </c>
      <c r="AN210" s="28">
        <f t="shared" si="25"/>
        <v>0.5</v>
      </c>
    </row>
    <row r="211" spans="21:40" ht="12.75" customHeight="1" x14ac:dyDescent="0.2">
      <c r="U211" s="251"/>
      <c r="V211" s="250"/>
      <c r="W211" s="383"/>
      <c r="X211" s="383"/>
      <c r="Y211" s="30"/>
      <c r="Z211" s="383"/>
      <c r="AA211" s="383"/>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2">
        <f t="shared" si="26"/>
        <v>12</v>
      </c>
      <c r="AN211" s="38">
        <f t="shared" si="25"/>
        <v>1</v>
      </c>
    </row>
    <row r="212" spans="21:40" ht="12.75" customHeight="1" x14ac:dyDescent="0.2">
      <c r="U212" s="251"/>
      <c r="V212" s="250"/>
      <c r="W212" s="383"/>
      <c r="X212" s="383"/>
      <c r="Y212" s="30"/>
      <c r="Z212" s="383"/>
      <c r="AA212" s="383"/>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2">
        <f t="shared" si="26"/>
        <v>11.5</v>
      </c>
      <c r="AN212" s="28">
        <f t="shared" si="25"/>
        <v>0.5</v>
      </c>
    </row>
    <row r="213" spans="21:40" ht="12.75" customHeight="1" x14ac:dyDescent="0.2">
      <c r="U213" s="251"/>
      <c r="V213" s="250"/>
      <c r="W213" s="383"/>
      <c r="X213" s="383"/>
      <c r="Y213" s="30"/>
      <c r="Z213" s="383"/>
      <c r="AA213" s="383"/>
      <c r="AB213" s="15"/>
      <c r="AC213" s="24">
        <v>4</v>
      </c>
      <c r="AD213" s="25">
        <v>5</v>
      </c>
      <c r="AE213" s="30"/>
      <c r="AF213" s="26">
        <f>I1Ext!$H$35+4*(100-I1Ext!$H$35)/30</f>
        <v>55.8</v>
      </c>
      <c r="AG213" s="27">
        <f t="shared" si="24"/>
        <v>52.5</v>
      </c>
      <c r="AH213" s="30"/>
      <c r="AI213" s="24">
        <v>4</v>
      </c>
      <c r="AJ213" s="25">
        <v>5</v>
      </c>
      <c r="AK213" s="30"/>
      <c r="AL213" s="26">
        <f>ROUNDDOWN(I1Ext!$H$30*AF213/500,1)*5</f>
        <v>11</v>
      </c>
      <c r="AM213" s="242">
        <f t="shared" si="26"/>
        <v>10.5</v>
      </c>
      <c r="AN213" s="28">
        <f t="shared" si="25"/>
        <v>1</v>
      </c>
    </row>
    <row r="214" spans="21:40" ht="12.75" customHeight="1" x14ac:dyDescent="0.2">
      <c r="U214" s="251"/>
      <c r="V214" s="250"/>
      <c r="W214" s="383"/>
      <c r="X214" s="383"/>
      <c r="Y214" s="30"/>
      <c r="Z214" s="383"/>
      <c r="AA214" s="383"/>
      <c r="AB214" s="15"/>
      <c r="AC214" s="46" t="s">
        <v>9</v>
      </c>
      <c r="AD214" s="34">
        <v>4</v>
      </c>
      <c r="AE214" s="35"/>
      <c r="AF214" s="47">
        <f>I1Ext!$H$35+2*(100-I1Ext!$H$35)/30</f>
        <v>52.4</v>
      </c>
      <c r="AG214" s="48">
        <f t="shared" si="24"/>
        <v>49.1</v>
      </c>
      <c r="AH214" s="30"/>
      <c r="AI214" s="46" t="s">
        <v>9</v>
      </c>
      <c r="AJ214" s="34">
        <v>4</v>
      </c>
      <c r="AK214" s="35"/>
      <c r="AL214" s="26">
        <f>ROUNDDOWN(I1Ext!$H$30*AF214/500,1)*5</f>
        <v>10</v>
      </c>
      <c r="AM214" s="242">
        <f t="shared" si="26"/>
        <v>10</v>
      </c>
      <c r="AN214" s="38">
        <f t="shared" si="25"/>
        <v>0.5</v>
      </c>
    </row>
    <row r="215" spans="21:40" ht="12.75" customHeight="1" x14ac:dyDescent="0.2">
      <c r="U215" s="251"/>
      <c r="V215" s="250"/>
      <c r="W215" s="383"/>
      <c r="X215" s="383"/>
      <c r="Y215" s="30"/>
      <c r="Z215" s="383"/>
      <c r="AA215" s="383"/>
      <c r="AB215" s="15"/>
      <c r="AC215" s="43" t="s">
        <v>36</v>
      </c>
      <c r="AD215" s="25">
        <v>3</v>
      </c>
      <c r="AE215" s="30"/>
      <c r="AF215" s="26">
        <f>I1Ext!$H$35</f>
        <v>49</v>
      </c>
      <c r="AG215" s="27">
        <f>AF216+0.01</f>
        <v>44.01</v>
      </c>
      <c r="AH215" s="30"/>
      <c r="AI215" s="43" t="s">
        <v>36</v>
      </c>
      <c r="AJ215" s="25">
        <v>3</v>
      </c>
      <c r="AK215" s="30"/>
      <c r="AL215" s="26">
        <f>ROUNDDOWN(I1Ext!$H$30*AF215/500,1)*5</f>
        <v>9.5</v>
      </c>
      <c r="AM215" s="242">
        <f t="shared" si="26"/>
        <v>9</v>
      </c>
      <c r="AN215" s="28">
        <f t="shared" si="25"/>
        <v>1</v>
      </c>
    </row>
    <row r="216" spans="21:40" ht="12.75" customHeight="1" x14ac:dyDescent="0.2">
      <c r="U216" s="251"/>
      <c r="V216" s="250"/>
      <c r="W216" s="383"/>
      <c r="X216" s="383"/>
      <c r="Y216" s="30"/>
      <c r="Z216" s="383"/>
      <c r="AA216" s="383"/>
      <c r="AB216" s="15"/>
      <c r="AC216" s="24">
        <v>5</v>
      </c>
      <c r="AD216" s="25">
        <v>2</v>
      </c>
      <c r="AE216" s="30"/>
      <c r="AF216" s="26">
        <f>AG217+2*(AF215-AG217)/3</f>
        <v>44</v>
      </c>
      <c r="AG216" s="27">
        <f>AF217+0.01</f>
        <v>39.01</v>
      </c>
      <c r="AH216" s="30"/>
      <c r="AI216" s="24">
        <v>5</v>
      </c>
      <c r="AJ216" s="25">
        <v>2</v>
      </c>
      <c r="AK216" s="30"/>
      <c r="AL216" s="26">
        <f>ROUNDDOWN(I1Ext!$H$30*AF216/500,1)*5</f>
        <v>8.5</v>
      </c>
      <c r="AM216" s="242">
        <f t="shared" si="26"/>
        <v>8</v>
      </c>
      <c r="AN216" s="28">
        <f t="shared" si="25"/>
        <v>1</v>
      </c>
    </row>
    <row r="217" spans="21:40" ht="12.75" customHeight="1" x14ac:dyDescent="0.2">
      <c r="U217" s="251"/>
      <c r="V217" s="250"/>
      <c r="W217" s="383"/>
      <c r="X217" s="250"/>
      <c r="Y217" s="30"/>
      <c r="Z217" s="383"/>
      <c r="AA217" s="383"/>
      <c r="AB217" s="15"/>
      <c r="AC217" s="46" t="s">
        <v>9</v>
      </c>
      <c r="AD217" s="34">
        <v>1</v>
      </c>
      <c r="AE217" s="35"/>
      <c r="AF217" s="47">
        <f>AG217+(AF215-AG217)/3</f>
        <v>39</v>
      </c>
      <c r="AG217" s="48">
        <f>I1Ext!$H$34</f>
        <v>34</v>
      </c>
      <c r="AH217" s="30"/>
      <c r="AI217" s="46" t="s">
        <v>9</v>
      </c>
      <c r="AJ217" s="34">
        <v>1</v>
      </c>
      <c r="AK217" s="35"/>
      <c r="AL217" s="26">
        <f>ROUNDDOWN(I1Ext!$H$30*AF217/500,1)*5</f>
        <v>7.5</v>
      </c>
      <c r="AM217" s="248">
        <f>ROUNDUP(I1Ext!$H$30*(I1Ext!$H$34/500),1)*5</f>
        <v>7.0000000000000009</v>
      </c>
      <c r="AN217" s="38">
        <f t="shared" si="25"/>
        <v>0.99999999999999911</v>
      </c>
    </row>
    <row r="218" spans="21:40" ht="12.75" customHeight="1" thickBot="1" x14ac:dyDescent="0.25">
      <c r="U218" s="250"/>
      <c r="V218" s="250"/>
      <c r="W218" s="383"/>
      <c r="X218" s="383"/>
      <c r="Y218" s="30"/>
      <c r="Z218" s="383"/>
      <c r="AA218" s="383"/>
      <c r="AB218" s="15"/>
      <c r="AC218" s="54">
        <v>6</v>
      </c>
      <c r="AD218" s="55">
        <v>0</v>
      </c>
      <c r="AE218" s="56"/>
      <c r="AF218" s="61">
        <f>I1Ext!$H$34-0.1</f>
        <v>33.9</v>
      </c>
      <c r="AG218" s="62">
        <v>0</v>
      </c>
      <c r="AH218" s="30"/>
      <c r="AI218" s="54">
        <v>6</v>
      </c>
      <c r="AJ218" s="55">
        <v>0</v>
      </c>
      <c r="AK218" s="56"/>
      <c r="AL218" s="61">
        <f>AM217-0.5</f>
        <v>6.5000000000000009</v>
      </c>
      <c r="AM218" s="249">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500" t="s">
        <v>25</v>
      </c>
      <c r="X227" s="501"/>
      <c r="Y227" s="502" t="s">
        <v>18</v>
      </c>
      <c r="Z227" s="505" t="s">
        <v>26</v>
      </c>
      <c r="AA227" s="506"/>
      <c r="AB227" s="15"/>
      <c r="AC227" s="18" t="s">
        <v>6</v>
      </c>
      <c r="AD227" s="19" t="s">
        <v>18</v>
      </c>
      <c r="AE227" s="384"/>
      <c r="AF227" s="507" t="s">
        <v>27</v>
      </c>
      <c r="AG227" s="508"/>
      <c r="AH227" s="20"/>
      <c r="AI227" s="18" t="s">
        <v>6</v>
      </c>
      <c r="AJ227" s="19" t="s">
        <v>18</v>
      </c>
      <c r="AK227" s="21"/>
      <c r="AL227" s="509" t="s">
        <v>28</v>
      </c>
      <c r="AM227" s="510"/>
      <c r="AN227" s="22" t="s">
        <v>29</v>
      </c>
    </row>
    <row r="228" spans="20:40" ht="12.75" customHeight="1" x14ac:dyDescent="0.2">
      <c r="U228" s="23" t="s">
        <v>30</v>
      </c>
      <c r="V228" s="10" t="s">
        <v>29</v>
      </c>
      <c r="W228" s="511" t="s">
        <v>28</v>
      </c>
      <c r="X228" s="512"/>
      <c r="Y228" s="503"/>
      <c r="Z228" s="513" t="s">
        <v>31</v>
      </c>
      <c r="AA228" s="514"/>
      <c r="AB228" s="15"/>
      <c r="AC228" s="24"/>
      <c r="AD228" s="25"/>
      <c r="AE228" s="383"/>
      <c r="AF228" s="26" t="s">
        <v>32</v>
      </c>
      <c r="AG228" s="27" t="s">
        <v>33</v>
      </c>
      <c r="AH228" s="20"/>
      <c r="AI228" s="24"/>
      <c r="AJ228" s="25"/>
      <c r="AK228" s="383"/>
      <c r="AL228" s="383" t="s">
        <v>32</v>
      </c>
      <c r="AM228" s="241" t="s">
        <v>33</v>
      </c>
      <c r="AN228" s="28"/>
    </row>
    <row r="229" spans="20:40" ht="12.75" customHeight="1" x14ac:dyDescent="0.2">
      <c r="U229" s="29" t="s">
        <v>34</v>
      </c>
      <c r="V229" s="10" t="s">
        <v>25</v>
      </c>
      <c r="W229" s="385" t="s">
        <v>32</v>
      </c>
      <c r="X229" s="383" t="s">
        <v>33</v>
      </c>
      <c r="Y229" s="503"/>
      <c r="Z229" s="513" t="s">
        <v>35</v>
      </c>
      <c r="AA229" s="514"/>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504"/>
      <c r="Z230" s="77"/>
      <c r="AA230" s="28"/>
      <c r="AB230" s="30"/>
      <c r="AC230" s="33"/>
      <c r="AD230" s="34"/>
      <c r="AE230" s="35"/>
      <c r="AF230" s="41"/>
      <c r="AG230" s="42"/>
      <c r="AH230" s="30"/>
      <c r="AI230" s="43" t="s">
        <v>36</v>
      </c>
      <c r="AJ230" s="25">
        <v>15</v>
      </c>
      <c r="AK230" s="30"/>
      <c r="AL230" s="26">
        <f>I2Ext!$H$30</f>
        <v>20</v>
      </c>
      <c r="AM230" s="242">
        <f>AL231+0.5</f>
        <v>19.5</v>
      </c>
      <c r="AN230" s="28">
        <f t="shared" ref="AN230:AN244" si="27">IF(AM230&gt;AL230,"ALARM",AL230-AL231)</f>
        <v>1</v>
      </c>
    </row>
    <row r="231" spans="20:40" ht="12.75" customHeight="1" x14ac:dyDescent="0.2">
      <c r="U231" s="70">
        <f>+I2Ext!A43</f>
        <v>0</v>
      </c>
      <c r="V231" s="72">
        <f>IF(I2Ext!$H$32="M",AN230+U231,AN273+U231)</f>
        <v>1.5</v>
      </c>
      <c r="W231" s="253">
        <f>I2Ext!$H$30</f>
        <v>20</v>
      </c>
      <c r="X231" s="242">
        <f>W232+0.5</f>
        <v>19</v>
      </c>
      <c r="Y231" s="385">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2">
        <f t="shared" ref="AM231:AM243" si="29">AL232+0.5</f>
        <v>18.5</v>
      </c>
      <c r="AN231" s="28">
        <f t="shared" si="27"/>
        <v>1</v>
      </c>
    </row>
    <row r="232" spans="20:40" ht="12.75" customHeight="1" x14ac:dyDescent="0.2">
      <c r="U232" s="70">
        <f>+I2Ext!A44</f>
        <v>0</v>
      </c>
      <c r="V232" s="73">
        <f>IF(I2Ext!$H$32="M",AN231+U232,AN274+U232)</f>
        <v>1</v>
      </c>
      <c r="W232" s="253">
        <f t="shared" ref="W232:W246" si="30">W231-V231</f>
        <v>18.5</v>
      </c>
      <c r="X232" s="242">
        <f t="shared" ref="X232:X245" si="31">W233+0.5</f>
        <v>18</v>
      </c>
      <c r="Y232" s="385">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2">
        <f t="shared" si="29"/>
        <v>17.5</v>
      </c>
      <c r="AN232" s="38">
        <f t="shared" si="27"/>
        <v>1</v>
      </c>
    </row>
    <row r="233" spans="20:40" ht="12.75" customHeight="1" x14ac:dyDescent="0.2">
      <c r="U233" s="70">
        <f>+I2Ext!A45</f>
        <v>0</v>
      </c>
      <c r="V233" s="73">
        <f>IF(I2Ext!$H$32="M",AN232+U233,AN275+U233)</f>
        <v>1</v>
      </c>
      <c r="W233" s="254">
        <f t="shared" si="30"/>
        <v>17.5</v>
      </c>
      <c r="X233" s="242">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2">
        <f t="shared" si="29"/>
        <v>17</v>
      </c>
      <c r="AN233" s="28">
        <f t="shared" si="27"/>
        <v>0.5</v>
      </c>
    </row>
    <row r="234" spans="20:40" ht="12.75" customHeight="1" x14ac:dyDescent="0.2">
      <c r="U234" s="70">
        <f>+I2Ext!A46</f>
        <v>0</v>
      </c>
      <c r="V234" s="72">
        <f>IF(I2Ext!$H$32="M",AN233+U234,AN276+U234)</f>
        <v>1</v>
      </c>
      <c r="W234" s="253">
        <f t="shared" si="30"/>
        <v>16.5</v>
      </c>
      <c r="X234" s="242">
        <f t="shared" si="31"/>
        <v>16</v>
      </c>
      <c r="Y234" s="385">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2">
        <f t="shared" si="29"/>
        <v>16</v>
      </c>
      <c r="AN234" s="28">
        <f t="shared" si="27"/>
        <v>1</v>
      </c>
    </row>
    <row r="235" spans="20:40" ht="12.75" customHeight="1" x14ac:dyDescent="0.2">
      <c r="U235" s="70">
        <f>+I2Ext!A47</f>
        <v>0</v>
      </c>
      <c r="V235" s="73">
        <f>IF(I2Ext!$H$32="M",AN234+U235,AN277+U235)</f>
        <v>1</v>
      </c>
      <c r="W235" s="253">
        <f t="shared" si="30"/>
        <v>15.5</v>
      </c>
      <c r="X235" s="242">
        <f t="shared" si="31"/>
        <v>15</v>
      </c>
      <c r="Y235" s="385">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2">
        <f t="shared" si="29"/>
        <v>15</v>
      </c>
      <c r="AN235" s="38">
        <f t="shared" si="27"/>
        <v>1</v>
      </c>
    </row>
    <row r="236" spans="20:40" ht="12.75" customHeight="1" x14ac:dyDescent="0.2">
      <c r="U236" s="70">
        <f>+I2Ext!A48</f>
        <v>0</v>
      </c>
      <c r="V236" s="75">
        <f>IF(I2Ext!$H$32="M",AN235+U236,AN278+U236)</f>
        <v>1</v>
      </c>
      <c r="W236" s="254">
        <f t="shared" si="30"/>
        <v>14.5</v>
      </c>
      <c r="X236" s="242">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2">
        <f t="shared" si="29"/>
        <v>14.5</v>
      </c>
      <c r="AN236" s="28">
        <f t="shared" si="27"/>
        <v>0.5</v>
      </c>
    </row>
    <row r="237" spans="20:40" ht="12.75" customHeight="1" x14ac:dyDescent="0.2">
      <c r="U237" s="70">
        <f>+I2Ext!A49</f>
        <v>0</v>
      </c>
      <c r="V237" s="73">
        <f>IF(I2Ext!$H$32="M",AN236+U237,AN279+U237)</f>
        <v>0.5</v>
      </c>
      <c r="W237" s="253">
        <f t="shared" si="30"/>
        <v>13.5</v>
      </c>
      <c r="X237" s="242">
        <f t="shared" si="31"/>
        <v>13.5</v>
      </c>
      <c r="Y237" s="385">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2">
        <f t="shared" si="29"/>
        <v>13.5</v>
      </c>
      <c r="AN237" s="28">
        <f t="shared" si="27"/>
        <v>1</v>
      </c>
    </row>
    <row r="238" spans="20:40" ht="12.75" customHeight="1" x14ac:dyDescent="0.2">
      <c r="U238" s="70">
        <f>+I2Ext!A50</f>
        <v>0</v>
      </c>
      <c r="V238" s="73">
        <f>IF(I2Ext!$H$32="M",AN237+U238,AN280+U238)</f>
        <v>0.5</v>
      </c>
      <c r="W238" s="253">
        <f t="shared" si="30"/>
        <v>13</v>
      </c>
      <c r="X238" s="242">
        <f t="shared" si="31"/>
        <v>13</v>
      </c>
      <c r="Y238" s="385">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2">
        <f t="shared" si="29"/>
        <v>12.5</v>
      </c>
      <c r="AN238" s="38">
        <f t="shared" si="27"/>
        <v>1</v>
      </c>
    </row>
    <row r="239" spans="20:40" ht="12.75" customHeight="1" x14ac:dyDescent="0.2">
      <c r="U239" s="70">
        <f>+I2Ext!A51</f>
        <v>0</v>
      </c>
      <c r="V239" s="73">
        <f>IF(I2Ext!$H$32="M",AN238+U239,AN281+U239)</f>
        <v>1</v>
      </c>
      <c r="W239" s="254">
        <f t="shared" si="30"/>
        <v>12.5</v>
      </c>
      <c r="X239" s="242">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2">
        <f t="shared" si="29"/>
        <v>12</v>
      </c>
      <c r="AN239" s="28">
        <f t="shared" si="27"/>
        <v>0.5</v>
      </c>
    </row>
    <row r="240" spans="20:40" ht="12.75" customHeight="1" x14ac:dyDescent="0.2">
      <c r="U240" s="70">
        <f>+I2Ext!A52</f>
        <v>0</v>
      </c>
      <c r="V240" s="72">
        <f>IF(I2Ext!$H$32="M",AN239+U240,AN282+U240)</f>
        <v>0.5</v>
      </c>
      <c r="W240" s="253">
        <f t="shared" si="30"/>
        <v>11.5</v>
      </c>
      <c r="X240" s="242">
        <f t="shared" si="31"/>
        <v>11.5</v>
      </c>
      <c r="Y240" s="385">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2">
        <f t="shared" si="29"/>
        <v>11</v>
      </c>
      <c r="AN240" s="28">
        <f t="shared" si="27"/>
        <v>1</v>
      </c>
    </row>
    <row r="241" spans="21:40" ht="12.75" customHeight="1" x14ac:dyDescent="0.2">
      <c r="U241" s="70">
        <f>+I2Ext!A53</f>
        <v>0</v>
      </c>
      <c r="V241" s="73">
        <f>IF(I2Ext!$H$32="M",AN240+U241,AN283+U241)</f>
        <v>1</v>
      </c>
      <c r="W241" s="253">
        <f t="shared" si="30"/>
        <v>11</v>
      </c>
      <c r="X241" s="242">
        <f t="shared" si="31"/>
        <v>10.5</v>
      </c>
      <c r="Y241" s="385">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2">
        <f t="shared" si="29"/>
        <v>10</v>
      </c>
      <c r="AN241" s="38">
        <f t="shared" si="27"/>
        <v>1</v>
      </c>
    </row>
    <row r="242" spans="21:40" ht="12.75" customHeight="1" x14ac:dyDescent="0.2">
      <c r="U242" s="70">
        <f>+I2Ext!A54</f>
        <v>0</v>
      </c>
      <c r="V242" s="75">
        <f>IF(I2Ext!$H$32="M",AN241+U242,AN284+U242)</f>
        <v>0.5</v>
      </c>
      <c r="W242" s="254">
        <f t="shared" si="30"/>
        <v>10</v>
      </c>
      <c r="X242" s="242">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2">
        <f t="shared" si="29"/>
        <v>9</v>
      </c>
      <c r="AN242" s="28">
        <f t="shared" si="27"/>
        <v>1</v>
      </c>
    </row>
    <row r="243" spans="21:40" ht="12.75" customHeight="1" x14ac:dyDescent="0.2">
      <c r="U243" s="70">
        <f>+I2Ext!A55</f>
        <v>0</v>
      </c>
      <c r="V243" s="72">
        <f>IF(I2Ext!$H$32="M",AN242+U243,AN285+U243)</f>
        <v>1</v>
      </c>
      <c r="W243" s="253">
        <f t="shared" si="30"/>
        <v>9.5</v>
      </c>
      <c r="X243" s="242">
        <f t="shared" si="31"/>
        <v>9</v>
      </c>
      <c r="Y243" s="385">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2">
        <f t="shared" si="29"/>
        <v>8</v>
      </c>
      <c r="AN243" s="28">
        <f t="shared" si="27"/>
        <v>1</v>
      </c>
    </row>
    <row r="244" spans="21:40" ht="12.75" customHeight="1" x14ac:dyDescent="0.2">
      <c r="U244" s="70">
        <f>+I2Ext!A56</f>
        <v>0</v>
      </c>
      <c r="V244" s="73">
        <f>IF(I2Ext!$H$32="M",AN243+U244,AN286+U244)</f>
        <v>1</v>
      </c>
      <c r="W244" s="253">
        <f t="shared" si="30"/>
        <v>8.5</v>
      </c>
      <c r="X244" s="242">
        <f t="shared" si="31"/>
        <v>8</v>
      </c>
      <c r="Y244" s="385">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8">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4">
        <f t="shared" si="30"/>
        <v>7.5</v>
      </c>
      <c r="X245" s="242">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9">
        <v>0</v>
      </c>
      <c r="AN245" s="59">
        <f>IF(AM245&gt;AM244,"ALARM",AL245)</f>
        <v>6.5000000000000009</v>
      </c>
    </row>
    <row r="246" spans="21:40" ht="12.75" customHeight="1" thickBot="1" x14ac:dyDescent="0.25">
      <c r="U246" s="12" t="s">
        <v>37</v>
      </c>
      <c r="V246" s="74">
        <f>IF(I2Ext!$H$32="M",+W246,W288)</f>
        <v>0</v>
      </c>
      <c r="W246" s="255">
        <f t="shared" si="30"/>
        <v>6.5000000000000009</v>
      </c>
      <c r="X246" s="249">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7">
        <f t="shared" ref="V249:V264" si="32">+X249</f>
        <v>0</v>
      </c>
      <c r="W249" s="247">
        <f>+W246</f>
        <v>6.5000000000000009</v>
      </c>
      <c r="X249" s="247">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7">
        <f t="shared" si="32"/>
        <v>7.0000000000000009</v>
      </c>
      <c r="W250" s="247">
        <f>+W245</f>
        <v>7.5</v>
      </c>
      <c r="X250" s="247">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7">
        <f t="shared" si="32"/>
        <v>8</v>
      </c>
      <c r="W251" s="247">
        <f>+W244</f>
        <v>8.5</v>
      </c>
      <c r="X251" s="247">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7">
        <f t="shared" si="32"/>
        <v>9</v>
      </c>
      <c r="W252" s="247">
        <f>+W243</f>
        <v>9.5</v>
      </c>
      <c r="X252" s="247">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7">
        <f t="shared" si="32"/>
        <v>10</v>
      </c>
      <c r="W253" s="247">
        <f>+W242</f>
        <v>10</v>
      </c>
      <c r="X253" s="247">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7">
        <f t="shared" si="32"/>
        <v>10.5</v>
      </c>
      <c r="W254" s="247">
        <f>+W241</f>
        <v>11</v>
      </c>
      <c r="X254" s="247">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7">
        <f t="shared" si="32"/>
        <v>11.5</v>
      </c>
      <c r="W255" s="247">
        <f>+W240</f>
        <v>11.5</v>
      </c>
      <c r="X255" s="247">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7">
        <f t="shared" si="32"/>
        <v>12</v>
      </c>
      <c r="W256" s="247">
        <f>+W239</f>
        <v>12.5</v>
      </c>
      <c r="X256" s="247">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7">
        <f t="shared" si="32"/>
        <v>13</v>
      </c>
      <c r="W257" s="247">
        <f>+W238</f>
        <v>13</v>
      </c>
      <c r="X257" s="247">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7">
        <f t="shared" si="32"/>
        <v>13.5</v>
      </c>
      <c r="W258" s="247">
        <f>+W237</f>
        <v>13.5</v>
      </c>
      <c r="X258" s="247">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7">
        <f t="shared" si="32"/>
        <v>14</v>
      </c>
      <c r="W259" s="247">
        <f>+W236</f>
        <v>14.5</v>
      </c>
      <c r="X259" s="247">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7">
        <f t="shared" si="32"/>
        <v>15</v>
      </c>
      <c r="W260" s="247">
        <f>+W235</f>
        <v>15.5</v>
      </c>
      <c r="X260" s="247">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7">
        <f t="shared" si="32"/>
        <v>16</v>
      </c>
      <c r="W261" s="247">
        <f>+W234</f>
        <v>16.5</v>
      </c>
      <c r="X261" s="247">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7">
        <f t="shared" si="32"/>
        <v>17</v>
      </c>
      <c r="W262" s="247">
        <f>+W233</f>
        <v>17.5</v>
      </c>
      <c r="X262" s="247">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7">
        <f t="shared" si="32"/>
        <v>18</v>
      </c>
      <c r="W263" s="247">
        <f>+W232</f>
        <v>18.5</v>
      </c>
      <c r="X263" s="247">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7">
        <f t="shared" si="32"/>
        <v>19</v>
      </c>
      <c r="W264" s="247">
        <f>+W231</f>
        <v>20</v>
      </c>
      <c r="X264" s="247">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3"/>
      <c r="AJ268" s="26"/>
      <c r="AK268" s="26"/>
      <c r="AL268" s="20"/>
      <c r="AM268" s="53"/>
      <c r="AN268" s="383"/>
    </row>
    <row r="269" spans="21:40" ht="12.75" customHeight="1" thickBot="1" x14ac:dyDescent="0.25">
      <c r="U269" s="383"/>
      <c r="V269" s="250"/>
      <c r="W269" s="516"/>
      <c r="X269" s="516"/>
      <c r="Y269" s="30"/>
      <c r="Z269" s="516"/>
      <c r="AA269" s="516"/>
      <c r="AB269" s="15"/>
      <c r="AC269" s="30"/>
      <c r="AD269" s="383"/>
      <c r="AE269" s="383"/>
      <c r="AF269" s="26"/>
      <c r="AG269" s="26"/>
      <c r="AH269" s="20"/>
      <c r="AI269" s="30"/>
      <c r="AJ269" s="383"/>
      <c r="AK269" s="30"/>
      <c r="AL269" s="383"/>
      <c r="AM269" s="383"/>
      <c r="AN269" s="383"/>
    </row>
    <row r="270" spans="21:40" ht="12.75" customHeight="1" x14ac:dyDescent="0.2">
      <c r="U270" s="251"/>
      <c r="V270" s="250"/>
      <c r="W270" s="512"/>
      <c r="X270" s="512"/>
      <c r="Y270" s="30"/>
      <c r="Z270" s="516"/>
      <c r="AA270" s="516"/>
      <c r="AB270" s="15"/>
      <c r="AC270" s="18" t="s">
        <v>6</v>
      </c>
      <c r="AD270" s="19" t="s">
        <v>18</v>
      </c>
      <c r="AE270" s="384"/>
      <c r="AF270" s="507" t="s">
        <v>27</v>
      </c>
      <c r="AG270" s="508"/>
      <c r="AH270" s="20"/>
      <c r="AI270" s="18" t="s">
        <v>6</v>
      </c>
      <c r="AJ270" s="19" t="s">
        <v>18</v>
      </c>
      <c r="AK270" s="21"/>
      <c r="AL270" s="509" t="s">
        <v>28</v>
      </c>
      <c r="AM270" s="510"/>
      <c r="AN270" s="22" t="s">
        <v>29</v>
      </c>
    </row>
    <row r="271" spans="21:40" ht="12.75" customHeight="1" x14ac:dyDescent="0.2">
      <c r="U271" s="252"/>
      <c r="V271" s="250"/>
      <c r="W271" s="383"/>
      <c r="X271" s="383"/>
      <c r="Y271" s="30"/>
      <c r="Z271" s="516"/>
      <c r="AA271" s="516"/>
      <c r="AB271" s="15"/>
      <c r="AC271" s="24"/>
      <c r="AD271" s="25"/>
      <c r="AE271" s="383"/>
      <c r="AF271" s="26" t="s">
        <v>32</v>
      </c>
      <c r="AG271" s="27" t="s">
        <v>33</v>
      </c>
      <c r="AH271" s="20"/>
      <c r="AI271" s="24"/>
      <c r="AJ271" s="25"/>
      <c r="AK271" s="383"/>
      <c r="AL271" s="383" t="s">
        <v>32</v>
      </c>
      <c r="AM271" s="241" t="s">
        <v>33</v>
      </c>
      <c r="AN271" s="28"/>
    </row>
    <row r="272" spans="21:40" ht="12.75" customHeight="1" x14ac:dyDescent="0.2">
      <c r="U272" s="30"/>
      <c r="V272" s="250"/>
      <c r="W272" s="383"/>
      <c r="X272" s="383"/>
      <c r="Y272" s="30"/>
      <c r="Z272" s="383"/>
      <c r="AA272" s="383"/>
      <c r="AB272" s="15"/>
      <c r="AC272" s="33"/>
      <c r="AD272" s="34"/>
      <c r="AE272" s="35"/>
      <c r="AF272" s="41"/>
      <c r="AG272" s="42"/>
      <c r="AH272" s="30"/>
      <c r="AI272" s="33"/>
      <c r="AJ272" s="34"/>
      <c r="AK272" s="35"/>
      <c r="AL272" s="36"/>
      <c r="AM272" s="37"/>
      <c r="AN272" s="38"/>
    </row>
    <row r="273" spans="21:40" ht="12.75" customHeight="1" x14ac:dyDescent="0.2">
      <c r="U273" s="251"/>
      <c r="V273" s="250"/>
      <c r="W273" s="44"/>
      <c r="X273" s="383"/>
      <c r="Y273" s="30"/>
      <c r="Z273" s="383"/>
      <c r="AA273" s="383"/>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2">
        <f>AL274+0.5</f>
        <v>19</v>
      </c>
      <c r="AN273" s="28">
        <f t="shared" ref="AN273:AN287" si="34">IF(AM273&gt;AL273,"ALARM",AL273-AL274)</f>
        <v>1.5</v>
      </c>
    </row>
    <row r="274" spans="21:40" ht="12.75" customHeight="1" x14ac:dyDescent="0.2">
      <c r="U274" s="251"/>
      <c r="V274" s="250"/>
      <c r="W274" s="383"/>
      <c r="X274" s="383"/>
      <c r="Y274" s="30"/>
      <c r="Z274" s="383"/>
      <c r="AA274" s="383"/>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2">
        <f t="shared" ref="AM274:AM286" si="35">AL275+0.5</f>
        <v>18</v>
      </c>
      <c r="AN274" s="28">
        <f t="shared" si="34"/>
        <v>1</v>
      </c>
    </row>
    <row r="275" spans="21:40" ht="12.75" customHeight="1" x14ac:dyDescent="0.2">
      <c r="U275" s="251"/>
      <c r="V275" s="250"/>
      <c r="W275" s="383"/>
      <c r="X275" s="383"/>
      <c r="Y275" s="30"/>
      <c r="Z275" s="383"/>
      <c r="AA275" s="383"/>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2">
        <f t="shared" si="35"/>
        <v>17</v>
      </c>
      <c r="AN275" s="38">
        <f t="shared" si="34"/>
        <v>1</v>
      </c>
    </row>
    <row r="276" spans="21:40" ht="12.75" customHeight="1" x14ac:dyDescent="0.2">
      <c r="U276" s="251"/>
      <c r="V276" s="250"/>
      <c r="W276" s="383"/>
      <c r="X276" s="383"/>
      <c r="Y276" s="30"/>
      <c r="Z276" s="383"/>
      <c r="AA276" s="383"/>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2">
        <f t="shared" si="35"/>
        <v>16</v>
      </c>
      <c r="AN276" s="28">
        <f t="shared" si="34"/>
        <v>1</v>
      </c>
    </row>
    <row r="277" spans="21:40" ht="12.75" customHeight="1" x14ac:dyDescent="0.2">
      <c r="U277" s="251"/>
      <c r="V277" s="250"/>
      <c r="W277" s="383"/>
      <c r="X277" s="383"/>
      <c r="Y277" s="30"/>
      <c r="Z277" s="383"/>
      <c r="AA277" s="383"/>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2">
        <f t="shared" si="35"/>
        <v>15</v>
      </c>
      <c r="AN277" s="28">
        <f t="shared" si="34"/>
        <v>1</v>
      </c>
    </row>
    <row r="278" spans="21:40" ht="12.75" customHeight="1" x14ac:dyDescent="0.2">
      <c r="U278" s="251"/>
      <c r="V278" s="250"/>
      <c r="W278" s="383"/>
      <c r="X278" s="383"/>
      <c r="Y278" s="30"/>
      <c r="Z278" s="383"/>
      <c r="AA278" s="383"/>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2">
        <f t="shared" si="35"/>
        <v>14</v>
      </c>
      <c r="AN278" s="38">
        <f t="shared" si="34"/>
        <v>1</v>
      </c>
    </row>
    <row r="279" spans="21:40" ht="12.75" customHeight="1" x14ac:dyDescent="0.2">
      <c r="U279" s="251"/>
      <c r="V279" s="250"/>
      <c r="W279" s="383"/>
      <c r="X279" s="383"/>
      <c r="Y279" s="30"/>
      <c r="Z279" s="383"/>
      <c r="AA279" s="383"/>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2">
        <f t="shared" si="35"/>
        <v>13.5</v>
      </c>
      <c r="AN279" s="28">
        <f t="shared" si="34"/>
        <v>0.5</v>
      </c>
    </row>
    <row r="280" spans="21:40" ht="12.75" customHeight="1" x14ac:dyDescent="0.2">
      <c r="U280" s="251"/>
      <c r="V280" s="250"/>
      <c r="W280" s="383"/>
      <c r="X280" s="383"/>
      <c r="Y280" s="30"/>
      <c r="Z280" s="383"/>
      <c r="AA280" s="383"/>
      <c r="AB280" s="15"/>
      <c r="AC280" s="24">
        <v>3</v>
      </c>
      <c r="AD280" s="25">
        <v>8</v>
      </c>
      <c r="AE280" s="30"/>
      <c r="AF280" s="26">
        <f>I2Ext!$H$35+10*(100-I2Ext!$H$35)/30</f>
        <v>66</v>
      </c>
      <c r="AG280" s="27">
        <f t="shared" si="33"/>
        <v>62.7</v>
      </c>
      <c r="AH280" s="30"/>
      <c r="AI280" s="24">
        <v>3</v>
      </c>
      <c r="AJ280" s="25">
        <v>8</v>
      </c>
      <c r="AK280" s="30"/>
      <c r="AL280" s="26">
        <f>ROUNDDOWN(I2Ext!$H$30*AF280/500,1)*5</f>
        <v>13</v>
      </c>
      <c r="AM280" s="242">
        <f t="shared" si="35"/>
        <v>13</v>
      </c>
      <c r="AN280" s="28">
        <f t="shared" si="34"/>
        <v>0.5</v>
      </c>
    </row>
    <row r="281" spans="21:40" ht="12.75" customHeight="1" x14ac:dyDescent="0.2">
      <c r="U281" s="251"/>
      <c r="V281" s="250"/>
      <c r="W281" s="383"/>
      <c r="X281" s="383"/>
      <c r="Y281" s="30"/>
      <c r="Z281" s="383"/>
      <c r="AA281" s="383"/>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2">
        <f t="shared" si="35"/>
        <v>12</v>
      </c>
      <c r="AN281" s="38">
        <f t="shared" si="34"/>
        <v>1</v>
      </c>
    </row>
    <row r="282" spans="21:40" ht="12.75" customHeight="1" x14ac:dyDescent="0.2">
      <c r="U282" s="251"/>
      <c r="V282" s="250"/>
      <c r="W282" s="383"/>
      <c r="X282" s="383"/>
      <c r="Y282" s="30"/>
      <c r="Z282" s="383"/>
      <c r="AA282" s="383"/>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2">
        <f t="shared" si="35"/>
        <v>11.5</v>
      </c>
      <c r="AN282" s="28">
        <f t="shared" si="34"/>
        <v>0.5</v>
      </c>
    </row>
    <row r="283" spans="21:40" ht="12.75" customHeight="1" x14ac:dyDescent="0.2">
      <c r="U283" s="251"/>
      <c r="V283" s="250"/>
      <c r="W283" s="383"/>
      <c r="X283" s="383"/>
      <c r="Y283" s="30"/>
      <c r="Z283" s="383"/>
      <c r="AA283" s="383"/>
      <c r="AB283" s="15"/>
      <c r="AC283" s="24">
        <v>4</v>
      </c>
      <c r="AD283" s="25">
        <v>5</v>
      </c>
      <c r="AE283" s="30"/>
      <c r="AF283" s="26">
        <f>I2Ext!$H$35+4*(100-I2Ext!$H$35)/30</f>
        <v>55.8</v>
      </c>
      <c r="AG283" s="27">
        <f t="shared" si="33"/>
        <v>52.5</v>
      </c>
      <c r="AH283" s="30"/>
      <c r="AI283" s="24">
        <v>4</v>
      </c>
      <c r="AJ283" s="25">
        <v>5</v>
      </c>
      <c r="AK283" s="30"/>
      <c r="AL283" s="26">
        <f>ROUNDDOWN(I2Ext!$H$30*AF283/500,1)*5</f>
        <v>11</v>
      </c>
      <c r="AM283" s="242">
        <f t="shared" si="35"/>
        <v>10.5</v>
      </c>
      <c r="AN283" s="28">
        <f t="shared" si="34"/>
        <v>1</v>
      </c>
    </row>
    <row r="284" spans="21:40" ht="12.75" customHeight="1" x14ac:dyDescent="0.2">
      <c r="U284" s="251"/>
      <c r="V284" s="250"/>
      <c r="W284" s="383"/>
      <c r="X284" s="383"/>
      <c r="Y284" s="30"/>
      <c r="Z284" s="383"/>
      <c r="AA284" s="383"/>
      <c r="AB284" s="15"/>
      <c r="AC284" s="46" t="s">
        <v>9</v>
      </c>
      <c r="AD284" s="34">
        <v>4</v>
      </c>
      <c r="AE284" s="35"/>
      <c r="AF284" s="47">
        <f>I2Ext!$H$35+2*(100-I2Ext!$H$35)/30</f>
        <v>52.4</v>
      </c>
      <c r="AG284" s="48">
        <f t="shared" si="33"/>
        <v>49.1</v>
      </c>
      <c r="AH284" s="30"/>
      <c r="AI284" s="46" t="s">
        <v>9</v>
      </c>
      <c r="AJ284" s="34">
        <v>4</v>
      </c>
      <c r="AK284" s="35"/>
      <c r="AL284" s="26">
        <f>ROUNDDOWN(I2Ext!$H$30*AF284/500,1)*5</f>
        <v>10</v>
      </c>
      <c r="AM284" s="242">
        <f t="shared" si="35"/>
        <v>10</v>
      </c>
      <c r="AN284" s="38">
        <f t="shared" si="34"/>
        <v>0.5</v>
      </c>
    </row>
    <row r="285" spans="21:40" ht="12.75" customHeight="1" x14ac:dyDescent="0.2">
      <c r="U285" s="251"/>
      <c r="V285" s="250"/>
      <c r="W285" s="383"/>
      <c r="X285" s="383"/>
      <c r="Y285" s="30"/>
      <c r="Z285" s="383"/>
      <c r="AA285" s="383"/>
      <c r="AB285" s="15"/>
      <c r="AC285" s="43" t="s">
        <v>36</v>
      </c>
      <c r="AD285" s="25">
        <v>3</v>
      </c>
      <c r="AE285" s="30"/>
      <c r="AF285" s="26">
        <f>I2Ext!$H$35</f>
        <v>49</v>
      </c>
      <c r="AG285" s="27">
        <f>AF286+0.01</f>
        <v>44.01</v>
      </c>
      <c r="AH285" s="30"/>
      <c r="AI285" s="43" t="s">
        <v>36</v>
      </c>
      <c r="AJ285" s="25">
        <v>3</v>
      </c>
      <c r="AK285" s="30"/>
      <c r="AL285" s="26">
        <f>ROUNDDOWN(I2Ext!$H$30*AF285/500,1)*5</f>
        <v>9.5</v>
      </c>
      <c r="AM285" s="242">
        <f t="shared" si="35"/>
        <v>9</v>
      </c>
      <c r="AN285" s="28">
        <f t="shared" si="34"/>
        <v>1</v>
      </c>
    </row>
    <row r="286" spans="21:40" ht="12.75" customHeight="1" x14ac:dyDescent="0.2">
      <c r="U286" s="251"/>
      <c r="V286" s="250"/>
      <c r="W286" s="383"/>
      <c r="X286" s="383"/>
      <c r="Y286" s="30"/>
      <c r="Z286" s="383"/>
      <c r="AA286" s="383"/>
      <c r="AB286" s="15"/>
      <c r="AC286" s="24">
        <v>5</v>
      </c>
      <c r="AD286" s="25">
        <v>2</v>
      </c>
      <c r="AE286" s="30"/>
      <c r="AF286" s="26">
        <f>AG287+2*(AF285-AG287)/3</f>
        <v>44</v>
      </c>
      <c r="AG286" s="27">
        <f>AF287+0.01</f>
        <v>39.01</v>
      </c>
      <c r="AH286" s="30"/>
      <c r="AI286" s="24">
        <v>5</v>
      </c>
      <c r="AJ286" s="25">
        <v>2</v>
      </c>
      <c r="AK286" s="30"/>
      <c r="AL286" s="26">
        <f>ROUNDDOWN(I2Ext!$H$30*AF286/500,1)*5</f>
        <v>8.5</v>
      </c>
      <c r="AM286" s="242">
        <f t="shared" si="35"/>
        <v>8</v>
      </c>
      <c r="AN286" s="28">
        <f t="shared" si="34"/>
        <v>1</v>
      </c>
    </row>
    <row r="287" spans="21:40" ht="12.75" customHeight="1" x14ac:dyDescent="0.2">
      <c r="U287" s="251"/>
      <c r="V287" s="250"/>
      <c r="W287" s="383"/>
      <c r="X287" s="250"/>
      <c r="Y287" s="30"/>
      <c r="Z287" s="383"/>
      <c r="AA287" s="383"/>
      <c r="AB287" s="15"/>
      <c r="AC287" s="46" t="s">
        <v>9</v>
      </c>
      <c r="AD287" s="34">
        <v>1</v>
      </c>
      <c r="AE287" s="35"/>
      <c r="AF287" s="47">
        <f>AG287+(AF285-AG287)/3</f>
        <v>39</v>
      </c>
      <c r="AG287" s="48">
        <f>I2Ext!$H$34</f>
        <v>34</v>
      </c>
      <c r="AH287" s="30"/>
      <c r="AI287" s="46" t="s">
        <v>9</v>
      </c>
      <c r="AJ287" s="34">
        <v>1</v>
      </c>
      <c r="AK287" s="35"/>
      <c r="AL287" s="26">
        <f>ROUNDDOWN(I2Ext!$H$30*AF287/500,1)*5</f>
        <v>7.5</v>
      </c>
      <c r="AM287" s="248">
        <f>ROUNDUP(I2Ext!$H$30*(I2Ext!$H$34/500),1)*5</f>
        <v>7.0000000000000009</v>
      </c>
      <c r="AN287" s="38">
        <f t="shared" si="34"/>
        <v>0.99999999999999911</v>
      </c>
    </row>
    <row r="288" spans="21:40" ht="12.75" customHeight="1" thickBot="1" x14ac:dyDescent="0.25">
      <c r="U288" s="250"/>
      <c r="V288" s="250"/>
      <c r="W288" s="383"/>
      <c r="X288" s="383"/>
      <c r="Y288" s="30"/>
      <c r="Z288" s="383"/>
      <c r="AA288" s="383"/>
      <c r="AB288" s="15"/>
      <c r="AC288" s="54">
        <v>6</v>
      </c>
      <c r="AD288" s="55">
        <v>0</v>
      </c>
      <c r="AE288" s="56"/>
      <c r="AF288" s="61">
        <f>I2Ext!$H$34-0.1</f>
        <v>33.9</v>
      </c>
      <c r="AG288" s="62">
        <v>0</v>
      </c>
      <c r="AH288" s="30"/>
      <c r="AI288" s="54">
        <v>6</v>
      </c>
      <c r="AJ288" s="55">
        <v>0</v>
      </c>
      <c r="AK288" s="56"/>
      <c r="AL288" s="61">
        <f>AM287-0.5</f>
        <v>6.5000000000000009</v>
      </c>
      <c r="AM288" s="249">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500" t="s">
        <v>25</v>
      </c>
      <c r="X303" s="501"/>
      <c r="Y303" s="502" t="s">
        <v>18</v>
      </c>
      <c r="Z303" s="505" t="s">
        <v>26</v>
      </c>
      <c r="AA303" s="506"/>
      <c r="AB303" s="15"/>
      <c r="AC303" s="18" t="s">
        <v>6</v>
      </c>
      <c r="AD303" s="19" t="s">
        <v>18</v>
      </c>
      <c r="AE303" s="384"/>
      <c r="AF303" s="507" t="s">
        <v>27</v>
      </c>
      <c r="AG303" s="508"/>
      <c r="AH303" s="20"/>
      <c r="AI303" s="18" t="s">
        <v>6</v>
      </c>
      <c r="AJ303" s="19" t="s">
        <v>18</v>
      </c>
      <c r="AK303" s="21"/>
      <c r="AL303" s="509" t="s">
        <v>28</v>
      </c>
      <c r="AM303" s="510"/>
      <c r="AN303" s="22" t="s">
        <v>29</v>
      </c>
    </row>
    <row r="304" spans="20:40" ht="12.75" customHeight="1" x14ac:dyDescent="0.2">
      <c r="U304" s="23" t="s">
        <v>30</v>
      </c>
      <c r="V304" s="10" t="s">
        <v>29</v>
      </c>
      <c r="W304" s="511" t="s">
        <v>28</v>
      </c>
      <c r="X304" s="512"/>
      <c r="Y304" s="503"/>
      <c r="Z304" s="513" t="s">
        <v>31</v>
      </c>
      <c r="AA304" s="514"/>
      <c r="AB304" s="15"/>
      <c r="AC304" s="24"/>
      <c r="AD304" s="25"/>
      <c r="AE304" s="383"/>
      <c r="AF304" s="26" t="s">
        <v>32</v>
      </c>
      <c r="AG304" s="27" t="s">
        <v>33</v>
      </c>
      <c r="AH304" s="20"/>
      <c r="AI304" s="24"/>
      <c r="AJ304" s="25"/>
      <c r="AK304" s="383"/>
      <c r="AL304" s="383" t="s">
        <v>32</v>
      </c>
      <c r="AM304" s="241" t="s">
        <v>33</v>
      </c>
      <c r="AN304" s="28"/>
    </row>
    <row r="305" spans="21:40" ht="12.75" customHeight="1" x14ac:dyDescent="0.2">
      <c r="U305" s="29" t="s">
        <v>34</v>
      </c>
      <c r="V305" s="10" t="s">
        <v>25</v>
      </c>
      <c r="W305" s="385" t="s">
        <v>32</v>
      </c>
      <c r="X305" s="383" t="s">
        <v>33</v>
      </c>
      <c r="Y305" s="503"/>
      <c r="Z305" s="513" t="s">
        <v>35</v>
      </c>
      <c r="AA305" s="514"/>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504"/>
      <c r="Z306" s="77"/>
      <c r="AA306" s="28"/>
      <c r="AB306" s="30"/>
      <c r="AC306" s="33"/>
      <c r="AD306" s="34"/>
      <c r="AE306" s="35"/>
      <c r="AF306" s="41"/>
      <c r="AG306" s="42"/>
      <c r="AH306" s="30"/>
      <c r="AI306" s="43" t="s">
        <v>36</v>
      </c>
      <c r="AJ306" s="25">
        <v>15</v>
      </c>
      <c r="AK306" s="30"/>
      <c r="AL306" s="26">
        <f>I3Ext!$H$30</f>
        <v>20</v>
      </c>
      <c r="AM306" s="242">
        <f>AL307+0.5</f>
        <v>19.5</v>
      </c>
      <c r="AN306" s="28">
        <f t="shared" ref="AN306:AN320" si="36">IF(AM306&gt;AL306,"ALARM",AL306-AL307)</f>
        <v>1</v>
      </c>
    </row>
    <row r="307" spans="21:40" ht="12.75" customHeight="1" x14ac:dyDescent="0.2">
      <c r="U307" s="70">
        <f>+I3Ext!A43</f>
        <v>0</v>
      </c>
      <c r="V307" s="72">
        <f>IF(I3Ext!$H$32="M",AN306+U307,AN349+U307)</f>
        <v>1.5</v>
      </c>
      <c r="W307" s="253">
        <f>I3Ext!$H$30</f>
        <v>20</v>
      </c>
      <c r="X307" s="242">
        <f>W308+0.5</f>
        <v>19</v>
      </c>
      <c r="Y307" s="385">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2">
        <f t="shared" ref="AM307:AM319" si="38">AL308+0.5</f>
        <v>18.5</v>
      </c>
      <c r="AN307" s="28">
        <f t="shared" si="36"/>
        <v>1</v>
      </c>
    </row>
    <row r="308" spans="21:40" ht="12.75" customHeight="1" x14ac:dyDescent="0.2">
      <c r="U308" s="70">
        <f>+I3Ext!A44</f>
        <v>0</v>
      </c>
      <c r="V308" s="73">
        <f>IF(I3Ext!$H$32="M",AN307+U308,AN350+U308)</f>
        <v>1</v>
      </c>
      <c r="W308" s="253">
        <f t="shared" ref="W308:W322" si="39">W307-V307</f>
        <v>18.5</v>
      </c>
      <c r="X308" s="242">
        <f t="shared" ref="X308:X321" si="40">W309+0.5</f>
        <v>18</v>
      </c>
      <c r="Y308" s="385">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2">
        <f t="shared" si="38"/>
        <v>17.5</v>
      </c>
      <c r="AN308" s="38">
        <f t="shared" si="36"/>
        <v>1</v>
      </c>
    </row>
    <row r="309" spans="21:40" ht="12.75" customHeight="1" x14ac:dyDescent="0.2">
      <c r="U309" s="70">
        <f>+I3Ext!A45</f>
        <v>0</v>
      </c>
      <c r="V309" s="73">
        <f>IF(I3Ext!$H$32="M",AN308+U309,AN351+U309)</f>
        <v>1</v>
      </c>
      <c r="W309" s="254">
        <f t="shared" si="39"/>
        <v>17.5</v>
      </c>
      <c r="X309" s="242">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2">
        <f t="shared" si="38"/>
        <v>17</v>
      </c>
      <c r="AN309" s="28">
        <f t="shared" si="36"/>
        <v>0.5</v>
      </c>
    </row>
    <row r="310" spans="21:40" ht="12.75" customHeight="1" x14ac:dyDescent="0.2">
      <c r="U310" s="70">
        <f>+I3Ext!A46</f>
        <v>0</v>
      </c>
      <c r="V310" s="72">
        <f>IF(I3Ext!$H$32="M",AN309+U310,AN352+U310)</f>
        <v>1</v>
      </c>
      <c r="W310" s="253">
        <f t="shared" si="39"/>
        <v>16.5</v>
      </c>
      <c r="X310" s="242">
        <f t="shared" si="40"/>
        <v>16</v>
      </c>
      <c r="Y310" s="385">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2">
        <f t="shared" si="38"/>
        <v>16</v>
      </c>
      <c r="AN310" s="28">
        <f t="shared" si="36"/>
        <v>1</v>
      </c>
    </row>
    <row r="311" spans="21:40" ht="12.75" customHeight="1" x14ac:dyDescent="0.2">
      <c r="U311" s="70">
        <f>+I3Ext!A47</f>
        <v>0</v>
      </c>
      <c r="V311" s="73">
        <f>IF(I3Ext!$H$32="M",AN310+U311,AN353+U311)</f>
        <v>1</v>
      </c>
      <c r="W311" s="253">
        <f t="shared" si="39"/>
        <v>15.5</v>
      </c>
      <c r="X311" s="242">
        <f t="shared" si="40"/>
        <v>15</v>
      </c>
      <c r="Y311" s="385">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2">
        <f t="shared" si="38"/>
        <v>15</v>
      </c>
      <c r="AN311" s="38">
        <f t="shared" si="36"/>
        <v>1</v>
      </c>
    </row>
    <row r="312" spans="21:40" ht="12.75" customHeight="1" x14ac:dyDescent="0.2">
      <c r="U312" s="70">
        <f>+I3Ext!A48</f>
        <v>0</v>
      </c>
      <c r="V312" s="75">
        <f>IF(I3Ext!$H$32="M",AN311+U312,AN354+U312)</f>
        <v>1</v>
      </c>
      <c r="W312" s="254">
        <f t="shared" si="39"/>
        <v>14.5</v>
      </c>
      <c r="X312" s="242">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2">
        <f t="shared" si="38"/>
        <v>14.5</v>
      </c>
      <c r="AN312" s="28">
        <f t="shared" si="36"/>
        <v>0.5</v>
      </c>
    </row>
    <row r="313" spans="21:40" ht="12.75" customHeight="1" x14ac:dyDescent="0.2">
      <c r="U313" s="70">
        <f>+I3Ext!A49</f>
        <v>0</v>
      </c>
      <c r="V313" s="73">
        <f>IF(I3Ext!$H$32="M",AN312+U313,AN355+U313)</f>
        <v>0.5</v>
      </c>
      <c r="W313" s="253">
        <f t="shared" si="39"/>
        <v>13.5</v>
      </c>
      <c r="X313" s="242">
        <f t="shared" si="40"/>
        <v>13.5</v>
      </c>
      <c r="Y313" s="385">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2">
        <f t="shared" si="38"/>
        <v>13.5</v>
      </c>
      <c r="AN313" s="28">
        <f t="shared" si="36"/>
        <v>1</v>
      </c>
    </row>
    <row r="314" spans="21:40" ht="12.75" customHeight="1" x14ac:dyDescent="0.2">
      <c r="U314" s="70">
        <f>+I3Ext!A50</f>
        <v>0</v>
      </c>
      <c r="V314" s="73">
        <f>IF(I3Ext!$H$32="M",AN313+U314,AN356+U314)</f>
        <v>0.5</v>
      </c>
      <c r="W314" s="253">
        <f t="shared" si="39"/>
        <v>13</v>
      </c>
      <c r="X314" s="242">
        <f t="shared" si="40"/>
        <v>13</v>
      </c>
      <c r="Y314" s="385">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2">
        <f t="shared" si="38"/>
        <v>12.5</v>
      </c>
      <c r="AN314" s="38">
        <f t="shared" si="36"/>
        <v>1</v>
      </c>
    </row>
    <row r="315" spans="21:40" ht="12.75" customHeight="1" x14ac:dyDescent="0.2">
      <c r="U315" s="70">
        <f>+I3Ext!A51</f>
        <v>0</v>
      </c>
      <c r="V315" s="73">
        <f>IF(I3Ext!$H$32="M",AN314+U315,AN357+U315)</f>
        <v>1</v>
      </c>
      <c r="W315" s="254">
        <f t="shared" si="39"/>
        <v>12.5</v>
      </c>
      <c r="X315" s="242">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2">
        <f t="shared" si="38"/>
        <v>12</v>
      </c>
      <c r="AN315" s="28">
        <f t="shared" si="36"/>
        <v>0.5</v>
      </c>
    </row>
    <row r="316" spans="21:40" ht="12.75" customHeight="1" x14ac:dyDescent="0.2">
      <c r="U316" s="70">
        <f>+I3Ext!A52</f>
        <v>0</v>
      </c>
      <c r="V316" s="72">
        <f>IF(I3Ext!$H$32="M",AN315+U316,AN358+U316)</f>
        <v>0.5</v>
      </c>
      <c r="W316" s="253">
        <f t="shared" si="39"/>
        <v>11.5</v>
      </c>
      <c r="X316" s="242">
        <f t="shared" si="40"/>
        <v>11.5</v>
      </c>
      <c r="Y316" s="385">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2">
        <f t="shared" si="38"/>
        <v>11</v>
      </c>
      <c r="AN316" s="28">
        <f t="shared" si="36"/>
        <v>1</v>
      </c>
    </row>
    <row r="317" spans="21:40" ht="12.75" customHeight="1" x14ac:dyDescent="0.2">
      <c r="U317" s="70">
        <f>+I3Ext!A53</f>
        <v>0</v>
      </c>
      <c r="V317" s="73">
        <f>IF(I3Ext!$H$32="M",AN316+U317,AN359+U317)</f>
        <v>1</v>
      </c>
      <c r="W317" s="253">
        <f t="shared" si="39"/>
        <v>11</v>
      </c>
      <c r="X317" s="242">
        <f t="shared" si="40"/>
        <v>10.5</v>
      </c>
      <c r="Y317" s="385">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2">
        <f t="shared" si="38"/>
        <v>10</v>
      </c>
      <c r="AN317" s="38">
        <f t="shared" si="36"/>
        <v>1</v>
      </c>
    </row>
    <row r="318" spans="21:40" ht="12.75" customHeight="1" x14ac:dyDescent="0.2">
      <c r="U318" s="70">
        <f>+I3Ext!A54</f>
        <v>0</v>
      </c>
      <c r="V318" s="75">
        <f>IF(I3Ext!$H$32="M",AN317+U318,AN360+U318)</f>
        <v>0.5</v>
      </c>
      <c r="W318" s="254">
        <f t="shared" si="39"/>
        <v>10</v>
      </c>
      <c r="X318" s="242">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2">
        <f t="shared" si="38"/>
        <v>9</v>
      </c>
      <c r="AN318" s="28">
        <f t="shared" si="36"/>
        <v>1</v>
      </c>
    </row>
    <row r="319" spans="21:40" ht="12.75" customHeight="1" x14ac:dyDescent="0.2">
      <c r="U319" s="70">
        <f>+I3Ext!A55</f>
        <v>0</v>
      </c>
      <c r="V319" s="72">
        <f>IF(I3Ext!$H$32="M",AN318+U319,AN361+U319)</f>
        <v>1</v>
      </c>
      <c r="W319" s="253">
        <f t="shared" si="39"/>
        <v>9.5</v>
      </c>
      <c r="X319" s="242">
        <f t="shared" si="40"/>
        <v>9</v>
      </c>
      <c r="Y319" s="385">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2">
        <f t="shared" si="38"/>
        <v>8</v>
      </c>
      <c r="AN319" s="28">
        <f t="shared" si="36"/>
        <v>1</v>
      </c>
    </row>
    <row r="320" spans="21:40" ht="12.75" customHeight="1" x14ac:dyDescent="0.2">
      <c r="U320" s="70">
        <f>+I3Ext!A56</f>
        <v>0</v>
      </c>
      <c r="V320" s="73">
        <f>IF(I3Ext!$H$32="M",AN319+U320,AN362+U320)</f>
        <v>1</v>
      </c>
      <c r="W320" s="253">
        <f t="shared" si="39"/>
        <v>8.5</v>
      </c>
      <c r="X320" s="242">
        <f t="shared" si="40"/>
        <v>8</v>
      </c>
      <c r="Y320" s="385">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8">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4">
        <f t="shared" si="39"/>
        <v>7.5</v>
      </c>
      <c r="X321" s="242">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9">
        <v>0</v>
      </c>
      <c r="AN321" s="59">
        <f>IF(AM321&gt;AM320,"ALARM",AL321)</f>
        <v>6.5000000000000009</v>
      </c>
    </row>
    <row r="322" spans="21:40" ht="12.75" customHeight="1" thickBot="1" x14ac:dyDescent="0.25">
      <c r="U322" s="12" t="s">
        <v>37</v>
      </c>
      <c r="V322" s="74">
        <f>IF(I3Ext!$H$32="M",+W322,W364)</f>
        <v>0</v>
      </c>
      <c r="W322" s="255">
        <f t="shared" si="39"/>
        <v>6.5000000000000009</v>
      </c>
      <c r="X322" s="249">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7">
        <f t="shared" ref="V325:V340" si="41">+X325</f>
        <v>0</v>
      </c>
      <c r="W325" s="247">
        <f>+W322</f>
        <v>6.5000000000000009</v>
      </c>
      <c r="X325" s="247">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7">
        <f t="shared" si="41"/>
        <v>7.0000000000000009</v>
      </c>
      <c r="W326" s="247">
        <f>+W321</f>
        <v>7.5</v>
      </c>
      <c r="X326" s="247">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7">
        <f t="shared" si="41"/>
        <v>8</v>
      </c>
      <c r="W327" s="247">
        <f>+W320</f>
        <v>8.5</v>
      </c>
      <c r="X327" s="247">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7">
        <f t="shared" si="41"/>
        <v>9</v>
      </c>
      <c r="W328" s="247">
        <f>+W319</f>
        <v>9.5</v>
      </c>
      <c r="X328" s="247">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7">
        <f t="shared" si="41"/>
        <v>10</v>
      </c>
      <c r="W329" s="247">
        <f>+W318</f>
        <v>10</v>
      </c>
      <c r="X329" s="247">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7">
        <f t="shared" si="41"/>
        <v>10.5</v>
      </c>
      <c r="W330" s="247">
        <f>+W317</f>
        <v>11</v>
      </c>
      <c r="X330" s="247">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7">
        <f t="shared" si="41"/>
        <v>11.5</v>
      </c>
      <c r="W331" s="247">
        <f>+W316</f>
        <v>11.5</v>
      </c>
      <c r="X331" s="247">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7">
        <f t="shared" si="41"/>
        <v>12</v>
      </c>
      <c r="W332" s="247">
        <f>+W315</f>
        <v>12.5</v>
      </c>
      <c r="X332" s="247">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7">
        <f t="shared" si="41"/>
        <v>13</v>
      </c>
      <c r="W333" s="247">
        <f>+W314</f>
        <v>13</v>
      </c>
      <c r="X333" s="247">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7">
        <f t="shared" si="41"/>
        <v>13.5</v>
      </c>
      <c r="W334" s="247">
        <f>+W313</f>
        <v>13.5</v>
      </c>
      <c r="X334" s="247">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7">
        <f t="shared" si="41"/>
        <v>14</v>
      </c>
      <c r="W335" s="247">
        <f>+W312</f>
        <v>14.5</v>
      </c>
      <c r="X335" s="247">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7">
        <f t="shared" si="41"/>
        <v>15</v>
      </c>
      <c r="W336" s="247">
        <f>+W311</f>
        <v>15.5</v>
      </c>
      <c r="X336" s="247">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7">
        <f t="shared" si="41"/>
        <v>16</v>
      </c>
      <c r="W337" s="247">
        <f>+W310</f>
        <v>16.5</v>
      </c>
      <c r="X337" s="247">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7">
        <f t="shared" si="41"/>
        <v>17</v>
      </c>
      <c r="W338" s="247">
        <f>+W309</f>
        <v>17.5</v>
      </c>
      <c r="X338" s="247">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7">
        <f t="shared" si="41"/>
        <v>18</v>
      </c>
      <c r="W339" s="247">
        <f>+W308</f>
        <v>18.5</v>
      </c>
      <c r="X339" s="247">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7">
        <f t="shared" si="41"/>
        <v>19</v>
      </c>
      <c r="W340" s="247">
        <f>+W307</f>
        <v>20</v>
      </c>
      <c r="X340" s="247">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3"/>
      <c r="AJ344" s="26"/>
      <c r="AK344" s="26"/>
      <c r="AL344" s="20"/>
      <c r="AM344" s="53"/>
      <c r="AN344" s="383"/>
    </row>
    <row r="345" spans="21:40" ht="12.75" customHeight="1" thickBot="1" x14ac:dyDescent="0.25">
      <c r="U345" s="383"/>
      <c r="V345" s="250"/>
      <c r="W345" s="516"/>
      <c r="X345" s="516"/>
      <c r="Y345" s="30"/>
      <c r="Z345" s="516"/>
      <c r="AA345" s="516"/>
      <c r="AB345" s="15"/>
      <c r="AC345" s="30"/>
      <c r="AD345" s="383"/>
      <c r="AE345" s="383"/>
      <c r="AF345" s="26"/>
      <c r="AG345" s="26"/>
      <c r="AH345" s="20"/>
      <c r="AI345" s="30"/>
      <c r="AJ345" s="383"/>
      <c r="AK345" s="30"/>
      <c r="AL345" s="383"/>
      <c r="AM345" s="383"/>
      <c r="AN345" s="383"/>
    </row>
    <row r="346" spans="21:40" ht="12.75" customHeight="1" x14ac:dyDescent="0.2">
      <c r="U346" s="251"/>
      <c r="V346" s="250"/>
      <c r="W346" s="512"/>
      <c r="X346" s="512"/>
      <c r="Y346" s="30"/>
      <c r="Z346" s="516"/>
      <c r="AA346" s="516"/>
      <c r="AB346" s="15"/>
      <c r="AC346" s="18" t="s">
        <v>6</v>
      </c>
      <c r="AD346" s="19" t="s">
        <v>18</v>
      </c>
      <c r="AE346" s="384"/>
      <c r="AF346" s="507" t="s">
        <v>27</v>
      </c>
      <c r="AG346" s="508"/>
      <c r="AH346" s="20"/>
      <c r="AI346" s="18" t="s">
        <v>6</v>
      </c>
      <c r="AJ346" s="19" t="s">
        <v>18</v>
      </c>
      <c r="AK346" s="21"/>
      <c r="AL346" s="509" t="s">
        <v>28</v>
      </c>
      <c r="AM346" s="510"/>
      <c r="AN346" s="22" t="s">
        <v>29</v>
      </c>
    </row>
    <row r="347" spans="21:40" ht="12.75" customHeight="1" x14ac:dyDescent="0.2">
      <c r="U347" s="252"/>
      <c r="V347" s="250"/>
      <c r="W347" s="383"/>
      <c r="X347" s="383"/>
      <c r="Y347" s="30"/>
      <c r="Z347" s="516"/>
      <c r="AA347" s="516"/>
      <c r="AB347" s="15"/>
      <c r="AC347" s="24"/>
      <c r="AD347" s="25"/>
      <c r="AE347" s="383"/>
      <c r="AF347" s="26" t="s">
        <v>32</v>
      </c>
      <c r="AG347" s="27" t="s">
        <v>33</v>
      </c>
      <c r="AH347" s="20"/>
      <c r="AI347" s="24"/>
      <c r="AJ347" s="25"/>
      <c r="AK347" s="383"/>
      <c r="AL347" s="383" t="s">
        <v>32</v>
      </c>
      <c r="AM347" s="241" t="s">
        <v>33</v>
      </c>
      <c r="AN347" s="28"/>
    </row>
    <row r="348" spans="21:40" ht="12.75" customHeight="1" x14ac:dyDescent="0.2">
      <c r="U348" s="30"/>
      <c r="V348" s="250"/>
      <c r="W348" s="383"/>
      <c r="X348" s="383"/>
      <c r="Y348" s="30"/>
      <c r="Z348" s="383"/>
      <c r="AA348" s="383"/>
      <c r="AB348" s="15"/>
      <c r="AC348" s="33"/>
      <c r="AD348" s="34"/>
      <c r="AE348" s="35"/>
      <c r="AF348" s="41"/>
      <c r="AG348" s="42"/>
      <c r="AH348" s="30"/>
      <c r="AI348" s="33"/>
      <c r="AJ348" s="34"/>
      <c r="AK348" s="35"/>
      <c r="AL348" s="36"/>
      <c r="AM348" s="37"/>
      <c r="AN348" s="38"/>
    </row>
    <row r="349" spans="21:40" ht="12.75" customHeight="1" x14ac:dyDescent="0.2">
      <c r="U349" s="251"/>
      <c r="V349" s="250"/>
      <c r="W349" s="44"/>
      <c r="X349" s="383"/>
      <c r="Y349" s="30"/>
      <c r="Z349" s="383"/>
      <c r="AA349" s="383"/>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2">
        <f>AL350+0.5</f>
        <v>19</v>
      </c>
      <c r="AN349" s="28">
        <f t="shared" ref="AN349:AN363" si="43">IF(AM349&gt;AL349,"ALARM",AL349-AL350)</f>
        <v>1.5</v>
      </c>
    </row>
    <row r="350" spans="21:40" ht="12.75" customHeight="1" x14ac:dyDescent="0.2">
      <c r="U350" s="251"/>
      <c r="V350" s="250"/>
      <c r="W350" s="383"/>
      <c r="X350" s="383"/>
      <c r="Y350" s="30"/>
      <c r="Z350" s="383"/>
      <c r="AA350" s="383"/>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2">
        <f t="shared" ref="AM350:AM362" si="44">AL351+0.5</f>
        <v>18</v>
      </c>
      <c r="AN350" s="28">
        <f t="shared" si="43"/>
        <v>1</v>
      </c>
    </row>
    <row r="351" spans="21:40" ht="12.75" customHeight="1" x14ac:dyDescent="0.2">
      <c r="U351" s="251"/>
      <c r="V351" s="250"/>
      <c r="W351" s="383"/>
      <c r="X351" s="383"/>
      <c r="Y351" s="30"/>
      <c r="Z351" s="383"/>
      <c r="AA351" s="383"/>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2">
        <f t="shared" si="44"/>
        <v>17</v>
      </c>
      <c r="AN351" s="38">
        <f t="shared" si="43"/>
        <v>1</v>
      </c>
    </row>
    <row r="352" spans="21:40" ht="12.75" customHeight="1" x14ac:dyDescent="0.2">
      <c r="U352" s="251"/>
      <c r="V352" s="250"/>
      <c r="W352" s="383"/>
      <c r="X352" s="383"/>
      <c r="Y352" s="30"/>
      <c r="Z352" s="383"/>
      <c r="AA352" s="383"/>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2">
        <f t="shared" si="44"/>
        <v>16</v>
      </c>
      <c r="AN352" s="28">
        <f t="shared" si="43"/>
        <v>1</v>
      </c>
    </row>
    <row r="353" spans="21:40" ht="12.75" customHeight="1" x14ac:dyDescent="0.2">
      <c r="U353" s="251"/>
      <c r="V353" s="250"/>
      <c r="W353" s="383"/>
      <c r="X353" s="383"/>
      <c r="Y353" s="30"/>
      <c r="Z353" s="383"/>
      <c r="AA353" s="383"/>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2">
        <f t="shared" si="44"/>
        <v>15</v>
      </c>
      <c r="AN353" s="28">
        <f t="shared" si="43"/>
        <v>1</v>
      </c>
    </row>
    <row r="354" spans="21:40" ht="12.75" customHeight="1" x14ac:dyDescent="0.2">
      <c r="U354" s="251"/>
      <c r="V354" s="250"/>
      <c r="W354" s="383"/>
      <c r="X354" s="383"/>
      <c r="Y354" s="30"/>
      <c r="Z354" s="383"/>
      <c r="AA354" s="383"/>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2">
        <f t="shared" si="44"/>
        <v>14</v>
      </c>
      <c r="AN354" s="38">
        <f t="shared" si="43"/>
        <v>1</v>
      </c>
    </row>
    <row r="355" spans="21:40" ht="12.75" customHeight="1" x14ac:dyDescent="0.2">
      <c r="U355" s="251"/>
      <c r="V355" s="250"/>
      <c r="W355" s="383"/>
      <c r="X355" s="383"/>
      <c r="Y355" s="30"/>
      <c r="Z355" s="383"/>
      <c r="AA355" s="383"/>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2">
        <f t="shared" si="44"/>
        <v>13.5</v>
      </c>
      <c r="AN355" s="28">
        <f t="shared" si="43"/>
        <v>0.5</v>
      </c>
    </row>
    <row r="356" spans="21:40" ht="12.75" customHeight="1" x14ac:dyDescent="0.2">
      <c r="U356" s="251"/>
      <c r="V356" s="250"/>
      <c r="W356" s="383"/>
      <c r="X356" s="383"/>
      <c r="Y356" s="30"/>
      <c r="Z356" s="383"/>
      <c r="AA356" s="383"/>
      <c r="AB356" s="15"/>
      <c r="AC356" s="24">
        <v>3</v>
      </c>
      <c r="AD356" s="25">
        <v>8</v>
      </c>
      <c r="AE356" s="30"/>
      <c r="AF356" s="26">
        <f>I3Ext!$H$35+10*(100-I3Ext!$H$35)/30</f>
        <v>66</v>
      </c>
      <c r="AG356" s="27">
        <f t="shared" si="42"/>
        <v>62.7</v>
      </c>
      <c r="AH356" s="30"/>
      <c r="AI356" s="24">
        <v>3</v>
      </c>
      <c r="AJ356" s="25">
        <v>8</v>
      </c>
      <c r="AK356" s="30"/>
      <c r="AL356" s="26">
        <f>ROUNDDOWN(I3Ext!$H$30*AF356/500,1)*5</f>
        <v>13</v>
      </c>
      <c r="AM356" s="242">
        <f t="shared" si="44"/>
        <v>13</v>
      </c>
      <c r="AN356" s="28">
        <f t="shared" si="43"/>
        <v>0.5</v>
      </c>
    </row>
    <row r="357" spans="21:40" ht="12.75" customHeight="1" x14ac:dyDescent="0.2">
      <c r="U357" s="251"/>
      <c r="V357" s="250"/>
      <c r="W357" s="383"/>
      <c r="X357" s="383"/>
      <c r="Y357" s="30"/>
      <c r="Z357" s="383"/>
      <c r="AA357" s="383"/>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2">
        <f t="shared" si="44"/>
        <v>12</v>
      </c>
      <c r="AN357" s="38">
        <f t="shared" si="43"/>
        <v>1</v>
      </c>
    </row>
    <row r="358" spans="21:40" ht="12.75" customHeight="1" x14ac:dyDescent="0.2">
      <c r="U358" s="251"/>
      <c r="V358" s="250"/>
      <c r="W358" s="383"/>
      <c r="X358" s="383"/>
      <c r="Y358" s="30"/>
      <c r="Z358" s="383"/>
      <c r="AA358" s="383"/>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2">
        <f t="shared" si="44"/>
        <v>11.5</v>
      </c>
      <c r="AN358" s="28">
        <f t="shared" si="43"/>
        <v>0.5</v>
      </c>
    </row>
    <row r="359" spans="21:40" ht="12.75" customHeight="1" x14ac:dyDescent="0.2">
      <c r="U359" s="251"/>
      <c r="V359" s="250"/>
      <c r="W359" s="383"/>
      <c r="X359" s="383"/>
      <c r="Y359" s="30"/>
      <c r="Z359" s="383"/>
      <c r="AA359" s="383"/>
      <c r="AB359" s="15"/>
      <c r="AC359" s="24">
        <v>4</v>
      </c>
      <c r="AD359" s="25">
        <v>5</v>
      </c>
      <c r="AE359" s="30"/>
      <c r="AF359" s="26">
        <f>I3Ext!$H$35+4*(100-I3Ext!$H$35)/30</f>
        <v>55.8</v>
      </c>
      <c r="AG359" s="27">
        <f t="shared" si="42"/>
        <v>52.5</v>
      </c>
      <c r="AH359" s="30"/>
      <c r="AI359" s="24">
        <v>4</v>
      </c>
      <c r="AJ359" s="25">
        <v>5</v>
      </c>
      <c r="AK359" s="30"/>
      <c r="AL359" s="26">
        <f>ROUNDDOWN(I3Ext!$H$30*AF359/500,1)*5</f>
        <v>11</v>
      </c>
      <c r="AM359" s="242">
        <f t="shared" si="44"/>
        <v>10.5</v>
      </c>
      <c r="AN359" s="28">
        <f t="shared" si="43"/>
        <v>1</v>
      </c>
    </row>
    <row r="360" spans="21:40" ht="12.75" customHeight="1" x14ac:dyDescent="0.2">
      <c r="U360" s="251"/>
      <c r="V360" s="250"/>
      <c r="W360" s="383"/>
      <c r="X360" s="383"/>
      <c r="Y360" s="30"/>
      <c r="Z360" s="383"/>
      <c r="AA360" s="383"/>
      <c r="AB360" s="15"/>
      <c r="AC360" s="46" t="s">
        <v>9</v>
      </c>
      <c r="AD360" s="34">
        <v>4</v>
      </c>
      <c r="AE360" s="35"/>
      <c r="AF360" s="47">
        <f>I3Ext!$H$35+2*(100-I3Ext!$H$35)/30</f>
        <v>52.4</v>
      </c>
      <c r="AG360" s="48">
        <f t="shared" si="42"/>
        <v>49.1</v>
      </c>
      <c r="AH360" s="30"/>
      <c r="AI360" s="46" t="s">
        <v>9</v>
      </c>
      <c r="AJ360" s="34">
        <v>4</v>
      </c>
      <c r="AK360" s="35"/>
      <c r="AL360" s="26">
        <f>ROUNDDOWN(I3Ext!$H$30*AF360/500,1)*5</f>
        <v>10</v>
      </c>
      <c r="AM360" s="242">
        <f t="shared" si="44"/>
        <v>10</v>
      </c>
      <c r="AN360" s="38">
        <f t="shared" si="43"/>
        <v>0.5</v>
      </c>
    </row>
    <row r="361" spans="21:40" ht="12.75" customHeight="1" x14ac:dyDescent="0.2">
      <c r="U361" s="251"/>
      <c r="V361" s="250"/>
      <c r="W361" s="383"/>
      <c r="X361" s="383"/>
      <c r="Y361" s="30"/>
      <c r="Z361" s="383"/>
      <c r="AA361" s="383"/>
      <c r="AB361" s="15"/>
      <c r="AC361" s="43" t="s">
        <v>36</v>
      </c>
      <c r="AD361" s="25">
        <v>3</v>
      </c>
      <c r="AE361" s="30"/>
      <c r="AF361" s="26">
        <f>I3Ext!$H$35</f>
        <v>49</v>
      </c>
      <c r="AG361" s="27">
        <f>AF362+0.01</f>
        <v>44.01</v>
      </c>
      <c r="AH361" s="30"/>
      <c r="AI361" s="43" t="s">
        <v>36</v>
      </c>
      <c r="AJ361" s="25">
        <v>3</v>
      </c>
      <c r="AK361" s="30"/>
      <c r="AL361" s="26">
        <f>ROUNDDOWN(I3Ext!$H$30*AF361/500,1)*5</f>
        <v>9.5</v>
      </c>
      <c r="AM361" s="242">
        <f t="shared" si="44"/>
        <v>9</v>
      </c>
      <c r="AN361" s="28">
        <f t="shared" si="43"/>
        <v>1</v>
      </c>
    </row>
    <row r="362" spans="21:40" ht="12.75" customHeight="1" x14ac:dyDescent="0.2">
      <c r="U362" s="251"/>
      <c r="V362" s="250"/>
      <c r="W362" s="383"/>
      <c r="X362" s="383"/>
      <c r="Y362" s="30"/>
      <c r="Z362" s="383"/>
      <c r="AA362" s="383"/>
      <c r="AB362" s="15"/>
      <c r="AC362" s="24">
        <v>5</v>
      </c>
      <c r="AD362" s="25">
        <v>2</v>
      </c>
      <c r="AE362" s="30"/>
      <c r="AF362" s="26">
        <f>AG363+2*(AF361-AG363)/3</f>
        <v>44</v>
      </c>
      <c r="AG362" s="27">
        <f>AF363+0.01</f>
        <v>39.01</v>
      </c>
      <c r="AH362" s="30"/>
      <c r="AI362" s="24">
        <v>5</v>
      </c>
      <c r="AJ362" s="25">
        <v>2</v>
      </c>
      <c r="AK362" s="30"/>
      <c r="AL362" s="26">
        <f>ROUNDDOWN(I3Ext!$H$30*AF362/500,1)*5</f>
        <v>8.5</v>
      </c>
      <c r="AM362" s="242">
        <f t="shared" si="44"/>
        <v>8</v>
      </c>
      <c r="AN362" s="28">
        <f t="shared" si="43"/>
        <v>1</v>
      </c>
    </row>
    <row r="363" spans="21:40" ht="12.75" customHeight="1" x14ac:dyDescent="0.2">
      <c r="U363" s="251"/>
      <c r="V363" s="250"/>
      <c r="W363" s="383"/>
      <c r="X363" s="250"/>
      <c r="Y363" s="30"/>
      <c r="Z363" s="383"/>
      <c r="AA363" s="383"/>
      <c r="AB363" s="15"/>
      <c r="AC363" s="46" t="s">
        <v>9</v>
      </c>
      <c r="AD363" s="34">
        <v>1</v>
      </c>
      <c r="AE363" s="35"/>
      <c r="AF363" s="47">
        <f>AG363+(AF361-AG363)/3</f>
        <v>39</v>
      </c>
      <c r="AG363" s="48">
        <f>I3Ext!$H$34</f>
        <v>34</v>
      </c>
      <c r="AH363" s="30"/>
      <c r="AI363" s="46" t="s">
        <v>9</v>
      </c>
      <c r="AJ363" s="34">
        <v>1</v>
      </c>
      <c r="AK363" s="35"/>
      <c r="AL363" s="26">
        <f>ROUNDDOWN(I3Ext!$H$30*AF363/500,1)*5</f>
        <v>7.5</v>
      </c>
      <c r="AM363" s="248">
        <f>ROUNDUP(I3Ext!$H$30*(I3Ext!$H$34/500),1)*5</f>
        <v>7.0000000000000009</v>
      </c>
      <c r="AN363" s="38">
        <f t="shared" si="43"/>
        <v>0.99999999999999911</v>
      </c>
    </row>
    <row r="364" spans="21:40" ht="12.75" customHeight="1" thickBot="1" x14ac:dyDescent="0.25">
      <c r="U364" s="250"/>
      <c r="V364" s="250"/>
      <c r="W364" s="383"/>
      <c r="X364" s="383"/>
      <c r="Y364" s="30"/>
      <c r="Z364" s="383"/>
      <c r="AA364" s="383"/>
      <c r="AB364" s="15"/>
      <c r="AC364" s="54">
        <v>6</v>
      </c>
      <c r="AD364" s="55">
        <v>0</v>
      </c>
      <c r="AE364" s="56"/>
      <c r="AF364" s="61">
        <f>I3Ext!$H$34-0.1</f>
        <v>33.9</v>
      </c>
      <c r="AG364" s="62">
        <v>0</v>
      </c>
      <c r="AH364" s="30"/>
      <c r="AI364" s="54">
        <v>6</v>
      </c>
      <c r="AJ364" s="55">
        <v>0</v>
      </c>
      <c r="AK364" s="56"/>
      <c r="AL364" s="61">
        <f>AM363-0.5</f>
        <v>6.5000000000000009</v>
      </c>
      <c r="AM364" s="249">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500" t="s">
        <v>25</v>
      </c>
      <c r="X374" s="501"/>
      <c r="Y374" s="502" t="s">
        <v>18</v>
      </c>
      <c r="Z374" s="505" t="s">
        <v>26</v>
      </c>
      <c r="AA374" s="506"/>
      <c r="AB374" s="15"/>
      <c r="AC374" s="18" t="s">
        <v>6</v>
      </c>
      <c r="AD374" s="19" t="s">
        <v>18</v>
      </c>
      <c r="AE374" s="384"/>
      <c r="AF374" s="507" t="s">
        <v>27</v>
      </c>
      <c r="AG374" s="508"/>
      <c r="AH374" s="20"/>
      <c r="AI374" s="18" t="s">
        <v>6</v>
      </c>
      <c r="AJ374" s="19" t="s">
        <v>18</v>
      </c>
      <c r="AK374" s="21"/>
      <c r="AL374" s="509" t="s">
        <v>28</v>
      </c>
      <c r="AM374" s="510"/>
      <c r="AN374" s="22" t="s">
        <v>29</v>
      </c>
      <c r="AO374" s="15"/>
    </row>
    <row r="375" spans="20:42" ht="12.75" customHeight="1" x14ac:dyDescent="0.2">
      <c r="U375" s="23" t="s">
        <v>30</v>
      </c>
      <c r="V375" s="10" t="s">
        <v>29</v>
      </c>
      <c r="W375" s="511" t="s">
        <v>28</v>
      </c>
      <c r="X375" s="512"/>
      <c r="Y375" s="503"/>
      <c r="Z375" s="513" t="s">
        <v>31</v>
      </c>
      <c r="AA375" s="514"/>
      <c r="AB375" s="15"/>
      <c r="AC375" s="24"/>
      <c r="AD375" s="25"/>
      <c r="AE375" s="383"/>
      <c r="AF375" s="26" t="s">
        <v>32</v>
      </c>
      <c r="AG375" s="27" t="s">
        <v>33</v>
      </c>
      <c r="AH375" s="20"/>
      <c r="AI375" s="24"/>
      <c r="AJ375" s="25"/>
      <c r="AK375" s="383"/>
      <c r="AL375" s="383" t="s">
        <v>32</v>
      </c>
      <c r="AM375" s="241" t="s">
        <v>33</v>
      </c>
      <c r="AN375" s="28"/>
      <c r="AO375" s="15"/>
    </row>
    <row r="376" spans="20:42" ht="12.75" customHeight="1" x14ac:dyDescent="0.2">
      <c r="U376" s="29" t="s">
        <v>34</v>
      </c>
      <c r="V376" s="10" t="s">
        <v>25</v>
      </c>
      <c r="W376" s="385" t="s">
        <v>32</v>
      </c>
      <c r="X376" s="383" t="s">
        <v>33</v>
      </c>
      <c r="Y376" s="503"/>
      <c r="Z376" s="513" t="s">
        <v>35</v>
      </c>
      <c r="AA376" s="514"/>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504"/>
      <c r="Z377" s="77"/>
      <c r="AA377" s="28"/>
      <c r="AB377" s="30"/>
      <c r="AC377" s="33"/>
      <c r="AD377" s="34"/>
      <c r="AE377" s="35"/>
      <c r="AF377" s="41"/>
      <c r="AG377" s="42"/>
      <c r="AH377" s="30"/>
      <c r="AI377" s="43" t="s">
        <v>36</v>
      </c>
      <c r="AJ377" s="25">
        <v>15</v>
      </c>
      <c r="AK377" s="30"/>
      <c r="AL377" s="26">
        <f>II1SA!$H$30</f>
        <v>40</v>
      </c>
      <c r="AM377" s="242">
        <f>AL378+0.5</f>
        <v>38.5</v>
      </c>
      <c r="AN377" s="28">
        <f t="shared" ref="AN377:AN391" si="45">IF(AM377&gt;AL377,"ALARM",AL377-AL378)</f>
        <v>2</v>
      </c>
      <c r="AO377" s="30"/>
      <c r="AP377" s="257"/>
    </row>
    <row r="378" spans="20:42" ht="12.75" customHeight="1" x14ac:dyDescent="0.2">
      <c r="U378" s="70">
        <f>+II1SA!A43</f>
        <v>0</v>
      </c>
      <c r="V378" s="72">
        <f>IF(II1SA!$H$32="M",AN377+U378,AN420+U378)</f>
        <v>2.5</v>
      </c>
      <c r="W378" s="253">
        <f>II1SA!$H$30</f>
        <v>40</v>
      </c>
      <c r="X378" s="242">
        <f>W379+0.5</f>
        <v>38</v>
      </c>
      <c r="Y378" s="385">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2">
        <f t="shared" ref="AM378:AM390" si="47">AL379+0.5</f>
        <v>37</v>
      </c>
      <c r="AN378" s="28">
        <f t="shared" si="45"/>
        <v>1.5</v>
      </c>
      <c r="AO378" s="30"/>
      <c r="AP378" s="257"/>
    </row>
    <row r="379" spans="20:42" ht="12.75" customHeight="1" x14ac:dyDescent="0.2">
      <c r="U379" s="70">
        <f>+II1SA!A44</f>
        <v>0</v>
      </c>
      <c r="V379" s="73">
        <f>IF(II1SA!$H$32="M",AN378+U379,AN421+U379)</f>
        <v>2</v>
      </c>
      <c r="W379" s="253">
        <f t="shared" ref="W379:W393" si="48">W378-V378</f>
        <v>37.5</v>
      </c>
      <c r="X379" s="242">
        <f t="shared" ref="X379:X392" si="49">W380+0.5</f>
        <v>36</v>
      </c>
      <c r="Y379" s="385">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2">
        <f t="shared" si="47"/>
        <v>35</v>
      </c>
      <c r="AN379" s="38">
        <f t="shared" si="45"/>
        <v>2</v>
      </c>
      <c r="AO379" s="30"/>
      <c r="AP379" s="257"/>
    </row>
    <row r="380" spans="20:42" ht="12.75" customHeight="1" x14ac:dyDescent="0.2">
      <c r="U380" s="70">
        <f>+II1SA!A45</f>
        <v>0</v>
      </c>
      <c r="V380" s="73">
        <f>IF(II1SA!$H$32="M",AN379+U380,AN422+U380)</f>
        <v>2</v>
      </c>
      <c r="W380" s="254">
        <f t="shared" si="48"/>
        <v>35.5</v>
      </c>
      <c r="X380" s="242">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2">
        <f t="shared" si="47"/>
        <v>33.5</v>
      </c>
      <c r="AN380" s="28">
        <f t="shared" si="45"/>
        <v>1.5</v>
      </c>
      <c r="AO380" s="30"/>
      <c r="AP380" s="257"/>
    </row>
    <row r="381" spans="20:42" ht="12.75" customHeight="1" x14ac:dyDescent="0.2">
      <c r="U381" s="70">
        <f>+II1SA!A46</f>
        <v>0</v>
      </c>
      <c r="V381" s="72">
        <f>IF(II1SA!$H$32="M",AN380+U381,AN423+U381)</f>
        <v>2</v>
      </c>
      <c r="W381" s="253">
        <f t="shared" si="48"/>
        <v>33.5</v>
      </c>
      <c r="X381" s="242">
        <f t="shared" si="49"/>
        <v>32</v>
      </c>
      <c r="Y381" s="385">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2">
        <f t="shared" si="47"/>
        <v>32</v>
      </c>
      <c r="AN381" s="28">
        <f t="shared" si="45"/>
        <v>1.5</v>
      </c>
      <c r="AO381" s="30"/>
      <c r="AP381" s="257"/>
    </row>
    <row r="382" spans="20:42" ht="12.75" customHeight="1" x14ac:dyDescent="0.2">
      <c r="U382" s="70">
        <f>+II1SA!A47</f>
        <v>0</v>
      </c>
      <c r="V382" s="73">
        <f>IF(II1SA!$H$32="M",AN381+U382,AN424+U382)</f>
        <v>2</v>
      </c>
      <c r="W382" s="253">
        <f t="shared" si="48"/>
        <v>31.5</v>
      </c>
      <c r="X382" s="242">
        <f t="shared" si="49"/>
        <v>30</v>
      </c>
      <c r="Y382" s="385">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2">
        <f t="shared" si="47"/>
        <v>30</v>
      </c>
      <c r="AN382" s="38">
        <f t="shared" si="45"/>
        <v>2</v>
      </c>
      <c r="AO382" s="30"/>
      <c r="AP382" s="257"/>
    </row>
    <row r="383" spans="20:42" ht="12.75" customHeight="1" x14ac:dyDescent="0.2">
      <c r="U383" s="70">
        <f>+II1SA!A48</f>
        <v>0</v>
      </c>
      <c r="V383" s="75">
        <f>IF(II1SA!$H$32="M",AN382+U383,AN425+U383)</f>
        <v>2</v>
      </c>
      <c r="W383" s="254">
        <f t="shared" si="48"/>
        <v>29.5</v>
      </c>
      <c r="X383" s="242">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2">
        <f t="shared" si="47"/>
        <v>28.5</v>
      </c>
      <c r="AN383" s="28">
        <f t="shared" si="45"/>
        <v>1.5</v>
      </c>
      <c r="AO383" s="30"/>
      <c r="AP383" s="257"/>
    </row>
    <row r="384" spans="20:42" ht="12.75" customHeight="1" x14ac:dyDescent="0.2">
      <c r="U384" s="70">
        <f>+II1SA!A49</f>
        <v>0</v>
      </c>
      <c r="V384" s="73">
        <f>IF(II1SA!$H$32="M",AN383+U384,AN426+U384)</f>
        <v>1.5</v>
      </c>
      <c r="W384" s="253">
        <f t="shared" si="48"/>
        <v>27.5</v>
      </c>
      <c r="X384" s="242">
        <f t="shared" si="49"/>
        <v>26.5</v>
      </c>
      <c r="Y384" s="385">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2">
        <f t="shared" si="47"/>
        <v>26.5</v>
      </c>
      <c r="AN384" s="28">
        <f t="shared" si="45"/>
        <v>2</v>
      </c>
      <c r="AO384" s="30"/>
      <c r="AP384" s="257"/>
    </row>
    <row r="385" spans="21:42" ht="12.75" customHeight="1" x14ac:dyDescent="0.2">
      <c r="U385" s="70">
        <f>+II1SA!A50</f>
        <v>0</v>
      </c>
      <c r="V385" s="73">
        <f>IF(II1SA!$H$32="M",AN384+U385,AN427+U385)</f>
        <v>1</v>
      </c>
      <c r="W385" s="253">
        <f t="shared" si="48"/>
        <v>26</v>
      </c>
      <c r="X385" s="242">
        <f t="shared" si="49"/>
        <v>25.5</v>
      </c>
      <c r="Y385" s="385">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2">
        <f t="shared" si="47"/>
        <v>25</v>
      </c>
      <c r="AN385" s="38">
        <f t="shared" si="45"/>
        <v>1.5</v>
      </c>
      <c r="AO385" s="30"/>
      <c r="AP385" s="257"/>
    </row>
    <row r="386" spans="21:42" ht="12.75" customHeight="1" x14ac:dyDescent="0.2">
      <c r="U386" s="70">
        <f>+II1SA!A51</f>
        <v>0</v>
      </c>
      <c r="V386" s="73">
        <f>IF(II1SA!$H$32="M",AN385+U386,AN428+U386)</f>
        <v>1.5</v>
      </c>
      <c r="W386" s="254">
        <f t="shared" si="48"/>
        <v>25</v>
      </c>
      <c r="X386" s="242">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2">
        <f t="shared" si="47"/>
        <v>23.5</v>
      </c>
      <c r="AN386" s="28">
        <f t="shared" si="45"/>
        <v>1.5</v>
      </c>
      <c r="AO386" s="30"/>
      <c r="AP386" s="257"/>
    </row>
    <row r="387" spans="21:42" ht="12.75" customHeight="1" x14ac:dyDescent="0.2">
      <c r="U387" s="70">
        <f>+II1SA!A52</f>
        <v>0</v>
      </c>
      <c r="V387" s="72">
        <f>IF(II1SA!$H$32="M",AN386+U387,AN429+U387)</f>
        <v>1.5</v>
      </c>
      <c r="W387" s="253">
        <f t="shared" si="48"/>
        <v>23.5</v>
      </c>
      <c r="X387" s="242">
        <f t="shared" si="49"/>
        <v>22.5</v>
      </c>
      <c r="Y387" s="385">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2">
        <f t="shared" si="47"/>
        <v>21.5</v>
      </c>
      <c r="AN387" s="28">
        <f t="shared" si="45"/>
        <v>2</v>
      </c>
      <c r="AO387" s="30"/>
      <c r="AP387" s="257"/>
    </row>
    <row r="388" spans="21:42" ht="12.75" customHeight="1" x14ac:dyDescent="0.2">
      <c r="U388" s="70">
        <f>+II1SA!A53</f>
        <v>0</v>
      </c>
      <c r="V388" s="73">
        <f>IF(II1SA!$H$32="M",AN387+U388,AN430+U388)</f>
        <v>1.5</v>
      </c>
      <c r="W388" s="253">
        <f t="shared" si="48"/>
        <v>22</v>
      </c>
      <c r="X388" s="242">
        <f t="shared" si="49"/>
        <v>21</v>
      </c>
      <c r="Y388" s="385">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2">
        <f t="shared" si="47"/>
        <v>20</v>
      </c>
      <c r="AN388" s="38">
        <f t="shared" si="45"/>
        <v>1.5</v>
      </c>
      <c r="AO388" s="30"/>
      <c r="AP388" s="257"/>
    </row>
    <row r="389" spans="21:42" ht="12.75" customHeight="1" x14ac:dyDescent="0.2">
      <c r="U389" s="70">
        <f>+II1SA!A54</f>
        <v>0</v>
      </c>
      <c r="V389" s="75">
        <f>IF(II1SA!$H$32="M",AN388+U389,AN431+U389)</f>
        <v>1</v>
      </c>
      <c r="W389" s="254">
        <f t="shared" si="48"/>
        <v>20.5</v>
      </c>
      <c r="X389" s="242">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2">
        <f t="shared" si="47"/>
        <v>18</v>
      </c>
      <c r="AN389" s="28">
        <f t="shared" si="45"/>
        <v>2</v>
      </c>
      <c r="AO389" s="30"/>
      <c r="AP389" s="257"/>
    </row>
    <row r="390" spans="21:42" ht="12.75" customHeight="1" x14ac:dyDescent="0.2">
      <c r="U390" s="70">
        <f>+II1SA!A55</f>
        <v>0</v>
      </c>
      <c r="V390" s="72">
        <f>IF(II1SA!$H$32="M",AN389+U390,AN432+U390)</f>
        <v>2</v>
      </c>
      <c r="W390" s="253">
        <f t="shared" si="48"/>
        <v>19.5</v>
      </c>
      <c r="X390" s="242">
        <f t="shared" si="49"/>
        <v>18</v>
      </c>
      <c r="Y390" s="385">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2">
        <f t="shared" si="47"/>
        <v>16</v>
      </c>
      <c r="AN390" s="28">
        <f t="shared" si="45"/>
        <v>2</v>
      </c>
      <c r="AO390" s="30"/>
      <c r="AP390" s="257"/>
    </row>
    <row r="391" spans="21:42" ht="12.75" customHeight="1" x14ac:dyDescent="0.2">
      <c r="U391" s="70">
        <f>+II1SA!A56</f>
        <v>0</v>
      </c>
      <c r="V391" s="73">
        <f>IF(II1SA!$H$32="M",AN390+U391,AN433+U391)</f>
        <v>2</v>
      </c>
      <c r="W391" s="253">
        <f t="shared" si="48"/>
        <v>17.5</v>
      </c>
      <c r="X391" s="242">
        <f t="shared" si="49"/>
        <v>16</v>
      </c>
      <c r="Y391" s="385">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8">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4">
        <f t="shared" si="48"/>
        <v>15.5</v>
      </c>
      <c r="X392" s="242">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9">
        <v>0</v>
      </c>
      <c r="AN392" s="59">
        <f>IF(AM392&gt;AM391,"ALARM",AL392)</f>
        <v>13.500000000000002</v>
      </c>
      <c r="AO392" s="30"/>
    </row>
    <row r="393" spans="21:42" ht="12.75" customHeight="1" thickBot="1" x14ac:dyDescent="0.25">
      <c r="U393" s="12" t="s">
        <v>37</v>
      </c>
      <c r="V393" s="74">
        <f>IF(II1SA!$H$32="M",+W393,W435)</f>
        <v>0</v>
      </c>
      <c r="W393" s="255">
        <f t="shared" si="48"/>
        <v>13.500000000000002</v>
      </c>
      <c r="X393" s="249">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7">
        <f t="shared" ref="V396:V411" si="50">+X396</f>
        <v>0</v>
      </c>
      <c r="W396" s="247">
        <f>+W393</f>
        <v>13.500000000000002</v>
      </c>
      <c r="X396" s="247">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7">
        <f t="shared" si="50"/>
        <v>14.000000000000002</v>
      </c>
      <c r="W397" s="247">
        <f>+W392</f>
        <v>15.5</v>
      </c>
      <c r="X397" s="247">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7">
        <f t="shared" si="50"/>
        <v>16</v>
      </c>
      <c r="W398" s="247">
        <f>+W391</f>
        <v>17.5</v>
      </c>
      <c r="X398" s="247">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7">
        <f t="shared" si="50"/>
        <v>18</v>
      </c>
      <c r="W399" s="247">
        <f>+W390</f>
        <v>19.5</v>
      </c>
      <c r="X399" s="247">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7">
        <f t="shared" si="50"/>
        <v>20</v>
      </c>
      <c r="W400" s="247">
        <f>+W389</f>
        <v>20.5</v>
      </c>
      <c r="X400" s="247">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7">
        <f t="shared" si="50"/>
        <v>21</v>
      </c>
      <c r="W401" s="247">
        <f>+W388</f>
        <v>22</v>
      </c>
      <c r="X401" s="247">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7">
        <f t="shared" si="50"/>
        <v>22.5</v>
      </c>
      <c r="W402" s="247">
        <f>+W387</f>
        <v>23.5</v>
      </c>
      <c r="X402" s="247">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7">
        <f t="shared" si="50"/>
        <v>24</v>
      </c>
      <c r="W403" s="247">
        <f>+W386</f>
        <v>25</v>
      </c>
      <c r="X403" s="247">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7">
        <f t="shared" si="50"/>
        <v>25.5</v>
      </c>
      <c r="W404" s="247">
        <f>+W385</f>
        <v>26</v>
      </c>
      <c r="X404" s="247">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7">
        <f t="shared" si="50"/>
        <v>26.5</v>
      </c>
      <c r="W405" s="247">
        <f>+W384</f>
        <v>27.5</v>
      </c>
      <c r="X405" s="247">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7">
        <f t="shared" si="50"/>
        <v>28</v>
      </c>
      <c r="W406" s="247">
        <f>+W383</f>
        <v>29.5</v>
      </c>
      <c r="X406" s="247">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7">
        <f t="shared" si="50"/>
        <v>30</v>
      </c>
      <c r="W407" s="247">
        <f>+W382</f>
        <v>31.5</v>
      </c>
      <c r="X407" s="247">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7">
        <f t="shared" si="50"/>
        <v>32</v>
      </c>
      <c r="W408" s="247">
        <f>+W381</f>
        <v>33.5</v>
      </c>
      <c r="X408" s="247">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7">
        <f t="shared" si="50"/>
        <v>34</v>
      </c>
      <c r="W409" s="247">
        <f>+W380</f>
        <v>35.5</v>
      </c>
      <c r="X409" s="247">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7">
        <f t="shared" si="50"/>
        <v>36</v>
      </c>
      <c r="W410" s="247">
        <f>+W379</f>
        <v>37.5</v>
      </c>
      <c r="X410" s="247">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7">
        <f t="shared" si="50"/>
        <v>38</v>
      </c>
      <c r="W411" s="247">
        <f>+W378</f>
        <v>40</v>
      </c>
      <c r="X411" s="247">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3"/>
      <c r="AJ415" s="26"/>
      <c r="AK415" s="26"/>
      <c r="AL415" s="20"/>
      <c r="AM415" s="53"/>
      <c r="AN415" s="383"/>
      <c r="AO415" s="30"/>
    </row>
    <row r="416" spans="21:41" ht="12.75" customHeight="1" thickBot="1" x14ac:dyDescent="0.25">
      <c r="U416" s="383"/>
      <c r="V416" s="250"/>
      <c r="W416" s="516"/>
      <c r="X416" s="516"/>
      <c r="Y416" s="30"/>
      <c r="Z416" s="516"/>
      <c r="AA416" s="516"/>
      <c r="AB416" s="15"/>
      <c r="AC416" s="30"/>
      <c r="AD416" s="383"/>
      <c r="AE416" s="383"/>
      <c r="AF416" s="26"/>
      <c r="AG416" s="26"/>
      <c r="AH416" s="20"/>
      <c r="AI416" s="30"/>
      <c r="AJ416" s="383"/>
      <c r="AK416" s="30"/>
      <c r="AL416" s="383"/>
      <c r="AM416" s="383"/>
      <c r="AN416" s="383"/>
      <c r="AO416" s="383"/>
    </row>
    <row r="417" spans="21:41" ht="12.75" customHeight="1" x14ac:dyDescent="0.2">
      <c r="U417" s="251"/>
      <c r="V417" s="250"/>
      <c r="W417" s="512"/>
      <c r="X417" s="512"/>
      <c r="Y417" s="30"/>
      <c r="Z417" s="516"/>
      <c r="AA417" s="516"/>
      <c r="AB417" s="15"/>
      <c r="AC417" s="18" t="s">
        <v>6</v>
      </c>
      <c r="AD417" s="19" t="s">
        <v>18</v>
      </c>
      <c r="AE417" s="384"/>
      <c r="AF417" s="507" t="s">
        <v>27</v>
      </c>
      <c r="AG417" s="508"/>
      <c r="AH417" s="20"/>
      <c r="AI417" s="18" t="s">
        <v>6</v>
      </c>
      <c r="AJ417" s="19" t="s">
        <v>18</v>
      </c>
      <c r="AK417" s="21"/>
      <c r="AL417" s="509" t="s">
        <v>28</v>
      </c>
      <c r="AM417" s="510"/>
      <c r="AN417" s="22" t="s">
        <v>29</v>
      </c>
      <c r="AO417" s="20"/>
    </row>
    <row r="418" spans="21:41" ht="12.75" customHeight="1" x14ac:dyDescent="0.2">
      <c r="U418" s="252"/>
      <c r="V418" s="250"/>
      <c r="W418" s="383"/>
      <c r="X418" s="383"/>
      <c r="Y418" s="30"/>
      <c r="Z418" s="516"/>
      <c r="AA418" s="516"/>
      <c r="AB418" s="15"/>
      <c r="AC418" s="24"/>
      <c r="AD418" s="25"/>
      <c r="AE418" s="383"/>
      <c r="AF418" s="26" t="s">
        <v>32</v>
      </c>
      <c r="AG418" s="27" t="s">
        <v>33</v>
      </c>
      <c r="AH418" s="20"/>
      <c r="AI418" s="24"/>
      <c r="AJ418" s="25"/>
      <c r="AK418" s="383"/>
      <c r="AL418" s="383" t="s">
        <v>32</v>
      </c>
      <c r="AM418" s="241" t="s">
        <v>33</v>
      </c>
      <c r="AN418" s="28"/>
      <c r="AO418" s="20"/>
    </row>
    <row r="419" spans="21:41" ht="12.75" customHeight="1" x14ac:dyDescent="0.2">
      <c r="U419" s="30"/>
      <c r="V419" s="250"/>
      <c r="W419" s="383"/>
      <c r="X419" s="383"/>
      <c r="Y419" s="30"/>
      <c r="Z419" s="383"/>
      <c r="AA419" s="383"/>
      <c r="AB419" s="15"/>
      <c r="AC419" s="33"/>
      <c r="AD419" s="34"/>
      <c r="AE419" s="35"/>
      <c r="AF419" s="41"/>
      <c r="AG419" s="42"/>
      <c r="AH419" s="30"/>
      <c r="AI419" s="33"/>
      <c r="AJ419" s="34"/>
      <c r="AK419" s="35"/>
      <c r="AL419" s="36"/>
      <c r="AM419" s="37"/>
      <c r="AN419" s="38"/>
      <c r="AO419" s="30"/>
    </row>
    <row r="420" spans="21:41" ht="12.75" customHeight="1" x14ac:dyDescent="0.2">
      <c r="U420" s="251"/>
      <c r="V420" s="250"/>
      <c r="W420" s="44"/>
      <c r="X420" s="383"/>
      <c r="Y420" s="30"/>
      <c r="Z420" s="383"/>
      <c r="AA420" s="383"/>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2">
        <f>AL421+0.5</f>
        <v>38</v>
      </c>
      <c r="AN420" s="28">
        <f t="shared" ref="AN420:AN434" si="52">IF(AM420&gt;AL420,"ALARM",AL420-AL421)</f>
        <v>2.5</v>
      </c>
      <c r="AO420" s="30"/>
    </row>
    <row r="421" spans="21:41" ht="12.75" customHeight="1" x14ac:dyDescent="0.2">
      <c r="U421" s="251"/>
      <c r="V421" s="250"/>
      <c r="W421" s="383"/>
      <c r="X421" s="383"/>
      <c r="Y421" s="30"/>
      <c r="Z421" s="383"/>
      <c r="AA421" s="383"/>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2">
        <f t="shared" ref="AM421:AM433" si="53">AL422+0.5</f>
        <v>36</v>
      </c>
      <c r="AN421" s="28">
        <f t="shared" si="52"/>
        <v>2</v>
      </c>
      <c r="AO421" s="30"/>
    </row>
    <row r="422" spans="21:41" ht="12.75" customHeight="1" x14ac:dyDescent="0.2">
      <c r="U422" s="251"/>
      <c r="V422" s="250"/>
      <c r="W422" s="383"/>
      <c r="X422" s="383"/>
      <c r="Y422" s="30"/>
      <c r="Z422" s="383"/>
      <c r="AA422" s="383"/>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2">
        <f t="shared" si="53"/>
        <v>34</v>
      </c>
      <c r="AN422" s="38">
        <f t="shared" si="52"/>
        <v>2</v>
      </c>
      <c r="AO422" s="30"/>
    </row>
    <row r="423" spans="21:41" ht="12.75" customHeight="1" x14ac:dyDescent="0.2">
      <c r="U423" s="251"/>
      <c r="V423" s="250"/>
      <c r="W423" s="383"/>
      <c r="X423" s="383"/>
      <c r="Y423" s="30"/>
      <c r="Z423" s="383"/>
      <c r="AA423" s="383"/>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2">
        <f t="shared" si="53"/>
        <v>32</v>
      </c>
      <c r="AN423" s="28">
        <f t="shared" si="52"/>
        <v>2</v>
      </c>
      <c r="AO423" s="30"/>
    </row>
    <row r="424" spans="21:41" ht="12.75" customHeight="1" x14ac:dyDescent="0.2">
      <c r="U424" s="251"/>
      <c r="V424" s="250"/>
      <c r="W424" s="383"/>
      <c r="X424" s="383"/>
      <c r="Y424" s="30"/>
      <c r="Z424" s="383"/>
      <c r="AA424" s="383"/>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2">
        <f t="shared" si="53"/>
        <v>30</v>
      </c>
      <c r="AN424" s="28">
        <f t="shared" si="52"/>
        <v>2</v>
      </c>
      <c r="AO424" s="30"/>
    </row>
    <row r="425" spans="21:41" ht="12.75" customHeight="1" x14ac:dyDescent="0.2">
      <c r="U425" s="251"/>
      <c r="V425" s="250"/>
      <c r="W425" s="383"/>
      <c r="X425" s="383"/>
      <c r="Y425" s="30"/>
      <c r="Z425" s="383"/>
      <c r="AA425" s="383"/>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2">
        <f t="shared" si="53"/>
        <v>28</v>
      </c>
      <c r="AN425" s="38">
        <f t="shared" si="52"/>
        <v>2</v>
      </c>
      <c r="AO425" s="30"/>
    </row>
    <row r="426" spans="21:41" ht="12.75" customHeight="1" x14ac:dyDescent="0.2">
      <c r="U426" s="251"/>
      <c r="V426" s="250"/>
      <c r="W426" s="383"/>
      <c r="X426" s="383"/>
      <c r="Y426" s="30"/>
      <c r="Z426" s="383"/>
      <c r="AA426" s="383"/>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2">
        <f t="shared" si="53"/>
        <v>26.5</v>
      </c>
      <c r="AN426" s="28">
        <f t="shared" si="52"/>
        <v>1.5</v>
      </c>
      <c r="AO426" s="30"/>
    </row>
    <row r="427" spans="21:41" ht="12.75" customHeight="1" x14ac:dyDescent="0.2">
      <c r="U427" s="251"/>
      <c r="V427" s="250"/>
      <c r="W427" s="383"/>
      <c r="X427" s="383"/>
      <c r="Y427" s="30"/>
      <c r="Z427" s="383"/>
      <c r="AA427" s="383"/>
      <c r="AB427" s="15"/>
      <c r="AC427" s="24">
        <v>3</v>
      </c>
      <c r="AD427" s="25">
        <v>8</v>
      </c>
      <c r="AE427" s="30"/>
      <c r="AF427" s="26">
        <f>II1SA!$H$35+10*(100-II1SA!$H$35)/30</f>
        <v>66</v>
      </c>
      <c r="AG427" s="27">
        <f t="shared" si="51"/>
        <v>62.7</v>
      </c>
      <c r="AH427" s="30"/>
      <c r="AI427" s="24">
        <v>3</v>
      </c>
      <c r="AJ427" s="25">
        <v>8</v>
      </c>
      <c r="AK427" s="30"/>
      <c r="AL427" s="26">
        <f>ROUNDDOWN(II1SA!$H$30*AF427/500,1)*5</f>
        <v>26</v>
      </c>
      <c r="AM427" s="242">
        <f t="shared" si="53"/>
        <v>25.5</v>
      </c>
      <c r="AN427" s="28">
        <f t="shared" si="52"/>
        <v>1</v>
      </c>
      <c r="AO427" s="30"/>
    </row>
    <row r="428" spans="21:41" ht="12.75" customHeight="1" x14ac:dyDescent="0.2">
      <c r="U428" s="251"/>
      <c r="V428" s="250"/>
      <c r="W428" s="383"/>
      <c r="X428" s="383"/>
      <c r="Y428" s="30"/>
      <c r="Z428" s="383"/>
      <c r="AA428" s="383"/>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2">
        <f t="shared" si="53"/>
        <v>24</v>
      </c>
      <c r="AN428" s="38">
        <f t="shared" si="52"/>
        <v>1.5</v>
      </c>
      <c r="AO428" s="30"/>
    </row>
    <row r="429" spans="21:41" ht="12.75" customHeight="1" x14ac:dyDescent="0.2">
      <c r="U429" s="251"/>
      <c r="V429" s="250"/>
      <c r="W429" s="383"/>
      <c r="X429" s="383"/>
      <c r="Y429" s="30"/>
      <c r="Z429" s="383"/>
      <c r="AA429" s="383"/>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2">
        <f t="shared" si="53"/>
        <v>22.5</v>
      </c>
      <c r="AN429" s="28">
        <f t="shared" si="52"/>
        <v>1.5</v>
      </c>
      <c r="AO429" s="30"/>
    </row>
    <row r="430" spans="21:41" ht="12.75" customHeight="1" x14ac:dyDescent="0.2">
      <c r="U430" s="251"/>
      <c r="V430" s="250"/>
      <c r="W430" s="383"/>
      <c r="X430" s="383"/>
      <c r="Y430" s="30"/>
      <c r="Z430" s="383"/>
      <c r="AA430" s="383"/>
      <c r="AB430" s="15"/>
      <c r="AC430" s="24">
        <v>4</v>
      </c>
      <c r="AD430" s="25">
        <v>5</v>
      </c>
      <c r="AE430" s="30"/>
      <c r="AF430" s="26">
        <f>II1SA!$H$35+4*(100-II1SA!$H$35)/30</f>
        <v>55.8</v>
      </c>
      <c r="AG430" s="27">
        <f t="shared" si="51"/>
        <v>52.5</v>
      </c>
      <c r="AH430" s="30"/>
      <c r="AI430" s="24">
        <v>4</v>
      </c>
      <c r="AJ430" s="25">
        <v>5</v>
      </c>
      <c r="AK430" s="30"/>
      <c r="AL430" s="26">
        <f>ROUNDDOWN(II1SA!$H$30*AF430/500,1)*5</f>
        <v>22</v>
      </c>
      <c r="AM430" s="242">
        <f t="shared" si="53"/>
        <v>21</v>
      </c>
      <c r="AN430" s="28">
        <f t="shared" si="52"/>
        <v>1.5</v>
      </c>
      <c r="AO430" s="30"/>
    </row>
    <row r="431" spans="21:41" ht="12.75" customHeight="1" x14ac:dyDescent="0.2">
      <c r="U431" s="251"/>
      <c r="V431" s="250"/>
      <c r="W431" s="383"/>
      <c r="X431" s="383"/>
      <c r="Y431" s="30"/>
      <c r="Z431" s="383"/>
      <c r="AA431" s="383"/>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2">
        <f t="shared" si="53"/>
        <v>20</v>
      </c>
      <c r="AN431" s="38">
        <f t="shared" si="52"/>
        <v>1</v>
      </c>
      <c r="AO431" s="30"/>
    </row>
    <row r="432" spans="21:41" ht="12.75" customHeight="1" x14ac:dyDescent="0.2">
      <c r="U432" s="251"/>
      <c r="V432" s="250"/>
      <c r="W432" s="383"/>
      <c r="X432" s="383"/>
      <c r="Y432" s="30"/>
      <c r="Z432" s="383"/>
      <c r="AA432" s="383"/>
      <c r="AB432" s="15"/>
      <c r="AC432" s="43" t="s">
        <v>36</v>
      </c>
      <c r="AD432" s="25">
        <v>3</v>
      </c>
      <c r="AE432" s="30"/>
      <c r="AF432" s="26">
        <f>II1SA!$H$35</f>
        <v>49</v>
      </c>
      <c r="AG432" s="27">
        <f>AF433+0.01</f>
        <v>44.01</v>
      </c>
      <c r="AH432" s="30"/>
      <c r="AI432" s="43" t="s">
        <v>36</v>
      </c>
      <c r="AJ432" s="25">
        <v>3</v>
      </c>
      <c r="AK432" s="30"/>
      <c r="AL432" s="26">
        <f>ROUNDDOWN(II1SA!$H$30*AF432/500,1)*5</f>
        <v>19.5</v>
      </c>
      <c r="AM432" s="242">
        <f t="shared" si="53"/>
        <v>18</v>
      </c>
      <c r="AN432" s="28">
        <f t="shared" si="52"/>
        <v>2</v>
      </c>
      <c r="AO432" s="30"/>
    </row>
    <row r="433" spans="21:41" ht="12.75" customHeight="1" x14ac:dyDescent="0.2">
      <c r="U433" s="251"/>
      <c r="V433" s="250"/>
      <c r="W433" s="383"/>
      <c r="X433" s="383"/>
      <c r="Y433" s="30"/>
      <c r="Z433" s="383"/>
      <c r="AA433" s="383"/>
      <c r="AB433" s="15"/>
      <c r="AC433" s="24">
        <v>5</v>
      </c>
      <c r="AD433" s="25">
        <v>2</v>
      </c>
      <c r="AE433" s="30"/>
      <c r="AF433" s="26">
        <f>AG434+2*(AF432-AG434)/3</f>
        <v>44</v>
      </c>
      <c r="AG433" s="27">
        <f>AF434+0.01</f>
        <v>39.01</v>
      </c>
      <c r="AH433" s="30"/>
      <c r="AI433" s="24">
        <v>5</v>
      </c>
      <c r="AJ433" s="25">
        <v>2</v>
      </c>
      <c r="AK433" s="30"/>
      <c r="AL433" s="26">
        <f>ROUNDDOWN(II1SA!$H$30*AF433/500,1)*5</f>
        <v>17.5</v>
      </c>
      <c r="AM433" s="242">
        <f t="shared" si="53"/>
        <v>16</v>
      </c>
      <c r="AN433" s="28">
        <f t="shared" si="52"/>
        <v>2</v>
      </c>
      <c r="AO433" s="30"/>
    </row>
    <row r="434" spans="21:41" ht="12.75" customHeight="1" x14ac:dyDescent="0.2">
      <c r="U434" s="251"/>
      <c r="V434" s="250"/>
      <c r="W434" s="383"/>
      <c r="X434" s="250"/>
      <c r="Y434" s="30"/>
      <c r="Z434" s="383"/>
      <c r="AA434" s="383"/>
      <c r="AB434" s="15"/>
      <c r="AC434" s="46" t="s">
        <v>9</v>
      </c>
      <c r="AD434" s="34">
        <v>1</v>
      </c>
      <c r="AE434" s="35"/>
      <c r="AF434" s="47">
        <f>AG434+(AF432-AG434)/3</f>
        <v>39</v>
      </c>
      <c r="AG434" s="48">
        <f>II1SA!$H$34</f>
        <v>34</v>
      </c>
      <c r="AH434" s="30"/>
      <c r="AI434" s="46" t="s">
        <v>9</v>
      </c>
      <c r="AJ434" s="34">
        <v>1</v>
      </c>
      <c r="AK434" s="35"/>
      <c r="AL434" s="26">
        <f>ROUNDDOWN(II1SA!$H$30*AF434/500,1)*5</f>
        <v>15.5</v>
      </c>
      <c r="AM434" s="248">
        <f>ROUNDUP(II1SA!$H$30*(II1SA!$H$34/500),1)*5</f>
        <v>14.000000000000002</v>
      </c>
      <c r="AN434" s="38">
        <f t="shared" si="52"/>
        <v>1.9999999999999982</v>
      </c>
      <c r="AO434" s="30"/>
    </row>
    <row r="435" spans="21:41" ht="12.75" customHeight="1" thickBot="1" x14ac:dyDescent="0.25">
      <c r="U435" s="250"/>
      <c r="V435" s="250"/>
      <c r="W435" s="383"/>
      <c r="X435" s="383"/>
      <c r="Y435" s="30"/>
      <c r="Z435" s="383"/>
      <c r="AA435" s="383"/>
      <c r="AB435" s="15"/>
      <c r="AC435" s="54">
        <v>6</v>
      </c>
      <c r="AD435" s="55">
        <v>0</v>
      </c>
      <c r="AE435" s="56"/>
      <c r="AF435" s="61">
        <f>II1SA!$H$34-0.1</f>
        <v>33.9</v>
      </c>
      <c r="AG435" s="62">
        <v>0</v>
      </c>
      <c r="AH435" s="30"/>
      <c r="AI435" s="54">
        <v>6</v>
      </c>
      <c r="AJ435" s="55">
        <v>0</v>
      </c>
      <c r="AK435" s="56"/>
      <c r="AL435" s="61">
        <f>AM434-0.5</f>
        <v>13.500000000000002</v>
      </c>
      <c r="AM435" s="249">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500" t="s">
        <v>25</v>
      </c>
      <c r="X451" s="501"/>
      <c r="Y451" s="502" t="s">
        <v>18</v>
      </c>
      <c r="Z451" s="505" t="s">
        <v>26</v>
      </c>
      <c r="AA451" s="506"/>
      <c r="AB451" s="15"/>
      <c r="AC451" s="18" t="s">
        <v>6</v>
      </c>
      <c r="AD451" s="19" t="s">
        <v>18</v>
      </c>
      <c r="AE451" s="384"/>
      <c r="AF451" s="507" t="s">
        <v>27</v>
      </c>
      <c r="AG451" s="508"/>
      <c r="AH451" s="20"/>
      <c r="AI451" s="18" t="s">
        <v>6</v>
      </c>
      <c r="AJ451" s="19" t="s">
        <v>18</v>
      </c>
      <c r="AK451" s="21"/>
      <c r="AL451" s="509" t="s">
        <v>28</v>
      </c>
      <c r="AM451" s="510"/>
      <c r="AN451" s="22" t="s">
        <v>29</v>
      </c>
    </row>
    <row r="452" spans="20:40" ht="12.75" customHeight="1" x14ac:dyDescent="0.2">
      <c r="U452" s="23" t="s">
        <v>30</v>
      </c>
      <c r="V452" s="10" t="s">
        <v>29</v>
      </c>
      <c r="W452" s="511" t="s">
        <v>28</v>
      </c>
      <c r="X452" s="512"/>
      <c r="Y452" s="503"/>
      <c r="Z452" s="513" t="s">
        <v>31</v>
      </c>
      <c r="AA452" s="514"/>
      <c r="AB452" s="15"/>
      <c r="AC452" s="24"/>
      <c r="AD452" s="25"/>
      <c r="AE452" s="383"/>
      <c r="AF452" s="26" t="s">
        <v>32</v>
      </c>
      <c r="AG452" s="27" t="s">
        <v>33</v>
      </c>
      <c r="AH452" s="20"/>
      <c r="AI452" s="24"/>
      <c r="AJ452" s="25"/>
      <c r="AK452" s="383"/>
      <c r="AL452" s="383" t="s">
        <v>32</v>
      </c>
      <c r="AM452" s="241" t="s">
        <v>33</v>
      </c>
      <c r="AN452" s="28"/>
    </row>
    <row r="453" spans="20:40" ht="12.75" customHeight="1" x14ac:dyDescent="0.2">
      <c r="U453" s="29" t="s">
        <v>34</v>
      </c>
      <c r="V453" s="10" t="s">
        <v>25</v>
      </c>
      <c r="W453" s="385" t="s">
        <v>32</v>
      </c>
      <c r="X453" s="383" t="s">
        <v>33</v>
      </c>
      <c r="Y453" s="503"/>
      <c r="Z453" s="513" t="s">
        <v>35</v>
      </c>
      <c r="AA453" s="514"/>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504"/>
      <c r="Z454" s="77"/>
      <c r="AA454" s="28"/>
      <c r="AB454" s="30"/>
      <c r="AC454" s="33"/>
      <c r="AD454" s="34"/>
      <c r="AE454" s="35"/>
      <c r="AF454" s="41"/>
      <c r="AG454" s="42"/>
      <c r="AH454" s="30"/>
      <c r="AI454" s="43" t="s">
        <v>36</v>
      </c>
      <c r="AJ454" s="25">
        <v>15</v>
      </c>
      <c r="AK454" s="30"/>
      <c r="AL454" s="26">
        <f>II2SA!$H$30</f>
        <v>40</v>
      </c>
      <c r="AM454" s="242">
        <f>AL455+0.5</f>
        <v>38.5</v>
      </c>
      <c r="AN454" s="28">
        <f t="shared" ref="AN454:AN468" si="54">IF(AM454&gt;AL454,"ALARM",AL454-AL455)</f>
        <v>2</v>
      </c>
    </row>
    <row r="455" spans="20:40" ht="12.75" customHeight="1" x14ac:dyDescent="0.2">
      <c r="U455" s="70">
        <f>+II2SA!A43</f>
        <v>0</v>
      </c>
      <c r="V455" s="72">
        <f>IF(II2SA!$H$32="M",AN454+U455,AN497+U455)</f>
        <v>2.5</v>
      </c>
      <c r="W455" s="253">
        <f>II2SA!$H$30</f>
        <v>40</v>
      </c>
      <c r="X455" s="242">
        <f>W456+0.5</f>
        <v>38</v>
      </c>
      <c r="Y455" s="385">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2">
        <f t="shared" ref="AM455:AM467" si="56">AL456+0.5</f>
        <v>37</v>
      </c>
      <c r="AN455" s="28">
        <f t="shared" si="54"/>
        <v>1.5</v>
      </c>
    </row>
    <row r="456" spans="20:40" ht="12.75" customHeight="1" x14ac:dyDescent="0.2">
      <c r="U456" s="70">
        <f>+II2SA!A44</f>
        <v>0</v>
      </c>
      <c r="V456" s="73">
        <f>IF(II2SA!$H$32="M",AN455+U456,AN498+U456)</f>
        <v>2</v>
      </c>
      <c r="W456" s="253">
        <f t="shared" ref="W456:W470" si="57">W455-V455</f>
        <v>37.5</v>
      </c>
      <c r="X456" s="242">
        <f t="shared" ref="X456:X469" si="58">W457+0.5</f>
        <v>36</v>
      </c>
      <c r="Y456" s="385">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2">
        <f t="shared" si="56"/>
        <v>35</v>
      </c>
      <c r="AN456" s="38">
        <f t="shared" si="54"/>
        <v>2</v>
      </c>
    </row>
    <row r="457" spans="20:40" ht="12.75" customHeight="1" x14ac:dyDescent="0.2">
      <c r="U457" s="70">
        <f>+II2SA!A45</f>
        <v>0</v>
      </c>
      <c r="V457" s="73">
        <f>IF(II2SA!$H$32="M",AN456+U457,AN499+U457)</f>
        <v>2</v>
      </c>
      <c r="W457" s="254">
        <f t="shared" si="57"/>
        <v>35.5</v>
      </c>
      <c r="X457" s="242">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2">
        <f t="shared" si="56"/>
        <v>33.5</v>
      </c>
      <c r="AN457" s="28">
        <f t="shared" si="54"/>
        <v>1.5</v>
      </c>
    </row>
    <row r="458" spans="20:40" ht="12.75" customHeight="1" x14ac:dyDescent="0.2">
      <c r="U458" s="70">
        <f>+II2SA!A46</f>
        <v>0</v>
      </c>
      <c r="V458" s="72">
        <f>IF(II2SA!$H$32="M",AN457+U458,AN500+U458)</f>
        <v>2</v>
      </c>
      <c r="W458" s="253">
        <f t="shared" si="57"/>
        <v>33.5</v>
      </c>
      <c r="X458" s="242">
        <f t="shared" si="58"/>
        <v>32</v>
      </c>
      <c r="Y458" s="385">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2">
        <f t="shared" si="56"/>
        <v>32</v>
      </c>
      <c r="AN458" s="28">
        <f t="shared" si="54"/>
        <v>1.5</v>
      </c>
    </row>
    <row r="459" spans="20:40" ht="12.75" customHeight="1" x14ac:dyDescent="0.2">
      <c r="U459" s="70">
        <f>+II2SA!A47</f>
        <v>0</v>
      </c>
      <c r="V459" s="73">
        <f>IF(II2SA!$H$32="M",AN458+U459,AN501+U459)</f>
        <v>2</v>
      </c>
      <c r="W459" s="253">
        <f t="shared" si="57"/>
        <v>31.5</v>
      </c>
      <c r="X459" s="242">
        <f t="shared" si="58"/>
        <v>30</v>
      </c>
      <c r="Y459" s="385">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2">
        <f t="shared" si="56"/>
        <v>30</v>
      </c>
      <c r="AN459" s="38">
        <f t="shared" si="54"/>
        <v>2</v>
      </c>
    </row>
    <row r="460" spans="20:40" ht="12.75" customHeight="1" x14ac:dyDescent="0.2">
      <c r="U460" s="70">
        <f>+II2SA!A48</f>
        <v>0</v>
      </c>
      <c r="V460" s="75">
        <f>IF(II2SA!$H$32="M",AN459+U460,AN502+U460)</f>
        <v>2</v>
      </c>
      <c r="W460" s="254">
        <f t="shared" si="57"/>
        <v>29.5</v>
      </c>
      <c r="X460" s="242">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2">
        <f t="shared" si="56"/>
        <v>28.5</v>
      </c>
      <c r="AN460" s="28">
        <f t="shared" si="54"/>
        <v>1.5</v>
      </c>
    </row>
    <row r="461" spans="20:40" ht="12.75" customHeight="1" x14ac:dyDescent="0.2">
      <c r="U461" s="70">
        <f>+II2SA!A49</f>
        <v>0</v>
      </c>
      <c r="V461" s="73">
        <f>IF(II2SA!$H$32="M",AN460+U461,AN503+U461)</f>
        <v>1.5</v>
      </c>
      <c r="W461" s="253">
        <f t="shared" si="57"/>
        <v>27.5</v>
      </c>
      <c r="X461" s="242">
        <f t="shared" si="58"/>
        <v>26.5</v>
      </c>
      <c r="Y461" s="385">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2">
        <f t="shared" si="56"/>
        <v>26.5</v>
      </c>
      <c r="AN461" s="28">
        <f t="shared" si="54"/>
        <v>2</v>
      </c>
    </row>
    <row r="462" spans="20:40" ht="12.75" customHeight="1" x14ac:dyDescent="0.2">
      <c r="U462" s="70">
        <f>+II2SA!A50</f>
        <v>0</v>
      </c>
      <c r="V462" s="73">
        <f>IF(II2SA!$H$32="M",AN461+U462,AN504+U462)</f>
        <v>1</v>
      </c>
      <c r="W462" s="253">
        <f t="shared" si="57"/>
        <v>26</v>
      </c>
      <c r="X462" s="242">
        <f t="shared" si="58"/>
        <v>25.5</v>
      </c>
      <c r="Y462" s="385">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2">
        <f t="shared" si="56"/>
        <v>25</v>
      </c>
      <c r="AN462" s="38">
        <f t="shared" si="54"/>
        <v>1.5</v>
      </c>
    </row>
    <row r="463" spans="20:40" ht="12.75" customHeight="1" x14ac:dyDescent="0.2">
      <c r="U463" s="70">
        <f>+II2SA!A51</f>
        <v>0</v>
      </c>
      <c r="V463" s="73">
        <f>IF(II2SA!$H$32="M",AN462+U463,AN505+U463)</f>
        <v>1.5</v>
      </c>
      <c r="W463" s="254">
        <f t="shared" si="57"/>
        <v>25</v>
      </c>
      <c r="X463" s="242">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2">
        <f t="shared" si="56"/>
        <v>23.5</v>
      </c>
      <c r="AN463" s="28">
        <f t="shared" si="54"/>
        <v>1.5</v>
      </c>
    </row>
    <row r="464" spans="20:40" ht="12.75" customHeight="1" x14ac:dyDescent="0.2">
      <c r="U464" s="70">
        <f>+II2SA!A52</f>
        <v>0</v>
      </c>
      <c r="V464" s="72">
        <f>IF(II2SA!$H$32="M",AN463+U464,AN506+U464)</f>
        <v>1.5</v>
      </c>
      <c r="W464" s="253">
        <f t="shared" si="57"/>
        <v>23.5</v>
      </c>
      <c r="X464" s="242">
        <f t="shared" si="58"/>
        <v>22.5</v>
      </c>
      <c r="Y464" s="385">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2">
        <f t="shared" si="56"/>
        <v>21.5</v>
      </c>
      <c r="AN464" s="28">
        <f t="shared" si="54"/>
        <v>2</v>
      </c>
    </row>
    <row r="465" spans="21:40" ht="12.75" customHeight="1" x14ac:dyDescent="0.2">
      <c r="U465" s="70">
        <f>+II2SA!A53</f>
        <v>0</v>
      </c>
      <c r="V465" s="73">
        <f>IF(II2SA!$H$32="M",AN464+U465,AN507+U465)</f>
        <v>1.5</v>
      </c>
      <c r="W465" s="253">
        <f t="shared" si="57"/>
        <v>22</v>
      </c>
      <c r="X465" s="242">
        <f t="shared" si="58"/>
        <v>21</v>
      </c>
      <c r="Y465" s="385">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2">
        <f t="shared" si="56"/>
        <v>20</v>
      </c>
      <c r="AN465" s="38">
        <f t="shared" si="54"/>
        <v>1.5</v>
      </c>
    </row>
    <row r="466" spans="21:40" ht="12.75" customHeight="1" x14ac:dyDescent="0.2">
      <c r="U466" s="70">
        <f>+II2SA!A54</f>
        <v>0</v>
      </c>
      <c r="V466" s="75">
        <f>IF(II2SA!$H$32="M",AN465+U466,AN508+U466)</f>
        <v>1</v>
      </c>
      <c r="W466" s="254">
        <f t="shared" si="57"/>
        <v>20.5</v>
      </c>
      <c r="X466" s="242">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2">
        <f t="shared" si="56"/>
        <v>18</v>
      </c>
      <c r="AN466" s="28">
        <f t="shared" si="54"/>
        <v>2</v>
      </c>
    </row>
    <row r="467" spans="21:40" ht="12.75" customHeight="1" x14ac:dyDescent="0.2">
      <c r="U467" s="70">
        <f>+II2SA!A55</f>
        <v>0</v>
      </c>
      <c r="V467" s="72">
        <f>IF(II2SA!$H$32="M",AN466+U467,AN509+U467)</f>
        <v>2</v>
      </c>
      <c r="W467" s="253">
        <f t="shared" si="57"/>
        <v>19.5</v>
      </c>
      <c r="X467" s="242">
        <f t="shared" si="58"/>
        <v>18</v>
      </c>
      <c r="Y467" s="385">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2">
        <f t="shared" si="56"/>
        <v>16</v>
      </c>
      <c r="AN467" s="28">
        <f t="shared" si="54"/>
        <v>2</v>
      </c>
    </row>
    <row r="468" spans="21:40" ht="12.75" customHeight="1" x14ac:dyDescent="0.2">
      <c r="U468" s="70">
        <f>+II2SA!A56</f>
        <v>0</v>
      </c>
      <c r="V468" s="73">
        <f>IF(II2SA!$H$32="M",AN467+U468,AN510+U468)</f>
        <v>2</v>
      </c>
      <c r="W468" s="253">
        <f t="shared" si="57"/>
        <v>17.5</v>
      </c>
      <c r="X468" s="242">
        <f t="shared" si="58"/>
        <v>16</v>
      </c>
      <c r="Y468" s="385">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8">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4">
        <f t="shared" si="57"/>
        <v>15.5</v>
      </c>
      <c r="X469" s="242">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9">
        <v>0</v>
      </c>
      <c r="AN469" s="59">
        <f>IF(AM469&gt;AM468,"ALARM",AL469)</f>
        <v>13.500000000000002</v>
      </c>
    </row>
    <row r="470" spans="21:40" ht="12.75" customHeight="1" thickBot="1" x14ac:dyDescent="0.25">
      <c r="U470" s="12" t="s">
        <v>37</v>
      </c>
      <c r="V470" s="74">
        <f>IF(II2SA!$H$32="M",+W470,W512)</f>
        <v>0</v>
      </c>
      <c r="W470" s="255">
        <f t="shared" si="57"/>
        <v>13.500000000000002</v>
      </c>
      <c r="X470" s="249">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7">
        <f t="shared" ref="V473:V488" si="59">+X473</f>
        <v>0</v>
      </c>
      <c r="W473" s="247">
        <f>+W470</f>
        <v>13.500000000000002</v>
      </c>
      <c r="X473" s="247">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7">
        <f t="shared" si="59"/>
        <v>14.000000000000002</v>
      </c>
      <c r="W474" s="247">
        <f>+W469</f>
        <v>15.5</v>
      </c>
      <c r="X474" s="247">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7">
        <f t="shared" si="59"/>
        <v>16</v>
      </c>
      <c r="W475" s="247">
        <f>+W468</f>
        <v>17.5</v>
      </c>
      <c r="X475" s="247">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7">
        <f t="shared" si="59"/>
        <v>18</v>
      </c>
      <c r="W476" s="247">
        <f>+W467</f>
        <v>19.5</v>
      </c>
      <c r="X476" s="247">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7">
        <f t="shared" si="59"/>
        <v>20</v>
      </c>
      <c r="W477" s="247">
        <f>+W466</f>
        <v>20.5</v>
      </c>
      <c r="X477" s="247">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7">
        <f t="shared" si="59"/>
        <v>21</v>
      </c>
      <c r="W478" s="247">
        <f>+W465</f>
        <v>22</v>
      </c>
      <c r="X478" s="247">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7">
        <f t="shared" si="59"/>
        <v>22.5</v>
      </c>
      <c r="W479" s="247">
        <f>+W464</f>
        <v>23.5</v>
      </c>
      <c r="X479" s="247">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7">
        <f t="shared" si="59"/>
        <v>24</v>
      </c>
      <c r="W480" s="247">
        <f>+W463</f>
        <v>25</v>
      </c>
      <c r="X480" s="247">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7">
        <f t="shared" si="59"/>
        <v>25.5</v>
      </c>
      <c r="W481" s="247">
        <f>+W462</f>
        <v>26</v>
      </c>
      <c r="X481" s="247">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7">
        <f t="shared" si="59"/>
        <v>26.5</v>
      </c>
      <c r="W482" s="247">
        <f>+W461</f>
        <v>27.5</v>
      </c>
      <c r="X482" s="247">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7">
        <f t="shared" si="59"/>
        <v>28</v>
      </c>
      <c r="W483" s="247">
        <f>+W460</f>
        <v>29.5</v>
      </c>
      <c r="X483" s="247">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7">
        <f t="shared" si="59"/>
        <v>30</v>
      </c>
      <c r="W484" s="247">
        <f>+W459</f>
        <v>31.5</v>
      </c>
      <c r="X484" s="247">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7">
        <f t="shared" si="59"/>
        <v>32</v>
      </c>
      <c r="W485" s="247">
        <f>+W458</f>
        <v>33.5</v>
      </c>
      <c r="X485" s="247">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7">
        <f t="shared" si="59"/>
        <v>34</v>
      </c>
      <c r="W486" s="247">
        <f>+W457</f>
        <v>35.5</v>
      </c>
      <c r="X486" s="247">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7">
        <f t="shared" si="59"/>
        <v>36</v>
      </c>
      <c r="W487" s="247">
        <f>+W456</f>
        <v>37.5</v>
      </c>
      <c r="X487" s="247">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7">
        <f t="shared" si="59"/>
        <v>38</v>
      </c>
      <c r="W488" s="247">
        <f>+W455</f>
        <v>40</v>
      </c>
      <c r="X488" s="247">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3"/>
      <c r="AJ492" s="26"/>
      <c r="AK492" s="26"/>
      <c r="AL492" s="20"/>
      <c r="AM492" s="53"/>
      <c r="AN492" s="383"/>
    </row>
    <row r="493" spans="21:40" ht="12.75" customHeight="1" thickBot="1" x14ac:dyDescent="0.25">
      <c r="U493" s="383"/>
      <c r="V493" s="250"/>
      <c r="W493" s="516"/>
      <c r="X493" s="516"/>
      <c r="Y493" s="30"/>
      <c r="Z493" s="516"/>
      <c r="AA493" s="516"/>
      <c r="AB493" s="15"/>
      <c r="AC493" s="30"/>
      <c r="AD493" s="383"/>
      <c r="AE493" s="383"/>
      <c r="AF493" s="26"/>
      <c r="AG493" s="26"/>
      <c r="AH493" s="20"/>
      <c r="AI493" s="30"/>
      <c r="AJ493" s="383"/>
      <c r="AK493" s="30"/>
      <c r="AL493" s="383"/>
      <c r="AM493" s="383"/>
      <c r="AN493" s="383"/>
    </row>
    <row r="494" spans="21:40" ht="12.75" customHeight="1" x14ac:dyDescent="0.2">
      <c r="U494" s="251"/>
      <c r="V494" s="250"/>
      <c r="W494" s="512"/>
      <c r="X494" s="512"/>
      <c r="Y494" s="30"/>
      <c r="Z494" s="516"/>
      <c r="AA494" s="516"/>
      <c r="AB494" s="15"/>
      <c r="AC494" s="18" t="s">
        <v>6</v>
      </c>
      <c r="AD494" s="19" t="s">
        <v>18</v>
      </c>
      <c r="AE494" s="384"/>
      <c r="AF494" s="507" t="s">
        <v>27</v>
      </c>
      <c r="AG494" s="508"/>
      <c r="AH494" s="20"/>
      <c r="AI494" s="18" t="s">
        <v>6</v>
      </c>
      <c r="AJ494" s="19" t="s">
        <v>18</v>
      </c>
      <c r="AK494" s="21"/>
      <c r="AL494" s="509" t="s">
        <v>28</v>
      </c>
      <c r="AM494" s="510"/>
      <c r="AN494" s="22" t="s">
        <v>29</v>
      </c>
    </row>
    <row r="495" spans="21:40" ht="12.75" customHeight="1" x14ac:dyDescent="0.2">
      <c r="U495" s="252"/>
      <c r="V495" s="250"/>
      <c r="W495" s="383"/>
      <c r="X495" s="383"/>
      <c r="Y495" s="30"/>
      <c r="Z495" s="516"/>
      <c r="AA495" s="516"/>
      <c r="AB495" s="15"/>
      <c r="AC495" s="24"/>
      <c r="AD495" s="25"/>
      <c r="AE495" s="383"/>
      <c r="AF495" s="26" t="s">
        <v>32</v>
      </c>
      <c r="AG495" s="27" t="s">
        <v>33</v>
      </c>
      <c r="AH495" s="20"/>
      <c r="AI495" s="24"/>
      <c r="AJ495" s="25"/>
      <c r="AK495" s="383"/>
      <c r="AL495" s="383" t="s">
        <v>32</v>
      </c>
      <c r="AM495" s="241" t="s">
        <v>33</v>
      </c>
      <c r="AN495" s="28"/>
    </row>
    <row r="496" spans="21:40" ht="12.75" customHeight="1" x14ac:dyDescent="0.2">
      <c r="U496" s="30"/>
      <c r="V496" s="250"/>
      <c r="W496" s="383"/>
      <c r="X496" s="383"/>
      <c r="Y496" s="30"/>
      <c r="Z496" s="383"/>
      <c r="AA496" s="383"/>
      <c r="AB496" s="15"/>
      <c r="AC496" s="33"/>
      <c r="AD496" s="34"/>
      <c r="AE496" s="35"/>
      <c r="AF496" s="41"/>
      <c r="AG496" s="42"/>
      <c r="AH496" s="30"/>
      <c r="AI496" s="33"/>
      <c r="AJ496" s="34"/>
      <c r="AK496" s="35"/>
      <c r="AL496" s="36"/>
      <c r="AM496" s="37"/>
      <c r="AN496" s="38"/>
    </row>
    <row r="497" spans="21:40" ht="12.75" customHeight="1" x14ac:dyDescent="0.2">
      <c r="U497" s="251"/>
      <c r="V497" s="250"/>
      <c r="W497" s="44"/>
      <c r="X497" s="383"/>
      <c r="Y497" s="30"/>
      <c r="Z497" s="383"/>
      <c r="AA497" s="383"/>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1">
        <f>AL498+0.5</f>
        <v>38</v>
      </c>
      <c r="AN497" s="28">
        <f t="shared" ref="AN497:AN511" si="61">IF(AM497&gt;AL497,"ALARM",AL497-AL498)</f>
        <v>2.5</v>
      </c>
    </row>
    <row r="498" spans="21:40" ht="12.75" customHeight="1" x14ac:dyDescent="0.2">
      <c r="U498" s="251"/>
      <c r="V498" s="250"/>
      <c r="W498" s="383"/>
      <c r="X498" s="383"/>
      <c r="Y498" s="30"/>
      <c r="Z498" s="383"/>
      <c r="AA498" s="383"/>
      <c r="AB498" s="15"/>
      <c r="AC498" s="24">
        <v>1</v>
      </c>
      <c r="AD498" s="25">
        <v>14</v>
      </c>
      <c r="AE498" s="30"/>
      <c r="AF498" s="26">
        <f>II2SA!$H$35+27*(100-II2SA!$H$35)/30</f>
        <v>94.9</v>
      </c>
      <c r="AG498" s="27">
        <f t="shared" si="60"/>
        <v>89.899999999999991</v>
      </c>
      <c r="AH498" s="30"/>
      <c r="AI498" s="24">
        <v>1</v>
      </c>
      <c r="AJ498" s="25">
        <v>14</v>
      </c>
      <c r="AK498" s="30"/>
      <c r="AL498" s="383">
        <f>ROUNDDOWN(II2SA!$H$30*AF498/500,1)*5</f>
        <v>37.5</v>
      </c>
      <c r="AM498" s="241">
        <f t="shared" ref="AM498:AM510" si="62">AL499+0.5</f>
        <v>36</v>
      </c>
      <c r="AN498" s="28">
        <f t="shared" si="61"/>
        <v>2</v>
      </c>
    </row>
    <row r="499" spans="21:40" ht="12.75" customHeight="1" x14ac:dyDescent="0.2">
      <c r="U499" s="251"/>
      <c r="V499" s="250"/>
      <c r="W499" s="383"/>
      <c r="X499" s="383"/>
      <c r="Y499" s="30"/>
      <c r="Z499" s="383"/>
      <c r="AA499" s="383"/>
      <c r="AB499" s="15"/>
      <c r="AC499" s="46" t="s">
        <v>9</v>
      </c>
      <c r="AD499" s="34">
        <v>13</v>
      </c>
      <c r="AE499" s="35"/>
      <c r="AF499" s="47">
        <f>II2SA!$H$35+24*(100-II2SA!$H$35)/30</f>
        <v>89.8</v>
      </c>
      <c r="AG499" s="48">
        <f t="shared" si="60"/>
        <v>84.8</v>
      </c>
      <c r="AH499" s="30"/>
      <c r="AI499" s="46" t="s">
        <v>9</v>
      </c>
      <c r="AJ499" s="34">
        <v>13</v>
      </c>
      <c r="AK499" s="35"/>
      <c r="AL499" s="383">
        <f>ROUNDDOWN(II2SA!$H$30*AF499/500,1)*5</f>
        <v>35.5</v>
      </c>
      <c r="AM499" s="241">
        <f t="shared" si="62"/>
        <v>34</v>
      </c>
      <c r="AN499" s="38">
        <f t="shared" si="61"/>
        <v>2</v>
      </c>
    </row>
    <row r="500" spans="21:40" ht="12.75" customHeight="1" x14ac:dyDescent="0.2">
      <c r="U500" s="251"/>
      <c r="V500" s="250"/>
      <c r="W500" s="383"/>
      <c r="X500" s="383"/>
      <c r="Y500" s="30"/>
      <c r="Z500" s="383"/>
      <c r="AA500" s="383"/>
      <c r="AB500" s="15"/>
      <c r="AC500" s="43" t="s">
        <v>36</v>
      </c>
      <c r="AD500" s="25">
        <v>12</v>
      </c>
      <c r="AE500" s="30"/>
      <c r="AF500" s="26">
        <f>II2SA!$H$35+21*(100-II2SA!$H$35)/30</f>
        <v>84.7</v>
      </c>
      <c r="AG500" s="27">
        <f t="shared" si="60"/>
        <v>79.699999999999989</v>
      </c>
      <c r="AH500" s="30"/>
      <c r="AI500" s="43" t="s">
        <v>36</v>
      </c>
      <c r="AJ500" s="25">
        <v>12</v>
      </c>
      <c r="AK500" s="30"/>
      <c r="AL500" s="383">
        <f>ROUNDDOWN(II2SA!$H$30*AF500/500,1)*5</f>
        <v>33.5</v>
      </c>
      <c r="AM500" s="241">
        <f t="shared" si="62"/>
        <v>32</v>
      </c>
      <c r="AN500" s="28">
        <f t="shared" si="61"/>
        <v>2</v>
      </c>
    </row>
    <row r="501" spans="21:40" ht="12.75" customHeight="1" x14ac:dyDescent="0.2">
      <c r="U501" s="251"/>
      <c r="V501" s="250"/>
      <c r="W501" s="383"/>
      <c r="X501" s="383"/>
      <c r="Y501" s="30"/>
      <c r="Z501" s="383"/>
      <c r="AA501" s="383"/>
      <c r="AB501" s="15"/>
      <c r="AC501" s="24">
        <v>2</v>
      </c>
      <c r="AD501" s="25">
        <v>11</v>
      </c>
      <c r="AE501" s="30"/>
      <c r="AF501" s="26">
        <f>II2SA!$H$35+18*(100-II2SA!$H$35)/30</f>
        <v>79.599999999999994</v>
      </c>
      <c r="AG501" s="27">
        <f t="shared" si="60"/>
        <v>74.599999999999994</v>
      </c>
      <c r="AH501" s="30"/>
      <c r="AI501" s="24">
        <v>2</v>
      </c>
      <c r="AJ501" s="25">
        <v>11</v>
      </c>
      <c r="AK501" s="30"/>
      <c r="AL501" s="383">
        <f>ROUNDDOWN(II2SA!$H$30*AF501/500,1)*5</f>
        <v>31.5</v>
      </c>
      <c r="AM501" s="241">
        <f t="shared" si="62"/>
        <v>30</v>
      </c>
      <c r="AN501" s="28">
        <f t="shared" si="61"/>
        <v>2</v>
      </c>
    </row>
    <row r="502" spans="21:40" ht="12.75" customHeight="1" x14ac:dyDescent="0.2">
      <c r="U502" s="251"/>
      <c r="V502" s="250"/>
      <c r="W502" s="383"/>
      <c r="X502" s="383"/>
      <c r="Y502" s="30"/>
      <c r="Z502" s="383"/>
      <c r="AA502" s="383"/>
      <c r="AB502" s="15"/>
      <c r="AC502" s="46" t="s">
        <v>9</v>
      </c>
      <c r="AD502" s="34">
        <v>10</v>
      </c>
      <c r="AE502" s="35"/>
      <c r="AF502" s="47">
        <f>II2SA!$H$35+15*(100-II2SA!$H$35)/30</f>
        <v>74.5</v>
      </c>
      <c r="AG502" s="48">
        <f t="shared" si="60"/>
        <v>69.5</v>
      </c>
      <c r="AH502" s="30"/>
      <c r="AI502" s="46" t="s">
        <v>9</v>
      </c>
      <c r="AJ502" s="34">
        <v>10</v>
      </c>
      <c r="AK502" s="35"/>
      <c r="AL502" s="383">
        <f>ROUNDDOWN(II2SA!$H$30*AF502/500,1)*5</f>
        <v>29.5</v>
      </c>
      <c r="AM502" s="241">
        <f t="shared" si="62"/>
        <v>28</v>
      </c>
      <c r="AN502" s="38">
        <f t="shared" si="61"/>
        <v>2</v>
      </c>
    </row>
    <row r="503" spans="21:40" ht="12.75" customHeight="1" x14ac:dyDescent="0.2">
      <c r="U503" s="251"/>
      <c r="V503" s="250"/>
      <c r="W503" s="383"/>
      <c r="X503" s="383"/>
      <c r="Y503" s="30"/>
      <c r="Z503" s="383"/>
      <c r="AA503" s="383"/>
      <c r="AB503" s="15"/>
      <c r="AC503" s="43" t="s">
        <v>36</v>
      </c>
      <c r="AD503" s="25">
        <v>9</v>
      </c>
      <c r="AE503" s="30"/>
      <c r="AF503" s="26">
        <f>II2SA!$H$35+12*(100-II2SA!$H$35)/30</f>
        <v>69.400000000000006</v>
      </c>
      <c r="AG503" s="27">
        <f t="shared" si="60"/>
        <v>66.099999999999994</v>
      </c>
      <c r="AH503" s="30"/>
      <c r="AI503" s="43" t="s">
        <v>36</v>
      </c>
      <c r="AJ503" s="25">
        <v>9</v>
      </c>
      <c r="AK503" s="30"/>
      <c r="AL503" s="383">
        <f>ROUNDDOWN(II2SA!$H$30*AF503/500,1)*5</f>
        <v>27.5</v>
      </c>
      <c r="AM503" s="241">
        <f t="shared" si="62"/>
        <v>26.5</v>
      </c>
      <c r="AN503" s="28">
        <f t="shared" si="61"/>
        <v>1.5</v>
      </c>
    </row>
    <row r="504" spans="21:40" ht="12.75" customHeight="1" x14ac:dyDescent="0.2">
      <c r="U504" s="251"/>
      <c r="V504" s="250"/>
      <c r="W504" s="383"/>
      <c r="X504" s="383"/>
      <c r="Y504" s="30"/>
      <c r="Z504" s="383"/>
      <c r="AA504" s="383"/>
      <c r="AB504" s="15"/>
      <c r="AC504" s="24">
        <v>3</v>
      </c>
      <c r="AD504" s="25">
        <v>8</v>
      </c>
      <c r="AE504" s="30"/>
      <c r="AF504" s="26">
        <f>II2SA!$H$35+10*(100-II2SA!$H$35)/30</f>
        <v>66</v>
      </c>
      <c r="AG504" s="27">
        <f t="shared" si="60"/>
        <v>62.7</v>
      </c>
      <c r="AH504" s="30"/>
      <c r="AI504" s="24">
        <v>3</v>
      </c>
      <c r="AJ504" s="25">
        <v>8</v>
      </c>
      <c r="AK504" s="30"/>
      <c r="AL504" s="383">
        <f>ROUNDDOWN(II2SA!$H$30*AF504/500,1)*5</f>
        <v>26</v>
      </c>
      <c r="AM504" s="241">
        <f t="shared" si="62"/>
        <v>25.5</v>
      </c>
      <c r="AN504" s="28">
        <f t="shared" si="61"/>
        <v>1</v>
      </c>
    </row>
    <row r="505" spans="21:40" ht="12.75" customHeight="1" x14ac:dyDescent="0.2">
      <c r="U505" s="251"/>
      <c r="V505" s="250"/>
      <c r="W505" s="383"/>
      <c r="X505" s="383"/>
      <c r="Y505" s="30"/>
      <c r="Z505" s="383"/>
      <c r="AA505" s="383"/>
      <c r="AB505" s="15"/>
      <c r="AC505" s="46" t="s">
        <v>9</v>
      </c>
      <c r="AD505" s="34">
        <v>7</v>
      </c>
      <c r="AE505" s="35"/>
      <c r="AF505" s="47">
        <f>II2SA!$H$35+8*(100-II2SA!$H$35)/30</f>
        <v>62.6</v>
      </c>
      <c r="AG505" s="48">
        <f t="shared" si="60"/>
        <v>59.300000000000004</v>
      </c>
      <c r="AH505" s="30"/>
      <c r="AI505" s="46" t="s">
        <v>9</v>
      </c>
      <c r="AJ505" s="34">
        <v>7</v>
      </c>
      <c r="AK505" s="35"/>
      <c r="AL505" s="383">
        <f>ROUNDDOWN(II2SA!$H$30*AF505/500,1)*5</f>
        <v>25</v>
      </c>
      <c r="AM505" s="241">
        <f t="shared" si="62"/>
        <v>24</v>
      </c>
      <c r="AN505" s="38">
        <f t="shared" si="61"/>
        <v>1.5</v>
      </c>
    </row>
    <row r="506" spans="21:40" ht="12.75" customHeight="1" x14ac:dyDescent="0.2">
      <c r="U506" s="251"/>
      <c r="V506" s="250"/>
      <c r="W506" s="383"/>
      <c r="X506" s="383"/>
      <c r="Y506" s="30"/>
      <c r="Z506" s="383"/>
      <c r="AA506" s="383"/>
      <c r="AB506" s="15"/>
      <c r="AC506" s="43" t="s">
        <v>36</v>
      </c>
      <c r="AD506" s="25">
        <v>6</v>
      </c>
      <c r="AE506" s="30"/>
      <c r="AF506" s="26">
        <f>II2SA!$H$35+6*(100-II2SA!$H$35)/30</f>
        <v>59.2</v>
      </c>
      <c r="AG506" s="27">
        <f t="shared" si="60"/>
        <v>55.9</v>
      </c>
      <c r="AH506" s="30"/>
      <c r="AI506" s="43" t="s">
        <v>36</v>
      </c>
      <c r="AJ506" s="25">
        <v>6</v>
      </c>
      <c r="AK506" s="30"/>
      <c r="AL506" s="383">
        <f>ROUNDDOWN(II2SA!$H$30*AF506/500,1)*5</f>
        <v>23.5</v>
      </c>
      <c r="AM506" s="241">
        <f t="shared" si="62"/>
        <v>22.5</v>
      </c>
      <c r="AN506" s="28">
        <f t="shared" si="61"/>
        <v>1.5</v>
      </c>
    </row>
    <row r="507" spans="21:40" ht="12.75" customHeight="1" x14ac:dyDescent="0.2">
      <c r="U507" s="251"/>
      <c r="V507" s="250"/>
      <c r="W507" s="383"/>
      <c r="X507" s="383"/>
      <c r="Y507" s="30"/>
      <c r="Z507" s="383"/>
      <c r="AA507" s="383"/>
      <c r="AB507" s="15"/>
      <c r="AC507" s="24">
        <v>4</v>
      </c>
      <c r="AD507" s="25">
        <v>5</v>
      </c>
      <c r="AE507" s="30"/>
      <c r="AF507" s="26">
        <f>II2SA!$H$35+4*(100-II2SA!$H$35)/30</f>
        <v>55.8</v>
      </c>
      <c r="AG507" s="27">
        <f t="shared" si="60"/>
        <v>52.5</v>
      </c>
      <c r="AH507" s="30"/>
      <c r="AI507" s="24">
        <v>4</v>
      </c>
      <c r="AJ507" s="25">
        <v>5</v>
      </c>
      <c r="AK507" s="30"/>
      <c r="AL507" s="383">
        <f>ROUNDDOWN(II2SA!$H$30*AF507/500,1)*5</f>
        <v>22</v>
      </c>
      <c r="AM507" s="241">
        <f t="shared" si="62"/>
        <v>21</v>
      </c>
      <c r="AN507" s="28">
        <f t="shared" si="61"/>
        <v>1.5</v>
      </c>
    </row>
    <row r="508" spans="21:40" ht="12.75" customHeight="1" x14ac:dyDescent="0.2">
      <c r="U508" s="251"/>
      <c r="V508" s="250"/>
      <c r="W508" s="383"/>
      <c r="X508" s="383"/>
      <c r="Y508" s="30"/>
      <c r="Z508" s="383"/>
      <c r="AA508" s="383"/>
      <c r="AB508" s="15"/>
      <c r="AC508" s="46" t="s">
        <v>9</v>
      </c>
      <c r="AD508" s="34">
        <v>4</v>
      </c>
      <c r="AE508" s="35"/>
      <c r="AF508" s="47">
        <f>II2SA!$H$35+2*(100-II2SA!$H$35)/30</f>
        <v>52.4</v>
      </c>
      <c r="AG508" s="48">
        <f t="shared" si="60"/>
        <v>49.1</v>
      </c>
      <c r="AH508" s="30"/>
      <c r="AI508" s="46" t="s">
        <v>9</v>
      </c>
      <c r="AJ508" s="34">
        <v>4</v>
      </c>
      <c r="AK508" s="35"/>
      <c r="AL508" s="383">
        <f>ROUNDDOWN(II2SA!$H$30*AF508/500,1)*5</f>
        <v>20.5</v>
      </c>
      <c r="AM508" s="241">
        <f t="shared" si="62"/>
        <v>20</v>
      </c>
      <c r="AN508" s="38">
        <f t="shared" si="61"/>
        <v>1</v>
      </c>
    </row>
    <row r="509" spans="21:40" ht="12.75" customHeight="1" x14ac:dyDescent="0.2">
      <c r="U509" s="251"/>
      <c r="V509" s="250"/>
      <c r="W509" s="383"/>
      <c r="X509" s="383"/>
      <c r="Y509" s="30"/>
      <c r="Z509" s="383"/>
      <c r="AA509" s="383"/>
      <c r="AB509" s="15"/>
      <c r="AC509" s="43" t="s">
        <v>36</v>
      </c>
      <c r="AD509" s="25">
        <v>3</v>
      </c>
      <c r="AE509" s="30"/>
      <c r="AF509" s="26">
        <f>II2SA!$H$35</f>
        <v>49</v>
      </c>
      <c r="AG509" s="27">
        <f>AF510+0.01</f>
        <v>44.01</v>
      </c>
      <c r="AH509" s="30"/>
      <c r="AI509" s="43" t="s">
        <v>36</v>
      </c>
      <c r="AJ509" s="25">
        <v>3</v>
      </c>
      <c r="AK509" s="30"/>
      <c r="AL509" s="383">
        <f>ROUNDDOWN(II2SA!$H$30*AF509/500,1)*5</f>
        <v>19.5</v>
      </c>
      <c r="AM509" s="241">
        <f t="shared" si="62"/>
        <v>18</v>
      </c>
      <c r="AN509" s="28">
        <f t="shared" si="61"/>
        <v>2</v>
      </c>
    </row>
    <row r="510" spans="21:40" ht="12.75" customHeight="1" x14ac:dyDescent="0.2">
      <c r="U510" s="251"/>
      <c r="V510" s="250"/>
      <c r="W510" s="383"/>
      <c r="X510" s="383"/>
      <c r="Y510" s="30"/>
      <c r="Z510" s="383"/>
      <c r="AA510" s="383"/>
      <c r="AB510" s="15"/>
      <c r="AC510" s="24">
        <v>5</v>
      </c>
      <c r="AD510" s="25">
        <v>2</v>
      </c>
      <c r="AE510" s="30"/>
      <c r="AF510" s="26">
        <f>AG511+2*(AF509-AG511)/3</f>
        <v>44</v>
      </c>
      <c r="AG510" s="27">
        <f>AF511+0.01</f>
        <v>39.01</v>
      </c>
      <c r="AH510" s="30"/>
      <c r="AI510" s="24">
        <v>5</v>
      </c>
      <c r="AJ510" s="25">
        <v>2</v>
      </c>
      <c r="AK510" s="30"/>
      <c r="AL510" s="383">
        <f>ROUNDDOWN(II2SA!$H$30*AF510/500,1)*5</f>
        <v>17.5</v>
      </c>
      <c r="AM510" s="241">
        <f t="shared" si="62"/>
        <v>16</v>
      </c>
      <c r="AN510" s="28">
        <f t="shared" si="61"/>
        <v>2</v>
      </c>
    </row>
    <row r="511" spans="21:40" ht="12.75" customHeight="1" x14ac:dyDescent="0.2">
      <c r="U511" s="251"/>
      <c r="V511" s="250"/>
      <c r="W511" s="383"/>
      <c r="X511" s="250"/>
      <c r="Y511" s="30"/>
      <c r="Z511" s="383"/>
      <c r="AA511" s="383"/>
      <c r="AB511" s="15"/>
      <c r="AC511" s="46" t="s">
        <v>9</v>
      </c>
      <c r="AD511" s="34">
        <v>1</v>
      </c>
      <c r="AE511" s="35"/>
      <c r="AF511" s="47">
        <f>AG511+(AF509-AG511)/3</f>
        <v>39</v>
      </c>
      <c r="AG511" s="48">
        <f>II2SA!$H$34</f>
        <v>34</v>
      </c>
      <c r="AH511" s="30"/>
      <c r="AI511" s="46" t="s">
        <v>9</v>
      </c>
      <c r="AJ511" s="34">
        <v>1</v>
      </c>
      <c r="AK511" s="35"/>
      <c r="AL511" s="383">
        <f>ROUNDDOWN(II2SA!$H$30*AF511/500,1)*5</f>
        <v>15.5</v>
      </c>
      <c r="AM511" s="37">
        <f>ROUNDUP(II2SA!$H$30*(II2SA!$H$34/500),1)*5</f>
        <v>14.000000000000002</v>
      </c>
      <c r="AN511" s="38">
        <f t="shared" si="61"/>
        <v>1.9999999999999982</v>
      </c>
    </row>
    <row r="512" spans="21:40" ht="12.75" customHeight="1" thickBot="1" x14ac:dyDescent="0.25">
      <c r="U512" s="250"/>
      <c r="V512" s="250"/>
      <c r="W512" s="383"/>
      <c r="X512" s="383"/>
      <c r="Y512" s="30"/>
      <c r="Z512" s="383"/>
      <c r="AA512" s="383"/>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500" t="s">
        <v>25</v>
      </c>
      <c r="X518" s="501"/>
      <c r="Y518" s="502" t="s">
        <v>18</v>
      </c>
      <c r="Z518" s="505" t="s">
        <v>26</v>
      </c>
      <c r="AA518" s="506"/>
      <c r="AB518" s="15"/>
      <c r="AC518" s="18" t="s">
        <v>6</v>
      </c>
      <c r="AD518" s="19" t="s">
        <v>18</v>
      </c>
      <c r="AE518" s="384"/>
      <c r="AF518" s="507" t="s">
        <v>27</v>
      </c>
      <c r="AG518" s="508"/>
      <c r="AH518" s="20"/>
      <c r="AI518" s="18" t="s">
        <v>6</v>
      </c>
      <c r="AJ518" s="19" t="s">
        <v>18</v>
      </c>
      <c r="AK518" s="21"/>
      <c r="AL518" s="509" t="s">
        <v>28</v>
      </c>
      <c r="AM518" s="510"/>
      <c r="AN518" s="22" t="s">
        <v>29</v>
      </c>
    </row>
    <row r="519" spans="20:40" ht="12.75" customHeight="1" x14ac:dyDescent="0.2">
      <c r="U519" s="23" t="s">
        <v>30</v>
      </c>
      <c r="V519" s="10" t="s">
        <v>29</v>
      </c>
      <c r="W519" s="511" t="s">
        <v>28</v>
      </c>
      <c r="X519" s="512"/>
      <c r="Y519" s="503"/>
      <c r="Z519" s="513" t="s">
        <v>31</v>
      </c>
      <c r="AA519" s="514"/>
      <c r="AB519" s="15"/>
      <c r="AC519" s="24"/>
      <c r="AD519" s="25"/>
      <c r="AE519" s="383"/>
      <c r="AF519" s="26" t="s">
        <v>32</v>
      </c>
      <c r="AG519" s="27" t="s">
        <v>33</v>
      </c>
      <c r="AH519" s="20"/>
      <c r="AI519" s="24"/>
      <c r="AJ519" s="25"/>
      <c r="AK519" s="383"/>
      <c r="AL519" s="383" t="s">
        <v>32</v>
      </c>
      <c r="AM519" s="241" t="s">
        <v>33</v>
      </c>
      <c r="AN519" s="28"/>
    </row>
    <row r="520" spans="20:40" ht="12.75" customHeight="1" x14ac:dyDescent="0.2">
      <c r="U520" s="29" t="s">
        <v>34</v>
      </c>
      <c r="V520" s="10" t="s">
        <v>25</v>
      </c>
      <c r="W520" s="385" t="s">
        <v>32</v>
      </c>
      <c r="X520" s="383" t="s">
        <v>33</v>
      </c>
      <c r="Y520" s="503"/>
      <c r="Z520" s="513" t="s">
        <v>35</v>
      </c>
      <c r="AA520" s="514"/>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504"/>
      <c r="Z521" s="77"/>
      <c r="AA521" s="28"/>
      <c r="AB521" s="30"/>
      <c r="AC521" s="33"/>
      <c r="AD521" s="34"/>
      <c r="AE521" s="35"/>
      <c r="AF521" s="41"/>
      <c r="AG521" s="42"/>
      <c r="AH521" s="30"/>
      <c r="AI521" s="43" t="s">
        <v>36</v>
      </c>
      <c r="AJ521" s="25">
        <v>15</v>
      </c>
      <c r="AK521" s="30"/>
      <c r="AL521" s="26">
        <f>II1Ext!$H$30</f>
        <v>20</v>
      </c>
      <c r="AM521" s="242">
        <f>AL522+0.5</f>
        <v>19.5</v>
      </c>
      <c r="AN521" s="28">
        <f t="shared" ref="AN521:AN535" si="63">IF(AM521&gt;AL521,"ALARM",AL521-AL522)</f>
        <v>1</v>
      </c>
    </row>
    <row r="522" spans="20:40" ht="12.75" customHeight="1" x14ac:dyDescent="0.2">
      <c r="U522" s="70">
        <f>+II1Ext!A43</f>
        <v>0</v>
      </c>
      <c r="V522" s="72">
        <f>IF(II1Ext!$H$32="M",AN521+U522,AN564+U522)</f>
        <v>1.5</v>
      </c>
      <c r="W522" s="253">
        <f>II1Ext!$H$30</f>
        <v>20</v>
      </c>
      <c r="X522" s="242">
        <f>W523+0.5</f>
        <v>19</v>
      </c>
      <c r="Y522" s="385">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2">
        <f t="shared" ref="AM522:AM534" si="65">AL523+0.5</f>
        <v>18.5</v>
      </c>
      <c r="AN522" s="28">
        <f t="shared" si="63"/>
        <v>1</v>
      </c>
    </row>
    <row r="523" spans="20:40" ht="12.75" customHeight="1" x14ac:dyDescent="0.2">
      <c r="U523" s="70">
        <f>+II1Ext!A44</f>
        <v>0</v>
      </c>
      <c r="V523" s="73">
        <f>IF(II1Ext!$H$32="M",AN522+U523,AN565+U523)</f>
        <v>1</v>
      </c>
      <c r="W523" s="253">
        <f t="shared" ref="W523:W537" si="66">W522-V522</f>
        <v>18.5</v>
      </c>
      <c r="X523" s="242">
        <f t="shared" ref="X523:X536" si="67">W524+0.5</f>
        <v>18</v>
      </c>
      <c r="Y523" s="385">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2">
        <f t="shared" si="65"/>
        <v>17.5</v>
      </c>
      <c r="AN523" s="38">
        <f t="shared" si="63"/>
        <v>1</v>
      </c>
    </row>
    <row r="524" spans="20:40" ht="12.75" customHeight="1" x14ac:dyDescent="0.2">
      <c r="U524" s="70">
        <f>+II1Ext!A45</f>
        <v>0</v>
      </c>
      <c r="V524" s="73">
        <f>IF(II1Ext!$H$32="M",AN523+U524,AN566+U524)</f>
        <v>1</v>
      </c>
      <c r="W524" s="254">
        <f t="shared" si="66"/>
        <v>17.5</v>
      </c>
      <c r="X524" s="242">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2">
        <f t="shared" si="65"/>
        <v>17</v>
      </c>
      <c r="AN524" s="28">
        <f t="shared" si="63"/>
        <v>0.5</v>
      </c>
    </row>
    <row r="525" spans="20:40" ht="12.75" customHeight="1" x14ac:dyDescent="0.2">
      <c r="U525" s="70">
        <f>+II1Ext!A46</f>
        <v>0</v>
      </c>
      <c r="V525" s="72">
        <f>IF(II1Ext!$H$32="M",AN524+U525,AN567+U525)</f>
        <v>1</v>
      </c>
      <c r="W525" s="253">
        <f t="shared" si="66"/>
        <v>16.5</v>
      </c>
      <c r="X525" s="242">
        <f t="shared" si="67"/>
        <v>16</v>
      </c>
      <c r="Y525" s="385">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2">
        <f t="shared" si="65"/>
        <v>16</v>
      </c>
      <c r="AN525" s="28">
        <f t="shared" si="63"/>
        <v>1</v>
      </c>
    </row>
    <row r="526" spans="20:40" ht="12.75" customHeight="1" x14ac:dyDescent="0.2">
      <c r="U526" s="70">
        <f>+II1Ext!A47</f>
        <v>0</v>
      </c>
      <c r="V526" s="73">
        <f>IF(II1Ext!$H$32="M",AN525+U526,AN568+U526)</f>
        <v>1</v>
      </c>
      <c r="W526" s="253">
        <f t="shared" si="66"/>
        <v>15.5</v>
      </c>
      <c r="X526" s="242">
        <f t="shared" si="67"/>
        <v>15</v>
      </c>
      <c r="Y526" s="385">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2">
        <f t="shared" si="65"/>
        <v>15</v>
      </c>
      <c r="AN526" s="38">
        <f t="shared" si="63"/>
        <v>1</v>
      </c>
    </row>
    <row r="527" spans="20:40" ht="12.75" customHeight="1" x14ac:dyDescent="0.2">
      <c r="U527" s="70">
        <f>+II1Ext!A48</f>
        <v>0</v>
      </c>
      <c r="V527" s="75">
        <f>IF(II1Ext!$H$32="M",AN526+U527,AN569+U527)</f>
        <v>1</v>
      </c>
      <c r="W527" s="254">
        <f t="shared" si="66"/>
        <v>14.5</v>
      </c>
      <c r="X527" s="242">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2">
        <f t="shared" si="65"/>
        <v>14.5</v>
      </c>
      <c r="AN527" s="28">
        <f t="shared" si="63"/>
        <v>0.5</v>
      </c>
    </row>
    <row r="528" spans="20:40" ht="12.75" customHeight="1" x14ac:dyDescent="0.2">
      <c r="U528" s="70">
        <f>+II1Ext!A49</f>
        <v>0</v>
      </c>
      <c r="V528" s="73">
        <f>IF(II1Ext!$H$32="M",AN527+U528,AN570+U528)</f>
        <v>0.5</v>
      </c>
      <c r="W528" s="253">
        <f t="shared" si="66"/>
        <v>13.5</v>
      </c>
      <c r="X528" s="242">
        <f t="shared" si="67"/>
        <v>13.5</v>
      </c>
      <c r="Y528" s="385">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2">
        <f t="shared" si="65"/>
        <v>13.5</v>
      </c>
      <c r="AN528" s="28">
        <f t="shared" si="63"/>
        <v>1</v>
      </c>
    </row>
    <row r="529" spans="21:40" ht="12.75" customHeight="1" x14ac:dyDescent="0.2">
      <c r="U529" s="70">
        <f>+II1Ext!A50</f>
        <v>0</v>
      </c>
      <c r="V529" s="73">
        <f>IF(II1Ext!$H$32="M",AN528+U529,AN571+U529)</f>
        <v>0.5</v>
      </c>
      <c r="W529" s="253">
        <f t="shared" si="66"/>
        <v>13</v>
      </c>
      <c r="X529" s="242">
        <f t="shared" si="67"/>
        <v>13</v>
      </c>
      <c r="Y529" s="385">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2">
        <f t="shared" si="65"/>
        <v>12.5</v>
      </c>
      <c r="AN529" s="38">
        <f t="shared" si="63"/>
        <v>1</v>
      </c>
    </row>
    <row r="530" spans="21:40" ht="12.75" customHeight="1" x14ac:dyDescent="0.2">
      <c r="U530" s="70">
        <f>+II1Ext!A51</f>
        <v>0</v>
      </c>
      <c r="V530" s="73">
        <f>IF(II1Ext!$H$32="M",AN529+U530,AN572+U530)</f>
        <v>1</v>
      </c>
      <c r="W530" s="254">
        <f t="shared" si="66"/>
        <v>12.5</v>
      </c>
      <c r="X530" s="242">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2">
        <f t="shared" si="65"/>
        <v>12</v>
      </c>
      <c r="AN530" s="28">
        <f t="shared" si="63"/>
        <v>0.5</v>
      </c>
    </row>
    <row r="531" spans="21:40" ht="12.75" customHeight="1" x14ac:dyDescent="0.2">
      <c r="U531" s="70">
        <f>+II1Ext!A52</f>
        <v>0</v>
      </c>
      <c r="V531" s="72">
        <f>IF(II1Ext!$H$32="M",AN530+U531,AN573+U531)</f>
        <v>0.5</v>
      </c>
      <c r="W531" s="253">
        <f t="shared" si="66"/>
        <v>11.5</v>
      </c>
      <c r="X531" s="242">
        <f t="shared" si="67"/>
        <v>11.5</v>
      </c>
      <c r="Y531" s="385">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2">
        <f t="shared" si="65"/>
        <v>11</v>
      </c>
      <c r="AN531" s="28">
        <f t="shared" si="63"/>
        <v>1</v>
      </c>
    </row>
    <row r="532" spans="21:40" ht="12.75" customHeight="1" x14ac:dyDescent="0.2">
      <c r="U532" s="70">
        <f>+II1Ext!A53</f>
        <v>0</v>
      </c>
      <c r="V532" s="73">
        <f>IF(II1Ext!$H$32="M",AN531+U532,AN574+U532)</f>
        <v>1</v>
      </c>
      <c r="W532" s="253">
        <f t="shared" si="66"/>
        <v>11</v>
      </c>
      <c r="X532" s="242">
        <f t="shared" si="67"/>
        <v>10.5</v>
      </c>
      <c r="Y532" s="385">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2">
        <f t="shared" si="65"/>
        <v>10</v>
      </c>
      <c r="AN532" s="38">
        <f t="shared" si="63"/>
        <v>1</v>
      </c>
    </row>
    <row r="533" spans="21:40" ht="12.75" customHeight="1" x14ac:dyDescent="0.2">
      <c r="U533" s="70">
        <f>+II1Ext!A54</f>
        <v>0</v>
      </c>
      <c r="V533" s="75">
        <f>IF(II1Ext!$H$32="M",AN532+U533,AN575+U533)</f>
        <v>0.5</v>
      </c>
      <c r="W533" s="254">
        <f t="shared" si="66"/>
        <v>10</v>
      </c>
      <c r="X533" s="242">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2">
        <f t="shared" si="65"/>
        <v>9</v>
      </c>
      <c r="AN533" s="28">
        <f t="shared" si="63"/>
        <v>1</v>
      </c>
    </row>
    <row r="534" spans="21:40" ht="12.75" customHeight="1" x14ac:dyDescent="0.2">
      <c r="U534" s="70">
        <f>+II1Ext!A55</f>
        <v>0</v>
      </c>
      <c r="V534" s="72">
        <f>IF(II1Ext!$H$32="M",AN533+U534,AN576+U534)</f>
        <v>1</v>
      </c>
      <c r="W534" s="253">
        <f t="shared" si="66"/>
        <v>9.5</v>
      </c>
      <c r="X534" s="242">
        <f t="shared" si="67"/>
        <v>9</v>
      </c>
      <c r="Y534" s="385">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2">
        <f t="shared" si="65"/>
        <v>8</v>
      </c>
      <c r="AN534" s="28">
        <f t="shared" si="63"/>
        <v>1</v>
      </c>
    </row>
    <row r="535" spans="21:40" ht="12.75" customHeight="1" x14ac:dyDescent="0.2">
      <c r="U535" s="70">
        <f>+II1Ext!A56</f>
        <v>0</v>
      </c>
      <c r="V535" s="73">
        <f>IF(II1Ext!$H$32="M",AN534+U535,AN577+U535)</f>
        <v>1</v>
      </c>
      <c r="W535" s="253">
        <f t="shared" si="66"/>
        <v>8.5</v>
      </c>
      <c r="X535" s="242">
        <f t="shared" si="67"/>
        <v>8</v>
      </c>
      <c r="Y535" s="385">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8">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4">
        <f t="shared" si="66"/>
        <v>7.5</v>
      </c>
      <c r="X536" s="242">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9">
        <v>0</v>
      </c>
      <c r="AN536" s="59">
        <f>IF(AM536&gt;AM535,"ALARM",AL536)</f>
        <v>6.5000000000000009</v>
      </c>
    </row>
    <row r="537" spans="21:40" ht="12.75" customHeight="1" thickBot="1" x14ac:dyDescent="0.25">
      <c r="U537" s="12" t="s">
        <v>37</v>
      </c>
      <c r="V537" s="74">
        <f>IF(II1Ext!$H$32="M",+W537,W579)</f>
        <v>0</v>
      </c>
      <c r="W537" s="255">
        <f t="shared" si="66"/>
        <v>6.5000000000000009</v>
      </c>
      <c r="X537" s="249">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7">
        <f t="shared" ref="V540:V555" si="68">+X540</f>
        <v>0</v>
      </c>
      <c r="W540" s="247">
        <f>+W537</f>
        <v>6.5000000000000009</v>
      </c>
      <c r="X540" s="247">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7">
        <f t="shared" si="68"/>
        <v>7.0000000000000009</v>
      </c>
      <c r="W541" s="247">
        <f>+W536</f>
        <v>7.5</v>
      </c>
      <c r="X541" s="247">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7">
        <f t="shared" si="68"/>
        <v>8</v>
      </c>
      <c r="W542" s="247">
        <f>+W535</f>
        <v>8.5</v>
      </c>
      <c r="X542" s="247">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7">
        <f t="shared" si="68"/>
        <v>9</v>
      </c>
      <c r="W543" s="247">
        <f>+W534</f>
        <v>9.5</v>
      </c>
      <c r="X543" s="247">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7">
        <f t="shared" si="68"/>
        <v>10</v>
      </c>
      <c r="W544" s="247">
        <f>+W533</f>
        <v>10</v>
      </c>
      <c r="X544" s="247">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7">
        <f t="shared" si="68"/>
        <v>10.5</v>
      </c>
      <c r="W545" s="247">
        <f>+W532</f>
        <v>11</v>
      </c>
      <c r="X545" s="247">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7">
        <f t="shared" si="68"/>
        <v>11.5</v>
      </c>
      <c r="W546" s="247">
        <f>+W531</f>
        <v>11.5</v>
      </c>
      <c r="X546" s="247">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7">
        <f t="shared" si="68"/>
        <v>12</v>
      </c>
      <c r="W547" s="247">
        <f>+W530</f>
        <v>12.5</v>
      </c>
      <c r="X547" s="247">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7">
        <f t="shared" si="68"/>
        <v>13</v>
      </c>
      <c r="W548" s="247">
        <f>+W529</f>
        <v>13</v>
      </c>
      <c r="X548" s="247">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7">
        <f t="shared" si="68"/>
        <v>13.5</v>
      </c>
      <c r="W549" s="247">
        <f>+W528</f>
        <v>13.5</v>
      </c>
      <c r="X549" s="247">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7">
        <f t="shared" si="68"/>
        <v>14</v>
      </c>
      <c r="W550" s="247">
        <f>+W527</f>
        <v>14.5</v>
      </c>
      <c r="X550" s="247">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7">
        <f t="shared" si="68"/>
        <v>15</v>
      </c>
      <c r="W551" s="247">
        <f>+W526</f>
        <v>15.5</v>
      </c>
      <c r="X551" s="247">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7">
        <f t="shared" si="68"/>
        <v>16</v>
      </c>
      <c r="W552" s="247">
        <f>+W525</f>
        <v>16.5</v>
      </c>
      <c r="X552" s="247">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7">
        <f t="shared" si="68"/>
        <v>17</v>
      </c>
      <c r="W553" s="247">
        <f>+W524</f>
        <v>17.5</v>
      </c>
      <c r="X553" s="247">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7">
        <f t="shared" si="68"/>
        <v>18</v>
      </c>
      <c r="W554" s="247">
        <f>+W523</f>
        <v>18.5</v>
      </c>
      <c r="X554" s="247">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7">
        <f t="shared" si="68"/>
        <v>19</v>
      </c>
      <c r="W555" s="247">
        <f>+W522</f>
        <v>20</v>
      </c>
      <c r="X555" s="247">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3"/>
      <c r="AJ559" s="26"/>
      <c r="AK559" s="26"/>
      <c r="AL559" s="20"/>
      <c r="AM559" s="53"/>
      <c r="AN559" s="383"/>
    </row>
    <row r="560" spans="21:40" ht="12.75" customHeight="1" thickBot="1" x14ac:dyDescent="0.25">
      <c r="U560" s="383"/>
      <c r="V560" s="250"/>
      <c r="W560" s="516"/>
      <c r="X560" s="516"/>
      <c r="Y560" s="30"/>
      <c r="Z560" s="516"/>
      <c r="AA560" s="516"/>
      <c r="AB560" s="15"/>
      <c r="AC560" s="30"/>
      <c r="AD560" s="383"/>
      <c r="AE560" s="383"/>
      <c r="AF560" s="26"/>
      <c r="AG560" s="26"/>
      <c r="AH560" s="20"/>
      <c r="AI560" s="30"/>
      <c r="AJ560" s="383"/>
      <c r="AK560" s="30"/>
      <c r="AL560" s="383"/>
      <c r="AM560" s="383"/>
      <c r="AN560" s="383"/>
    </row>
    <row r="561" spans="21:40" ht="12.75" customHeight="1" x14ac:dyDescent="0.2">
      <c r="U561" s="251"/>
      <c r="V561" s="250"/>
      <c r="W561" s="512"/>
      <c r="X561" s="512"/>
      <c r="Y561" s="30"/>
      <c r="Z561" s="516"/>
      <c r="AA561" s="516"/>
      <c r="AB561" s="15"/>
      <c r="AC561" s="18" t="s">
        <v>6</v>
      </c>
      <c r="AD561" s="19" t="s">
        <v>18</v>
      </c>
      <c r="AE561" s="384"/>
      <c r="AF561" s="507" t="s">
        <v>27</v>
      </c>
      <c r="AG561" s="508"/>
      <c r="AH561" s="20"/>
      <c r="AI561" s="18" t="s">
        <v>6</v>
      </c>
      <c r="AJ561" s="19" t="s">
        <v>18</v>
      </c>
      <c r="AK561" s="21"/>
      <c r="AL561" s="509" t="s">
        <v>28</v>
      </c>
      <c r="AM561" s="510"/>
      <c r="AN561" s="22" t="s">
        <v>29</v>
      </c>
    </row>
    <row r="562" spans="21:40" ht="12.75" customHeight="1" x14ac:dyDescent="0.2">
      <c r="U562" s="252"/>
      <c r="V562" s="250"/>
      <c r="W562" s="383"/>
      <c r="X562" s="383"/>
      <c r="Y562" s="30"/>
      <c r="Z562" s="516"/>
      <c r="AA562" s="516"/>
      <c r="AB562" s="15"/>
      <c r="AC562" s="24"/>
      <c r="AD562" s="25"/>
      <c r="AE562" s="383"/>
      <c r="AF562" s="26" t="s">
        <v>32</v>
      </c>
      <c r="AG562" s="27" t="s">
        <v>33</v>
      </c>
      <c r="AH562" s="20"/>
      <c r="AI562" s="24"/>
      <c r="AJ562" s="25"/>
      <c r="AK562" s="383"/>
      <c r="AL562" s="383" t="s">
        <v>32</v>
      </c>
      <c r="AM562" s="241" t="s">
        <v>33</v>
      </c>
      <c r="AN562" s="28"/>
    </row>
    <row r="563" spans="21:40" ht="12.75" customHeight="1" x14ac:dyDescent="0.2">
      <c r="U563" s="30"/>
      <c r="V563" s="250"/>
      <c r="W563" s="383"/>
      <c r="X563" s="383"/>
      <c r="Y563" s="30"/>
      <c r="Z563" s="383"/>
      <c r="AA563" s="383"/>
      <c r="AB563" s="15"/>
      <c r="AC563" s="33"/>
      <c r="AD563" s="34"/>
      <c r="AE563" s="35"/>
      <c r="AF563" s="41"/>
      <c r="AG563" s="42"/>
      <c r="AH563" s="30"/>
      <c r="AI563" s="33"/>
      <c r="AJ563" s="34"/>
      <c r="AK563" s="35"/>
      <c r="AL563" s="36"/>
      <c r="AM563" s="37"/>
      <c r="AN563" s="38"/>
    </row>
    <row r="564" spans="21:40" ht="12.75" customHeight="1" x14ac:dyDescent="0.2">
      <c r="U564" s="251"/>
      <c r="V564" s="250"/>
      <c r="W564" s="44"/>
      <c r="X564" s="383"/>
      <c r="Y564" s="30"/>
      <c r="Z564" s="383"/>
      <c r="AA564" s="383"/>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1">
        <f>AL565+0.5</f>
        <v>19</v>
      </c>
      <c r="AN564" s="28">
        <f t="shared" ref="AN564:AN578" si="70">IF(AM564&gt;AL564,"ALARM",AL564-AL565)</f>
        <v>1.5</v>
      </c>
    </row>
    <row r="565" spans="21:40" ht="12.75" customHeight="1" x14ac:dyDescent="0.2">
      <c r="U565" s="251"/>
      <c r="V565" s="250"/>
      <c r="W565" s="383"/>
      <c r="X565" s="383"/>
      <c r="Y565" s="30"/>
      <c r="Z565" s="383"/>
      <c r="AA565" s="383"/>
      <c r="AB565" s="15"/>
      <c r="AC565" s="24">
        <v>1</v>
      </c>
      <c r="AD565" s="25">
        <v>14</v>
      </c>
      <c r="AE565" s="30"/>
      <c r="AF565" s="26">
        <f>II1Ext!$H$35+27*(100-II1Ext!$H$35)/30</f>
        <v>94.9</v>
      </c>
      <c r="AG565" s="27">
        <f t="shared" si="69"/>
        <v>89.899999999999991</v>
      </c>
      <c r="AH565" s="30"/>
      <c r="AI565" s="24">
        <v>1</v>
      </c>
      <c r="AJ565" s="25">
        <v>14</v>
      </c>
      <c r="AK565" s="30"/>
      <c r="AL565" s="383">
        <f>ROUNDDOWN(II1Ext!$H$30*AF565/500,1)*5</f>
        <v>18.5</v>
      </c>
      <c r="AM565" s="241">
        <f t="shared" ref="AM565:AM577" si="71">AL566+0.5</f>
        <v>18</v>
      </c>
      <c r="AN565" s="28">
        <f t="shared" si="70"/>
        <v>1</v>
      </c>
    </row>
    <row r="566" spans="21:40" ht="12.75" customHeight="1" x14ac:dyDescent="0.2">
      <c r="U566" s="251"/>
      <c r="V566" s="250"/>
      <c r="W566" s="383"/>
      <c r="X566" s="383"/>
      <c r="Y566" s="30"/>
      <c r="Z566" s="383"/>
      <c r="AA566" s="383"/>
      <c r="AB566" s="15"/>
      <c r="AC566" s="46" t="s">
        <v>9</v>
      </c>
      <c r="AD566" s="34">
        <v>13</v>
      </c>
      <c r="AE566" s="35"/>
      <c r="AF566" s="47">
        <f>II1Ext!$H$35+24*(100-II1Ext!$H$35)/30</f>
        <v>89.8</v>
      </c>
      <c r="AG566" s="48">
        <f t="shared" si="69"/>
        <v>84.8</v>
      </c>
      <c r="AH566" s="30"/>
      <c r="AI566" s="46" t="s">
        <v>9</v>
      </c>
      <c r="AJ566" s="34">
        <v>13</v>
      </c>
      <c r="AK566" s="35"/>
      <c r="AL566" s="383">
        <f>ROUNDDOWN(II1Ext!$H$30*AF566/500,1)*5</f>
        <v>17.5</v>
      </c>
      <c r="AM566" s="241">
        <f t="shared" si="71"/>
        <v>17</v>
      </c>
      <c r="AN566" s="38">
        <f t="shared" si="70"/>
        <v>1</v>
      </c>
    </row>
    <row r="567" spans="21:40" ht="12.75" customHeight="1" x14ac:dyDescent="0.2">
      <c r="U567" s="251"/>
      <c r="V567" s="250"/>
      <c r="W567" s="383"/>
      <c r="X567" s="383"/>
      <c r="Y567" s="30"/>
      <c r="Z567" s="383"/>
      <c r="AA567" s="383"/>
      <c r="AB567" s="15"/>
      <c r="AC567" s="43" t="s">
        <v>36</v>
      </c>
      <c r="AD567" s="25">
        <v>12</v>
      </c>
      <c r="AE567" s="30"/>
      <c r="AF567" s="26">
        <f>II1Ext!$H$35+21*(100-II1Ext!$H$35)/30</f>
        <v>84.7</v>
      </c>
      <c r="AG567" s="27">
        <f t="shared" si="69"/>
        <v>79.699999999999989</v>
      </c>
      <c r="AH567" s="30"/>
      <c r="AI567" s="43" t="s">
        <v>36</v>
      </c>
      <c r="AJ567" s="25">
        <v>12</v>
      </c>
      <c r="AK567" s="30"/>
      <c r="AL567" s="383">
        <f>ROUNDDOWN(II1Ext!$H$30*AF567/500,1)*5</f>
        <v>16.5</v>
      </c>
      <c r="AM567" s="241">
        <f t="shared" si="71"/>
        <v>16</v>
      </c>
      <c r="AN567" s="28">
        <f t="shared" si="70"/>
        <v>1</v>
      </c>
    </row>
    <row r="568" spans="21:40" ht="12.75" customHeight="1" x14ac:dyDescent="0.2">
      <c r="U568" s="251"/>
      <c r="V568" s="250"/>
      <c r="W568" s="383"/>
      <c r="X568" s="383"/>
      <c r="Y568" s="30"/>
      <c r="Z568" s="383"/>
      <c r="AA568" s="383"/>
      <c r="AB568" s="15"/>
      <c r="AC568" s="24">
        <v>2</v>
      </c>
      <c r="AD568" s="25">
        <v>11</v>
      </c>
      <c r="AE568" s="30"/>
      <c r="AF568" s="26">
        <f>II1Ext!$H$35+18*(100-II1Ext!$H$35)/30</f>
        <v>79.599999999999994</v>
      </c>
      <c r="AG568" s="27">
        <f t="shared" si="69"/>
        <v>74.599999999999994</v>
      </c>
      <c r="AH568" s="30"/>
      <c r="AI568" s="24">
        <v>2</v>
      </c>
      <c r="AJ568" s="25">
        <v>11</v>
      </c>
      <c r="AK568" s="30"/>
      <c r="AL568" s="383">
        <f>ROUNDDOWN(II1Ext!$H$30*AF568/500,1)*5</f>
        <v>15.5</v>
      </c>
      <c r="AM568" s="241">
        <f t="shared" si="71"/>
        <v>15</v>
      </c>
      <c r="AN568" s="28">
        <f t="shared" si="70"/>
        <v>1</v>
      </c>
    </row>
    <row r="569" spans="21:40" ht="12.75" customHeight="1" x14ac:dyDescent="0.2">
      <c r="U569" s="251"/>
      <c r="V569" s="250"/>
      <c r="W569" s="383"/>
      <c r="X569" s="383"/>
      <c r="Y569" s="30"/>
      <c r="Z569" s="383"/>
      <c r="AA569" s="383"/>
      <c r="AB569" s="15"/>
      <c r="AC569" s="46" t="s">
        <v>9</v>
      </c>
      <c r="AD569" s="34">
        <v>10</v>
      </c>
      <c r="AE569" s="35"/>
      <c r="AF569" s="47">
        <f>II1Ext!$H$35+15*(100-II1Ext!$H$35)/30</f>
        <v>74.5</v>
      </c>
      <c r="AG569" s="48">
        <f t="shared" si="69"/>
        <v>69.5</v>
      </c>
      <c r="AH569" s="30"/>
      <c r="AI569" s="46" t="s">
        <v>9</v>
      </c>
      <c r="AJ569" s="34">
        <v>10</v>
      </c>
      <c r="AK569" s="35"/>
      <c r="AL569" s="383">
        <f>ROUNDDOWN(II1Ext!$H$30*AF569/500,1)*5</f>
        <v>14.5</v>
      </c>
      <c r="AM569" s="241">
        <f t="shared" si="71"/>
        <v>14</v>
      </c>
      <c r="AN569" s="38">
        <f t="shared" si="70"/>
        <v>1</v>
      </c>
    </row>
    <row r="570" spans="21:40" ht="12.75" customHeight="1" x14ac:dyDescent="0.2">
      <c r="U570" s="251"/>
      <c r="V570" s="250"/>
      <c r="W570" s="383"/>
      <c r="X570" s="383"/>
      <c r="Y570" s="30"/>
      <c r="Z570" s="383"/>
      <c r="AA570" s="383"/>
      <c r="AB570" s="15"/>
      <c r="AC570" s="43" t="s">
        <v>36</v>
      </c>
      <c r="AD570" s="25">
        <v>9</v>
      </c>
      <c r="AE570" s="30"/>
      <c r="AF570" s="26">
        <f>II1Ext!$H$35+12*(100-II1Ext!$H$35)/30</f>
        <v>69.400000000000006</v>
      </c>
      <c r="AG570" s="27">
        <f t="shared" si="69"/>
        <v>66.099999999999994</v>
      </c>
      <c r="AH570" s="30"/>
      <c r="AI570" s="43" t="s">
        <v>36</v>
      </c>
      <c r="AJ570" s="25">
        <v>9</v>
      </c>
      <c r="AK570" s="30"/>
      <c r="AL570" s="383">
        <f>ROUNDDOWN(II1Ext!$H$30*AF570/500,1)*5</f>
        <v>13.5</v>
      </c>
      <c r="AM570" s="241">
        <f t="shared" si="71"/>
        <v>13.5</v>
      </c>
      <c r="AN570" s="28">
        <f t="shared" si="70"/>
        <v>0.5</v>
      </c>
    </row>
    <row r="571" spans="21:40" ht="12.75" customHeight="1" x14ac:dyDescent="0.2">
      <c r="U571" s="251"/>
      <c r="V571" s="250"/>
      <c r="W571" s="383"/>
      <c r="X571" s="383"/>
      <c r="Y571" s="30"/>
      <c r="Z571" s="383"/>
      <c r="AA571" s="383"/>
      <c r="AB571" s="15"/>
      <c r="AC571" s="24">
        <v>3</v>
      </c>
      <c r="AD571" s="25">
        <v>8</v>
      </c>
      <c r="AE571" s="30"/>
      <c r="AF571" s="26">
        <f>II1Ext!$H$35+10*(100-II1Ext!$H$35)/30</f>
        <v>66</v>
      </c>
      <c r="AG571" s="27">
        <f t="shared" si="69"/>
        <v>62.7</v>
      </c>
      <c r="AH571" s="30"/>
      <c r="AI571" s="24">
        <v>3</v>
      </c>
      <c r="AJ571" s="25">
        <v>8</v>
      </c>
      <c r="AK571" s="30"/>
      <c r="AL571" s="383">
        <f>ROUNDDOWN(II1Ext!$H$30*AF571/500,1)*5</f>
        <v>13</v>
      </c>
      <c r="AM571" s="241">
        <f t="shared" si="71"/>
        <v>13</v>
      </c>
      <c r="AN571" s="28">
        <f t="shared" si="70"/>
        <v>0.5</v>
      </c>
    </row>
    <row r="572" spans="21:40" ht="12.75" customHeight="1" x14ac:dyDescent="0.2">
      <c r="U572" s="251"/>
      <c r="V572" s="250"/>
      <c r="W572" s="383"/>
      <c r="X572" s="383"/>
      <c r="Y572" s="30"/>
      <c r="Z572" s="383"/>
      <c r="AA572" s="383"/>
      <c r="AB572" s="15"/>
      <c r="AC572" s="46" t="s">
        <v>9</v>
      </c>
      <c r="AD572" s="34">
        <v>7</v>
      </c>
      <c r="AE572" s="35"/>
      <c r="AF572" s="47">
        <f>II1Ext!$H$35+8*(100-II1Ext!$H$35)/30</f>
        <v>62.6</v>
      </c>
      <c r="AG572" s="48">
        <f t="shared" si="69"/>
        <v>59.300000000000004</v>
      </c>
      <c r="AH572" s="30"/>
      <c r="AI572" s="46" t="s">
        <v>9</v>
      </c>
      <c r="AJ572" s="34">
        <v>7</v>
      </c>
      <c r="AK572" s="35"/>
      <c r="AL572" s="383">
        <f>ROUNDDOWN(II1Ext!$H$30*AF572/500,1)*5</f>
        <v>12.5</v>
      </c>
      <c r="AM572" s="241">
        <f t="shared" si="71"/>
        <v>12</v>
      </c>
      <c r="AN572" s="38">
        <f t="shared" si="70"/>
        <v>1</v>
      </c>
    </row>
    <row r="573" spans="21:40" ht="12.75" customHeight="1" x14ac:dyDescent="0.2">
      <c r="U573" s="251"/>
      <c r="V573" s="250"/>
      <c r="W573" s="383"/>
      <c r="X573" s="383"/>
      <c r="Y573" s="30"/>
      <c r="Z573" s="383"/>
      <c r="AA573" s="383"/>
      <c r="AB573" s="15"/>
      <c r="AC573" s="43" t="s">
        <v>36</v>
      </c>
      <c r="AD573" s="25">
        <v>6</v>
      </c>
      <c r="AE573" s="30"/>
      <c r="AF573" s="26">
        <f>II1Ext!$H$35+6*(100-II1Ext!$H$35)/30</f>
        <v>59.2</v>
      </c>
      <c r="AG573" s="27">
        <f t="shared" si="69"/>
        <v>55.9</v>
      </c>
      <c r="AH573" s="30"/>
      <c r="AI573" s="43" t="s">
        <v>36</v>
      </c>
      <c r="AJ573" s="25">
        <v>6</v>
      </c>
      <c r="AK573" s="30"/>
      <c r="AL573" s="383">
        <f>ROUNDDOWN(II1Ext!$H$30*AF573/500,1)*5</f>
        <v>11.5</v>
      </c>
      <c r="AM573" s="241">
        <f t="shared" si="71"/>
        <v>11.5</v>
      </c>
      <c r="AN573" s="28">
        <f t="shared" si="70"/>
        <v>0.5</v>
      </c>
    </row>
    <row r="574" spans="21:40" ht="12.75" customHeight="1" x14ac:dyDescent="0.2">
      <c r="U574" s="251"/>
      <c r="V574" s="250"/>
      <c r="W574" s="383"/>
      <c r="X574" s="383"/>
      <c r="Y574" s="30"/>
      <c r="Z574" s="383"/>
      <c r="AA574" s="383"/>
      <c r="AB574" s="15"/>
      <c r="AC574" s="24">
        <v>4</v>
      </c>
      <c r="AD574" s="25">
        <v>5</v>
      </c>
      <c r="AE574" s="30"/>
      <c r="AF574" s="26">
        <f>II1Ext!$H$35+4*(100-II1Ext!$H$35)/30</f>
        <v>55.8</v>
      </c>
      <c r="AG574" s="27">
        <f t="shared" si="69"/>
        <v>52.5</v>
      </c>
      <c r="AH574" s="30"/>
      <c r="AI574" s="24">
        <v>4</v>
      </c>
      <c r="AJ574" s="25">
        <v>5</v>
      </c>
      <c r="AK574" s="30"/>
      <c r="AL574" s="383">
        <f>ROUNDDOWN(II1Ext!$H$30*AF574/500,1)*5</f>
        <v>11</v>
      </c>
      <c r="AM574" s="241">
        <f t="shared" si="71"/>
        <v>10.5</v>
      </c>
      <c r="AN574" s="28">
        <f t="shared" si="70"/>
        <v>1</v>
      </c>
    </row>
    <row r="575" spans="21:40" ht="12.75" customHeight="1" x14ac:dyDescent="0.2">
      <c r="U575" s="251"/>
      <c r="V575" s="250"/>
      <c r="W575" s="383"/>
      <c r="X575" s="383"/>
      <c r="Y575" s="30"/>
      <c r="Z575" s="383"/>
      <c r="AA575" s="383"/>
      <c r="AB575" s="15"/>
      <c r="AC575" s="46" t="s">
        <v>9</v>
      </c>
      <c r="AD575" s="34">
        <v>4</v>
      </c>
      <c r="AE575" s="35"/>
      <c r="AF575" s="47">
        <f>II1Ext!$H$35+2*(100-II1Ext!$H$35)/30</f>
        <v>52.4</v>
      </c>
      <c r="AG575" s="48">
        <f t="shared" si="69"/>
        <v>49.1</v>
      </c>
      <c r="AH575" s="30"/>
      <c r="AI575" s="46" t="s">
        <v>9</v>
      </c>
      <c r="AJ575" s="34">
        <v>4</v>
      </c>
      <c r="AK575" s="35"/>
      <c r="AL575" s="383">
        <f>ROUNDDOWN(II1Ext!$H$30*AF575/500,1)*5</f>
        <v>10</v>
      </c>
      <c r="AM575" s="241">
        <f t="shared" si="71"/>
        <v>10</v>
      </c>
      <c r="AN575" s="38">
        <f t="shared" si="70"/>
        <v>0.5</v>
      </c>
    </row>
    <row r="576" spans="21:40" ht="12.75" customHeight="1" x14ac:dyDescent="0.2">
      <c r="U576" s="251"/>
      <c r="V576" s="250"/>
      <c r="W576" s="383"/>
      <c r="X576" s="383"/>
      <c r="Y576" s="30"/>
      <c r="Z576" s="383"/>
      <c r="AA576" s="383"/>
      <c r="AB576" s="15"/>
      <c r="AC576" s="43" t="s">
        <v>36</v>
      </c>
      <c r="AD576" s="25">
        <v>3</v>
      </c>
      <c r="AE576" s="30"/>
      <c r="AF576" s="26">
        <f>II1Ext!$H$35</f>
        <v>49</v>
      </c>
      <c r="AG576" s="27">
        <f>AF577+0.01</f>
        <v>44.01</v>
      </c>
      <c r="AH576" s="30"/>
      <c r="AI576" s="43" t="s">
        <v>36</v>
      </c>
      <c r="AJ576" s="25">
        <v>3</v>
      </c>
      <c r="AK576" s="30"/>
      <c r="AL576" s="383">
        <f>ROUNDDOWN(II1Ext!$H$30*AF576/500,1)*5</f>
        <v>9.5</v>
      </c>
      <c r="AM576" s="241">
        <f t="shared" si="71"/>
        <v>9</v>
      </c>
      <c r="AN576" s="28">
        <f t="shared" si="70"/>
        <v>1</v>
      </c>
    </row>
    <row r="577" spans="21:40" ht="12.75" customHeight="1" x14ac:dyDescent="0.2">
      <c r="U577" s="251"/>
      <c r="V577" s="250"/>
      <c r="W577" s="383"/>
      <c r="X577" s="383"/>
      <c r="Y577" s="30"/>
      <c r="Z577" s="383"/>
      <c r="AA577" s="383"/>
      <c r="AB577" s="15"/>
      <c r="AC577" s="24">
        <v>5</v>
      </c>
      <c r="AD577" s="25">
        <v>2</v>
      </c>
      <c r="AE577" s="30"/>
      <c r="AF577" s="26">
        <f>AG578+2*(AF576-AG578)/3</f>
        <v>44</v>
      </c>
      <c r="AG577" s="27">
        <f>AF578+0.01</f>
        <v>39.01</v>
      </c>
      <c r="AH577" s="30"/>
      <c r="AI577" s="24">
        <v>5</v>
      </c>
      <c r="AJ577" s="25">
        <v>2</v>
      </c>
      <c r="AK577" s="30"/>
      <c r="AL577" s="383">
        <f>ROUNDDOWN(II1Ext!$H$30*AF577/500,1)*5</f>
        <v>8.5</v>
      </c>
      <c r="AM577" s="241">
        <f t="shared" si="71"/>
        <v>8</v>
      </c>
      <c r="AN577" s="28">
        <f t="shared" si="70"/>
        <v>1</v>
      </c>
    </row>
    <row r="578" spans="21:40" ht="12.75" customHeight="1" x14ac:dyDescent="0.2">
      <c r="U578" s="251"/>
      <c r="V578" s="250"/>
      <c r="W578" s="383"/>
      <c r="X578" s="250"/>
      <c r="Y578" s="30"/>
      <c r="Z578" s="383"/>
      <c r="AA578" s="383"/>
      <c r="AB578" s="15"/>
      <c r="AC578" s="46" t="s">
        <v>9</v>
      </c>
      <c r="AD578" s="34">
        <v>1</v>
      </c>
      <c r="AE578" s="35"/>
      <c r="AF578" s="47">
        <f>AG578+(AF576-AG578)/3</f>
        <v>39</v>
      </c>
      <c r="AG578" s="48">
        <f>II1Ext!$H$34</f>
        <v>34</v>
      </c>
      <c r="AH578" s="30"/>
      <c r="AI578" s="46" t="s">
        <v>9</v>
      </c>
      <c r="AJ578" s="34">
        <v>1</v>
      </c>
      <c r="AK578" s="35"/>
      <c r="AL578" s="383">
        <f>ROUNDDOWN(II1Ext!$H$30*AF578/500,1)*5</f>
        <v>7.5</v>
      </c>
      <c r="AM578" s="37">
        <f>ROUNDUP(II1Ext!$H$30*(II1Ext!$H$34/500),1)*5</f>
        <v>7.0000000000000009</v>
      </c>
      <c r="AN578" s="38">
        <f t="shared" si="70"/>
        <v>0.99999999999999911</v>
      </c>
    </row>
    <row r="579" spans="21:40" ht="12.75" customHeight="1" thickBot="1" x14ac:dyDescent="0.25">
      <c r="U579" s="250"/>
      <c r="V579" s="250"/>
      <c r="W579" s="383"/>
      <c r="X579" s="383"/>
      <c r="Y579" s="30"/>
      <c r="Z579" s="383"/>
      <c r="AA579" s="383"/>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500" t="s">
        <v>25</v>
      </c>
      <c r="X618" s="501"/>
      <c r="Y618" s="502" t="s">
        <v>18</v>
      </c>
      <c r="Z618" s="505" t="s">
        <v>26</v>
      </c>
      <c r="AA618" s="506"/>
      <c r="AB618" s="15"/>
      <c r="AC618" s="18" t="s">
        <v>6</v>
      </c>
      <c r="AD618" s="19" t="s">
        <v>18</v>
      </c>
      <c r="AE618" s="384"/>
      <c r="AF618" s="507" t="s">
        <v>27</v>
      </c>
      <c r="AG618" s="508"/>
      <c r="AH618" s="20"/>
      <c r="AI618" s="18" t="s">
        <v>6</v>
      </c>
      <c r="AJ618" s="19" t="s">
        <v>18</v>
      </c>
      <c r="AK618" s="21"/>
      <c r="AL618" s="509" t="s">
        <v>28</v>
      </c>
      <c r="AM618" s="510"/>
      <c r="AN618" s="22" t="s">
        <v>29</v>
      </c>
    </row>
    <row r="619" spans="20:40" ht="12.75" customHeight="1" x14ac:dyDescent="0.2">
      <c r="U619" s="23" t="s">
        <v>30</v>
      </c>
      <c r="V619" s="10" t="s">
        <v>29</v>
      </c>
      <c r="W619" s="511" t="s">
        <v>28</v>
      </c>
      <c r="X619" s="512"/>
      <c r="Y619" s="503"/>
      <c r="Z619" s="513" t="s">
        <v>31</v>
      </c>
      <c r="AA619" s="514"/>
      <c r="AB619" s="15"/>
      <c r="AC619" s="24"/>
      <c r="AD619" s="25"/>
      <c r="AE619" s="383"/>
      <c r="AF619" s="26" t="s">
        <v>32</v>
      </c>
      <c r="AG619" s="27" t="s">
        <v>33</v>
      </c>
      <c r="AH619" s="20"/>
      <c r="AI619" s="24"/>
      <c r="AJ619" s="25"/>
      <c r="AK619" s="383"/>
      <c r="AL619" s="383" t="s">
        <v>32</v>
      </c>
      <c r="AM619" s="241" t="s">
        <v>33</v>
      </c>
      <c r="AN619" s="28"/>
    </row>
    <row r="620" spans="20:40" ht="12.75" customHeight="1" x14ac:dyDescent="0.2">
      <c r="U620" s="29" t="s">
        <v>34</v>
      </c>
      <c r="V620" s="10" t="s">
        <v>25</v>
      </c>
      <c r="W620" s="385" t="s">
        <v>32</v>
      </c>
      <c r="X620" s="383" t="s">
        <v>33</v>
      </c>
      <c r="Y620" s="503"/>
      <c r="Z620" s="513" t="s">
        <v>35</v>
      </c>
      <c r="AA620" s="514"/>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504"/>
      <c r="Z621" s="77"/>
      <c r="AA621" s="28"/>
      <c r="AB621" s="30"/>
      <c r="AC621" s="33"/>
      <c r="AD621" s="34"/>
      <c r="AE621" s="35"/>
      <c r="AF621" s="41"/>
      <c r="AG621" s="42"/>
      <c r="AH621" s="30"/>
      <c r="AI621" s="43" t="s">
        <v>36</v>
      </c>
      <c r="AJ621" s="25">
        <v>15</v>
      </c>
      <c r="AK621" s="30"/>
      <c r="AL621" s="44">
        <f>II2Ext!$H$30</f>
        <v>20</v>
      </c>
      <c r="AM621" s="241">
        <f>AL622+0.5</f>
        <v>19.5</v>
      </c>
      <c r="AN621" s="28">
        <f t="shared" ref="AN621:AN635" si="72">IF(AM621&gt;AL621,"ALARM",AL621-AL622)</f>
        <v>1</v>
      </c>
    </row>
    <row r="622" spans="20:40" ht="12.75" customHeight="1" x14ac:dyDescent="0.2">
      <c r="U622" s="70">
        <f>+II2Ext!A43</f>
        <v>0</v>
      </c>
      <c r="V622" s="72">
        <f>IF(II2Ext!$H$32="M",AN621+U622,AN664+U622)</f>
        <v>1.5</v>
      </c>
      <c r="W622" s="253">
        <f>II2Ext!$H$30</f>
        <v>20</v>
      </c>
      <c r="X622" s="242">
        <f>W623+0.5</f>
        <v>19</v>
      </c>
      <c r="Y622" s="385">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3">
        <f>ROUNDDOWN(II2Ext!$H$30*AF623/500,1)*5</f>
        <v>19</v>
      </c>
      <c r="AM622" s="241">
        <f t="shared" ref="AM622:AM634" si="74">AL623+0.5</f>
        <v>18.5</v>
      </c>
      <c r="AN622" s="28">
        <f t="shared" si="72"/>
        <v>1</v>
      </c>
    </row>
    <row r="623" spans="20:40" ht="12.75" customHeight="1" x14ac:dyDescent="0.2">
      <c r="U623" s="70">
        <f>+II2Ext!A44</f>
        <v>0</v>
      </c>
      <c r="V623" s="73">
        <f>IF(II2Ext!$H$32="M",AN622+U623,AN665+U623)</f>
        <v>1</v>
      </c>
      <c r="W623" s="253">
        <f t="shared" ref="W623:W637" si="75">W622-V622</f>
        <v>18.5</v>
      </c>
      <c r="X623" s="242">
        <f t="shared" ref="X623:X636" si="76">W624+0.5</f>
        <v>18</v>
      </c>
      <c r="Y623" s="385">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3">
        <f>ROUNDDOWN(II2Ext!$H$30*AF624/500,1)*5</f>
        <v>18</v>
      </c>
      <c r="AM623" s="241">
        <f t="shared" si="74"/>
        <v>17.5</v>
      </c>
      <c r="AN623" s="38">
        <f t="shared" si="72"/>
        <v>1</v>
      </c>
    </row>
    <row r="624" spans="20:40" ht="12.75" customHeight="1" x14ac:dyDescent="0.2">
      <c r="U624" s="70">
        <f>+II2Ext!A45</f>
        <v>0</v>
      </c>
      <c r="V624" s="73">
        <f>IF(II2Ext!$H$32="M",AN623+U624,AN666+U624)</f>
        <v>1</v>
      </c>
      <c r="W624" s="254">
        <f t="shared" si="75"/>
        <v>17.5</v>
      </c>
      <c r="X624" s="242">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3">
        <f>ROUNDDOWN(II2Ext!$H$30*AF625/500,1)*5</f>
        <v>17</v>
      </c>
      <c r="AM624" s="241">
        <f t="shared" si="74"/>
        <v>17</v>
      </c>
      <c r="AN624" s="28">
        <f t="shared" si="72"/>
        <v>0.5</v>
      </c>
    </row>
    <row r="625" spans="21:40" ht="12.75" customHeight="1" x14ac:dyDescent="0.2">
      <c r="U625" s="70">
        <f>+II2Ext!A46</f>
        <v>0</v>
      </c>
      <c r="V625" s="72">
        <f>IF(II2Ext!$H$32="M",AN624+U625,AN667+U625)</f>
        <v>1</v>
      </c>
      <c r="W625" s="253">
        <f t="shared" si="75"/>
        <v>16.5</v>
      </c>
      <c r="X625" s="242">
        <f t="shared" si="76"/>
        <v>16</v>
      </c>
      <c r="Y625" s="385">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3">
        <f>ROUNDDOWN(II2Ext!$H$30*AF626/500,1)*5</f>
        <v>16.5</v>
      </c>
      <c r="AM625" s="241">
        <f t="shared" si="74"/>
        <v>16</v>
      </c>
      <c r="AN625" s="28">
        <f t="shared" si="72"/>
        <v>1</v>
      </c>
    </row>
    <row r="626" spans="21:40" ht="12.75" customHeight="1" x14ac:dyDescent="0.2">
      <c r="U626" s="70">
        <f>+II2Ext!A47</f>
        <v>0</v>
      </c>
      <c r="V626" s="73">
        <f>IF(II2Ext!$H$32="M",AN625+U626,AN668+U626)</f>
        <v>1</v>
      </c>
      <c r="W626" s="253">
        <f t="shared" si="75"/>
        <v>15.5</v>
      </c>
      <c r="X626" s="242">
        <f t="shared" si="76"/>
        <v>15</v>
      </c>
      <c r="Y626" s="385">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3">
        <f>ROUNDDOWN(II2Ext!$H$30*AF627/500,1)*5</f>
        <v>15.5</v>
      </c>
      <c r="AM626" s="241">
        <f t="shared" si="74"/>
        <v>15</v>
      </c>
      <c r="AN626" s="38">
        <f t="shared" si="72"/>
        <v>1</v>
      </c>
    </row>
    <row r="627" spans="21:40" ht="12.75" customHeight="1" x14ac:dyDescent="0.2">
      <c r="U627" s="70">
        <f>+II2Ext!A48</f>
        <v>0</v>
      </c>
      <c r="V627" s="75">
        <f>IF(II2Ext!$H$32="M",AN626+U627,AN669+U627)</f>
        <v>1</v>
      </c>
      <c r="W627" s="254">
        <f t="shared" si="75"/>
        <v>14.5</v>
      </c>
      <c r="X627" s="242">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3">
        <f>ROUNDDOWN(II2Ext!$H$30*AF628/500,1)*5</f>
        <v>14.5</v>
      </c>
      <c r="AM627" s="241">
        <f t="shared" si="74"/>
        <v>14.5</v>
      </c>
      <c r="AN627" s="28">
        <f t="shared" si="72"/>
        <v>0.5</v>
      </c>
    </row>
    <row r="628" spans="21:40" ht="12.75" customHeight="1" x14ac:dyDescent="0.2">
      <c r="U628" s="70">
        <f>+II2Ext!A49</f>
        <v>0</v>
      </c>
      <c r="V628" s="73">
        <f>IF(II2Ext!$H$32="M",AN627+U628,AN670+U628)</f>
        <v>0.5</v>
      </c>
      <c r="W628" s="253">
        <f t="shared" si="75"/>
        <v>13.5</v>
      </c>
      <c r="X628" s="242">
        <f t="shared" si="76"/>
        <v>13.5</v>
      </c>
      <c r="Y628" s="385">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3">
        <f>ROUNDDOWN(II2Ext!$H$30*AF629/500,1)*5</f>
        <v>14</v>
      </c>
      <c r="AM628" s="241">
        <f t="shared" si="74"/>
        <v>13.5</v>
      </c>
      <c r="AN628" s="28">
        <f t="shared" si="72"/>
        <v>1</v>
      </c>
    </row>
    <row r="629" spans="21:40" ht="12.75" customHeight="1" x14ac:dyDescent="0.2">
      <c r="U629" s="70">
        <f>+II2Ext!A50</f>
        <v>0</v>
      </c>
      <c r="V629" s="73">
        <f>IF(II2Ext!$H$32="M",AN628+U629,AN671+U629)</f>
        <v>0.5</v>
      </c>
      <c r="W629" s="253">
        <f t="shared" si="75"/>
        <v>13</v>
      </c>
      <c r="X629" s="242">
        <f t="shared" si="76"/>
        <v>13</v>
      </c>
      <c r="Y629" s="385">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3">
        <f>ROUNDDOWN(II2Ext!$H$30*AF630/500,1)*5</f>
        <v>13</v>
      </c>
      <c r="AM629" s="241">
        <f t="shared" si="74"/>
        <v>12.5</v>
      </c>
      <c r="AN629" s="38">
        <f t="shared" si="72"/>
        <v>1</v>
      </c>
    </row>
    <row r="630" spans="21:40" ht="12.75" customHeight="1" x14ac:dyDescent="0.2">
      <c r="U630" s="70">
        <f>+II2Ext!A51</f>
        <v>0</v>
      </c>
      <c r="V630" s="73">
        <f>IF(II2Ext!$H$32="M",AN629+U630,AN672+U630)</f>
        <v>1</v>
      </c>
      <c r="W630" s="254">
        <f t="shared" si="75"/>
        <v>12.5</v>
      </c>
      <c r="X630" s="242">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3">
        <f>ROUNDDOWN(II2Ext!$H$30*AF631/500,1)*5</f>
        <v>12</v>
      </c>
      <c r="AM630" s="241">
        <f t="shared" si="74"/>
        <v>12</v>
      </c>
      <c r="AN630" s="28">
        <f t="shared" si="72"/>
        <v>0.5</v>
      </c>
    </row>
    <row r="631" spans="21:40" ht="12.75" customHeight="1" x14ac:dyDescent="0.2">
      <c r="U631" s="70">
        <f>+II2Ext!A52</f>
        <v>0</v>
      </c>
      <c r="V631" s="72">
        <f>IF(II2Ext!$H$32="M",AN630+U631,AN673+U631)</f>
        <v>0.5</v>
      </c>
      <c r="W631" s="253">
        <f t="shared" si="75"/>
        <v>11.5</v>
      </c>
      <c r="X631" s="242">
        <f t="shared" si="76"/>
        <v>11.5</v>
      </c>
      <c r="Y631" s="385">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3">
        <f>ROUNDDOWN(II2Ext!$H$30*AF632/500,1)*5</f>
        <v>11.5</v>
      </c>
      <c r="AM631" s="241">
        <f t="shared" si="74"/>
        <v>11</v>
      </c>
      <c r="AN631" s="28">
        <f t="shared" si="72"/>
        <v>1</v>
      </c>
    </row>
    <row r="632" spans="21:40" ht="12.75" customHeight="1" x14ac:dyDescent="0.2">
      <c r="U632" s="70">
        <f>+II2Ext!A53</f>
        <v>0</v>
      </c>
      <c r="V632" s="73">
        <f>IF(II2Ext!$H$32="M",AN631+U632,AN674+U632)</f>
        <v>1</v>
      </c>
      <c r="W632" s="253">
        <f t="shared" si="75"/>
        <v>11</v>
      </c>
      <c r="X632" s="242">
        <f t="shared" si="76"/>
        <v>10.5</v>
      </c>
      <c r="Y632" s="385">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3">
        <f>ROUNDDOWN(II2Ext!$H$30*AF633/500,1)*5</f>
        <v>10.5</v>
      </c>
      <c r="AM632" s="241">
        <f t="shared" si="74"/>
        <v>10</v>
      </c>
      <c r="AN632" s="38">
        <f t="shared" si="72"/>
        <v>1</v>
      </c>
    </row>
    <row r="633" spans="21:40" ht="12.75" customHeight="1" x14ac:dyDescent="0.2">
      <c r="U633" s="70">
        <f>+II2Ext!A54</f>
        <v>0</v>
      </c>
      <c r="V633" s="75">
        <f>IF(II2Ext!$H$32="M",AN632+U633,AN675+U633)</f>
        <v>0.5</v>
      </c>
      <c r="W633" s="254">
        <f t="shared" si="75"/>
        <v>10</v>
      </c>
      <c r="X633" s="242">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3">
        <f>ROUNDDOWN(II2Ext!$H$30*AF634/500,1)*5</f>
        <v>9.5</v>
      </c>
      <c r="AM633" s="241">
        <f t="shared" si="74"/>
        <v>9</v>
      </c>
      <c r="AN633" s="28">
        <f t="shared" si="72"/>
        <v>1</v>
      </c>
    </row>
    <row r="634" spans="21:40" ht="12.75" customHeight="1" x14ac:dyDescent="0.2">
      <c r="U634" s="70">
        <f>+II2Ext!A55</f>
        <v>0</v>
      </c>
      <c r="V634" s="72">
        <f>IF(II2Ext!$H$32="M",AN633+U634,AN676+U634)</f>
        <v>1</v>
      </c>
      <c r="W634" s="253">
        <f t="shared" si="75"/>
        <v>9.5</v>
      </c>
      <c r="X634" s="242">
        <f t="shared" si="76"/>
        <v>9</v>
      </c>
      <c r="Y634" s="385">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3">
        <f>ROUNDDOWN(II2Ext!$H$30*AF635/500,1)*5</f>
        <v>8.5</v>
      </c>
      <c r="AM634" s="241">
        <f t="shared" si="74"/>
        <v>8</v>
      </c>
      <c r="AN634" s="28">
        <f t="shared" si="72"/>
        <v>1</v>
      </c>
    </row>
    <row r="635" spans="21:40" ht="12.75" customHeight="1" x14ac:dyDescent="0.2">
      <c r="U635" s="70">
        <f>+II2Ext!A56</f>
        <v>0</v>
      </c>
      <c r="V635" s="73">
        <f>IF(II2Ext!$H$32="M",AN634+U635,AN677+U635)</f>
        <v>1</v>
      </c>
      <c r="W635" s="253">
        <f t="shared" si="75"/>
        <v>8.5</v>
      </c>
      <c r="X635" s="242">
        <f t="shared" si="76"/>
        <v>8</v>
      </c>
      <c r="Y635" s="385">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3">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4">
        <f t="shared" si="75"/>
        <v>7.5</v>
      </c>
      <c r="X636" s="242">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5">
        <f t="shared" si="75"/>
        <v>6.5000000000000009</v>
      </c>
      <c r="X637" s="249">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7">
        <f t="shared" ref="V640:V655" si="77">+X640</f>
        <v>0</v>
      </c>
      <c r="W640" s="247">
        <f>+W637</f>
        <v>6.5000000000000009</v>
      </c>
      <c r="X640" s="247">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7">
        <f t="shared" si="77"/>
        <v>7.0000000000000009</v>
      </c>
      <c r="W641" s="247">
        <f>+W636</f>
        <v>7.5</v>
      </c>
      <c r="X641" s="247">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7">
        <f t="shared" si="77"/>
        <v>8</v>
      </c>
      <c r="W642" s="247">
        <f>+W635</f>
        <v>8.5</v>
      </c>
      <c r="X642" s="247">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7">
        <f t="shared" si="77"/>
        <v>9</v>
      </c>
      <c r="W643" s="247">
        <f>+W634</f>
        <v>9.5</v>
      </c>
      <c r="X643" s="247">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7">
        <f t="shared" si="77"/>
        <v>10</v>
      </c>
      <c r="W644" s="247">
        <f>+W633</f>
        <v>10</v>
      </c>
      <c r="X644" s="247">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7">
        <f t="shared" si="77"/>
        <v>10.5</v>
      </c>
      <c r="W645" s="247">
        <f>+W632</f>
        <v>11</v>
      </c>
      <c r="X645" s="247">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7">
        <f t="shared" si="77"/>
        <v>11.5</v>
      </c>
      <c r="W646" s="247">
        <f>+W631</f>
        <v>11.5</v>
      </c>
      <c r="X646" s="247">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7">
        <f t="shared" si="77"/>
        <v>12</v>
      </c>
      <c r="W647" s="247">
        <f>+W630</f>
        <v>12.5</v>
      </c>
      <c r="X647" s="247">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7">
        <f t="shared" si="77"/>
        <v>13</v>
      </c>
      <c r="W648" s="247">
        <f>+W629</f>
        <v>13</v>
      </c>
      <c r="X648" s="247">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7">
        <f t="shared" si="77"/>
        <v>13.5</v>
      </c>
      <c r="W649" s="247">
        <f>+W628</f>
        <v>13.5</v>
      </c>
      <c r="X649" s="247">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7">
        <f t="shared" si="77"/>
        <v>14</v>
      </c>
      <c r="W650" s="247">
        <f>+W627</f>
        <v>14.5</v>
      </c>
      <c r="X650" s="247">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7">
        <f t="shared" si="77"/>
        <v>15</v>
      </c>
      <c r="W651" s="247">
        <f>+W626</f>
        <v>15.5</v>
      </c>
      <c r="X651" s="247">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7">
        <f t="shared" si="77"/>
        <v>16</v>
      </c>
      <c r="W652" s="247">
        <f>+W625</f>
        <v>16.5</v>
      </c>
      <c r="X652" s="247">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7">
        <f t="shared" si="77"/>
        <v>17</v>
      </c>
      <c r="W653" s="247">
        <f>+W624</f>
        <v>17.5</v>
      </c>
      <c r="X653" s="247">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7">
        <f t="shared" si="77"/>
        <v>18</v>
      </c>
      <c r="W654" s="247">
        <f>+W623</f>
        <v>18.5</v>
      </c>
      <c r="X654" s="247">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7">
        <f t="shared" si="77"/>
        <v>19</v>
      </c>
      <c r="W655" s="247">
        <f>+W622</f>
        <v>20</v>
      </c>
      <c r="X655" s="247">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3"/>
      <c r="AJ659" s="26"/>
      <c r="AK659" s="26"/>
      <c r="AL659" s="20"/>
      <c r="AM659" s="53"/>
      <c r="AN659" s="383"/>
    </row>
    <row r="660" spans="21:40" ht="12.75" customHeight="1" thickBot="1" x14ac:dyDescent="0.25">
      <c r="U660" s="383"/>
      <c r="V660" s="250"/>
      <c r="W660" s="516"/>
      <c r="X660" s="516"/>
      <c r="Y660" s="30"/>
      <c r="Z660" s="516"/>
      <c r="AA660" s="516"/>
      <c r="AB660" s="15"/>
      <c r="AC660" s="30"/>
      <c r="AD660" s="383"/>
      <c r="AE660" s="383"/>
      <c r="AF660" s="26"/>
      <c r="AG660" s="26"/>
      <c r="AH660" s="20"/>
      <c r="AI660" s="30"/>
      <c r="AJ660" s="383"/>
      <c r="AK660" s="30"/>
      <c r="AL660" s="383"/>
      <c r="AM660" s="383"/>
      <c r="AN660" s="383"/>
    </row>
    <row r="661" spans="21:40" ht="12.75" customHeight="1" x14ac:dyDescent="0.2">
      <c r="U661" s="251"/>
      <c r="V661" s="250"/>
      <c r="W661" s="512"/>
      <c r="X661" s="512"/>
      <c r="Y661" s="30"/>
      <c r="Z661" s="516"/>
      <c r="AA661" s="516"/>
      <c r="AB661" s="15"/>
      <c r="AC661" s="18" t="s">
        <v>6</v>
      </c>
      <c r="AD661" s="19" t="s">
        <v>18</v>
      </c>
      <c r="AE661" s="384"/>
      <c r="AF661" s="507" t="s">
        <v>27</v>
      </c>
      <c r="AG661" s="508"/>
      <c r="AH661" s="20"/>
      <c r="AI661" s="18" t="s">
        <v>6</v>
      </c>
      <c r="AJ661" s="19" t="s">
        <v>18</v>
      </c>
      <c r="AK661" s="21"/>
      <c r="AL661" s="509" t="s">
        <v>28</v>
      </c>
      <c r="AM661" s="510"/>
      <c r="AN661" s="22" t="s">
        <v>29</v>
      </c>
    </row>
    <row r="662" spans="21:40" ht="12.75" customHeight="1" x14ac:dyDescent="0.2">
      <c r="U662" s="252"/>
      <c r="V662" s="250"/>
      <c r="W662" s="383"/>
      <c r="X662" s="383"/>
      <c r="Y662" s="30"/>
      <c r="Z662" s="516"/>
      <c r="AA662" s="516"/>
      <c r="AB662" s="15"/>
      <c r="AC662" s="24"/>
      <c r="AD662" s="25"/>
      <c r="AE662" s="383"/>
      <c r="AF662" s="26" t="s">
        <v>32</v>
      </c>
      <c r="AG662" s="27" t="s">
        <v>33</v>
      </c>
      <c r="AH662" s="20"/>
      <c r="AI662" s="24"/>
      <c r="AJ662" s="25"/>
      <c r="AK662" s="383"/>
      <c r="AL662" s="383" t="s">
        <v>32</v>
      </c>
      <c r="AM662" s="241" t="s">
        <v>33</v>
      </c>
      <c r="AN662" s="28"/>
    </row>
    <row r="663" spans="21:40" ht="12.75" customHeight="1" x14ac:dyDescent="0.2">
      <c r="U663" s="30"/>
      <c r="V663" s="250"/>
      <c r="W663" s="383"/>
      <c r="X663" s="383"/>
      <c r="Y663" s="30"/>
      <c r="Z663" s="383"/>
      <c r="AA663" s="383"/>
      <c r="AB663" s="15"/>
      <c r="AC663" s="33"/>
      <c r="AD663" s="34"/>
      <c r="AE663" s="35"/>
      <c r="AF663" s="41"/>
      <c r="AG663" s="42"/>
      <c r="AH663" s="30"/>
      <c r="AI663" s="33"/>
      <c r="AJ663" s="34"/>
      <c r="AK663" s="35"/>
      <c r="AL663" s="36"/>
      <c r="AM663" s="37"/>
      <c r="AN663" s="38"/>
    </row>
    <row r="664" spans="21:40" ht="12.75" customHeight="1" x14ac:dyDescent="0.2">
      <c r="U664" s="251"/>
      <c r="V664" s="250"/>
      <c r="W664" s="44"/>
      <c r="X664" s="383"/>
      <c r="Y664" s="30"/>
      <c r="Z664" s="383"/>
      <c r="AA664" s="383"/>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2">
        <f>AL665+0.5</f>
        <v>19</v>
      </c>
      <c r="AN664" s="28">
        <f t="shared" ref="AN664:AN678" si="79">IF(AM664&gt;AL664,"ALARM",AL664-AL665)</f>
        <v>1.5</v>
      </c>
    </row>
    <row r="665" spans="21:40" ht="12.75" customHeight="1" x14ac:dyDescent="0.2">
      <c r="U665" s="251"/>
      <c r="V665" s="250"/>
      <c r="W665" s="383"/>
      <c r="X665" s="383"/>
      <c r="Y665" s="30"/>
      <c r="Z665" s="383"/>
      <c r="AA665" s="383"/>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2">
        <f t="shared" ref="AM665:AM677" si="80">AL666+0.5</f>
        <v>18</v>
      </c>
      <c r="AN665" s="28">
        <f t="shared" si="79"/>
        <v>1</v>
      </c>
    </row>
    <row r="666" spans="21:40" ht="12.75" customHeight="1" x14ac:dyDescent="0.2">
      <c r="U666" s="251"/>
      <c r="V666" s="250"/>
      <c r="W666" s="383"/>
      <c r="X666" s="383"/>
      <c r="Y666" s="30"/>
      <c r="Z666" s="383"/>
      <c r="AA666" s="383"/>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2">
        <f t="shared" si="80"/>
        <v>17</v>
      </c>
      <c r="AN666" s="38">
        <f t="shared" si="79"/>
        <v>1</v>
      </c>
    </row>
    <row r="667" spans="21:40" ht="12.75" customHeight="1" x14ac:dyDescent="0.2">
      <c r="U667" s="251"/>
      <c r="V667" s="250"/>
      <c r="W667" s="383"/>
      <c r="X667" s="383"/>
      <c r="Y667" s="30"/>
      <c r="Z667" s="383"/>
      <c r="AA667" s="383"/>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2">
        <f t="shared" si="80"/>
        <v>16</v>
      </c>
      <c r="AN667" s="28">
        <f t="shared" si="79"/>
        <v>1</v>
      </c>
    </row>
    <row r="668" spans="21:40" ht="12.75" customHeight="1" x14ac:dyDescent="0.2">
      <c r="U668" s="251"/>
      <c r="V668" s="250"/>
      <c r="W668" s="383"/>
      <c r="X668" s="383"/>
      <c r="Y668" s="30"/>
      <c r="Z668" s="383"/>
      <c r="AA668" s="383"/>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2">
        <f t="shared" si="80"/>
        <v>15</v>
      </c>
      <c r="AN668" s="28">
        <f t="shared" si="79"/>
        <v>1</v>
      </c>
    </row>
    <row r="669" spans="21:40" ht="12.75" customHeight="1" x14ac:dyDescent="0.2">
      <c r="U669" s="251"/>
      <c r="V669" s="250"/>
      <c r="W669" s="383"/>
      <c r="X669" s="383"/>
      <c r="Y669" s="30"/>
      <c r="Z669" s="383"/>
      <c r="AA669" s="383"/>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2">
        <f t="shared" si="80"/>
        <v>14</v>
      </c>
      <c r="AN669" s="38">
        <f t="shared" si="79"/>
        <v>1</v>
      </c>
    </row>
    <row r="670" spans="21:40" ht="12.75" customHeight="1" x14ac:dyDescent="0.2">
      <c r="U670" s="251"/>
      <c r="V670" s="250"/>
      <c r="W670" s="383"/>
      <c r="X670" s="383"/>
      <c r="Y670" s="30"/>
      <c r="Z670" s="383"/>
      <c r="AA670" s="383"/>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2">
        <f t="shared" si="80"/>
        <v>13.5</v>
      </c>
      <c r="AN670" s="28">
        <f t="shared" si="79"/>
        <v>0.5</v>
      </c>
    </row>
    <row r="671" spans="21:40" ht="12.75" customHeight="1" x14ac:dyDescent="0.2">
      <c r="U671" s="251"/>
      <c r="V671" s="250"/>
      <c r="W671" s="383"/>
      <c r="X671" s="383"/>
      <c r="Y671" s="30"/>
      <c r="Z671" s="383"/>
      <c r="AA671" s="383"/>
      <c r="AB671" s="15"/>
      <c r="AC671" s="24">
        <v>3</v>
      </c>
      <c r="AD671" s="25">
        <v>8</v>
      </c>
      <c r="AE671" s="30"/>
      <c r="AF671" s="26">
        <f>II2Ext!$H$35+10*(100-II2Ext!$H$35)/30</f>
        <v>66</v>
      </c>
      <c r="AG671" s="27">
        <f t="shared" si="78"/>
        <v>62.7</v>
      </c>
      <c r="AH671" s="30"/>
      <c r="AI671" s="24">
        <v>3</v>
      </c>
      <c r="AJ671" s="25">
        <v>8</v>
      </c>
      <c r="AK671" s="30"/>
      <c r="AL671" s="26">
        <f>ROUNDDOWN(II2Ext!$H$30*AF671/500,1)*5</f>
        <v>13</v>
      </c>
      <c r="AM671" s="242">
        <f t="shared" si="80"/>
        <v>13</v>
      </c>
      <c r="AN671" s="28">
        <f t="shared" si="79"/>
        <v>0.5</v>
      </c>
    </row>
    <row r="672" spans="21:40" ht="12.75" customHeight="1" x14ac:dyDescent="0.2">
      <c r="U672" s="251"/>
      <c r="V672" s="250"/>
      <c r="W672" s="383"/>
      <c r="X672" s="383"/>
      <c r="Y672" s="30"/>
      <c r="Z672" s="383"/>
      <c r="AA672" s="383"/>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2">
        <f t="shared" si="80"/>
        <v>12</v>
      </c>
      <c r="AN672" s="38">
        <f t="shared" si="79"/>
        <v>1</v>
      </c>
    </row>
    <row r="673" spans="21:40" ht="12.75" customHeight="1" x14ac:dyDescent="0.2">
      <c r="U673" s="251"/>
      <c r="V673" s="250"/>
      <c r="W673" s="383"/>
      <c r="X673" s="383"/>
      <c r="Y673" s="30"/>
      <c r="Z673" s="383"/>
      <c r="AA673" s="383"/>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2">
        <f t="shared" si="80"/>
        <v>11.5</v>
      </c>
      <c r="AN673" s="28">
        <f t="shared" si="79"/>
        <v>0.5</v>
      </c>
    </row>
    <row r="674" spans="21:40" ht="12.75" customHeight="1" x14ac:dyDescent="0.2">
      <c r="U674" s="251"/>
      <c r="V674" s="250"/>
      <c r="W674" s="383"/>
      <c r="X674" s="383"/>
      <c r="Y674" s="30"/>
      <c r="Z674" s="383"/>
      <c r="AA674" s="383"/>
      <c r="AB674" s="15"/>
      <c r="AC674" s="24">
        <v>4</v>
      </c>
      <c r="AD674" s="25">
        <v>5</v>
      </c>
      <c r="AE674" s="30"/>
      <c r="AF674" s="26">
        <f>II2Ext!$H$35+4*(100-II2Ext!$H$35)/30</f>
        <v>55.8</v>
      </c>
      <c r="AG674" s="27">
        <f t="shared" si="78"/>
        <v>52.5</v>
      </c>
      <c r="AH674" s="30"/>
      <c r="AI674" s="24">
        <v>4</v>
      </c>
      <c r="AJ674" s="25">
        <v>5</v>
      </c>
      <c r="AK674" s="30"/>
      <c r="AL674" s="26">
        <f>ROUNDDOWN(II2Ext!$H$30*AF674/500,1)*5</f>
        <v>11</v>
      </c>
      <c r="AM674" s="242">
        <f t="shared" si="80"/>
        <v>10.5</v>
      </c>
      <c r="AN674" s="28">
        <f t="shared" si="79"/>
        <v>1</v>
      </c>
    </row>
    <row r="675" spans="21:40" ht="12.75" customHeight="1" x14ac:dyDescent="0.2">
      <c r="U675" s="251"/>
      <c r="V675" s="250"/>
      <c r="W675" s="383"/>
      <c r="X675" s="383"/>
      <c r="Y675" s="30"/>
      <c r="Z675" s="383"/>
      <c r="AA675" s="383"/>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2">
        <f t="shared" si="80"/>
        <v>10</v>
      </c>
      <c r="AN675" s="38">
        <f t="shared" si="79"/>
        <v>0.5</v>
      </c>
    </row>
    <row r="676" spans="21:40" ht="12.75" customHeight="1" x14ac:dyDescent="0.2">
      <c r="U676" s="251"/>
      <c r="V676" s="250"/>
      <c r="W676" s="383"/>
      <c r="X676" s="383"/>
      <c r="Y676" s="30"/>
      <c r="Z676" s="383"/>
      <c r="AA676" s="383"/>
      <c r="AB676" s="15"/>
      <c r="AC676" s="43" t="s">
        <v>36</v>
      </c>
      <c r="AD676" s="25">
        <v>3</v>
      </c>
      <c r="AE676" s="30"/>
      <c r="AF676" s="26">
        <f>II2Ext!$H$35</f>
        <v>49</v>
      </c>
      <c r="AG676" s="27">
        <f>AF677+0.01</f>
        <v>44.01</v>
      </c>
      <c r="AH676" s="30"/>
      <c r="AI676" s="43" t="s">
        <v>36</v>
      </c>
      <c r="AJ676" s="25">
        <v>3</v>
      </c>
      <c r="AK676" s="30"/>
      <c r="AL676" s="26">
        <f>ROUNDDOWN(II2Ext!$H$30*AF676/500,1)*5</f>
        <v>9.5</v>
      </c>
      <c r="AM676" s="242">
        <f t="shared" si="80"/>
        <v>9</v>
      </c>
      <c r="AN676" s="28">
        <f t="shared" si="79"/>
        <v>1</v>
      </c>
    </row>
    <row r="677" spans="21:40" ht="12.75" customHeight="1" x14ac:dyDescent="0.2">
      <c r="U677" s="251"/>
      <c r="V677" s="250"/>
      <c r="W677" s="383"/>
      <c r="X677" s="383"/>
      <c r="Y677" s="30"/>
      <c r="Z677" s="383"/>
      <c r="AA677" s="383"/>
      <c r="AB677" s="15"/>
      <c r="AC677" s="24">
        <v>5</v>
      </c>
      <c r="AD677" s="25">
        <v>2</v>
      </c>
      <c r="AE677" s="30"/>
      <c r="AF677" s="26">
        <f>AG678+2*(AF676-AG678)/3</f>
        <v>44</v>
      </c>
      <c r="AG677" s="27">
        <f>AF678+0.01</f>
        <v>39.01</v>
      </c>
      <c r="AH677" s="30"/>
      <c r="AI677" s="24">
        <v>5</v>
      </c>
      <c r="AJ677" s="25">
        <v>2</v>
      </c>
      <c r="AK677" s="30"/>
      <c r="AL677" s="26">
        <f>ROUNDDOWN(II2Ext!$H$30*AF677/500,1)*5</f>
        <v>8.5</v>
      </c>
      <c r="AM677" s="242">
        <f t="shared" si="80"/>
        <v>8</v>
      </c>
      <c r="AN677" s="28">
        <f t="shared" si="79"/>
        <v>1</v>
      </c>
    </row>
    <row r="678" spans="21:40" ht="12.75" customHeight="1" x14ac:dyDescent="0.2">
      <c r="U678" s="251"/>
      <c r="V678" s="250"/>
      <c r="W678" s="383"/>
      <c r="X678" s="250"/>
      <c r="Y678" s="30"/>
      <c r="Z678" s="383"/>
      <c r="AA678" s="383"/>
      <c r="AB678" s="15"/>
      <c r="AC678" s="46" t="s">
        <v>9</v>
      </c>
      <c r="AD678" s="34">
        <v>1</v>
      </c>
      <c r="AE678" s="35"/>
      <c r="AF678" s="47">
        <f>AG678+(AF676-AG678)/3</f>
        <v>39</v>
      </c>
      <c r="AG678" s="48">
        <f>II2Ext!$H$34</f>
        <v>34</v>
      </c>
      <c r="AH678" s="30"/>
      <c r="AI678" s="46" t="s">
        <v>9</v>
      </c>
      <c r="AJ678" s="34">
        <v>1</v>
      </c>
      <c r="AK678" s="35"/>
      <c r="AL678" s="26">
        <f>ROUNDDOWN(II2Ext!$H$30*AF678/500,1)*5</f>
        <v>7.5</v>
      </c>
      <c r="AM678" s="248">
        <f>ROUNDUP(II2Ext!$H$30*(II2Ext!$H$34/500),1)*5</f>
        <v>7.0000000000000009</v>
      </c>
      <c r="AN678" s="38">
        <f t="shared" si="79"/>
        <v>0.99999999999999911</v>
      </c>
    </row>
    <row r="679" spans="21:40" ht="12.75" customHeight="1" thickBot="1" x14ac:dyDescent="0.25">
      <c r="U679" s="250"/>
      <c r="V679" s="250"/>
      <c r="W679" s="383"/>
      <c r="X679" s="383"/>
      <c r="Y679" s="30"/>
      <c r="Z679" s="383"/>
      <c r="AA679" s="383"/>
      <c r="AB679" s="15"/>
      <c r="AC679" s="54">
        <v>6</v>
      </c>
      <c r="AD679" s="55">
        <v>0</v>
      </c>
      <c r="AE679" s="56"/>
      <c r="AF679" s="61">
        <f>II2Ext!$H$34-0.1</f>
        <v>33.9</v>
      </c>
      <c r="AG679" s="62">
        <v>0</v>
      </c>
      <c r="AH679" s="30"/>
      <c r="AI679" s="54">
        <v>6</v>
      </c>
      <c r="AJ679" s="55">
        <v>0</v>
      </c>
      <c r="AK679" s="56"/>
      <c r="AL679" s="61">
        <f>AM678-0.5</f>
        <v>6.5000000000000009</v>
      </c>
      <c r="AM679" s="249">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500" t="s">
        <v>25</v>
      </c>
      <c r="X718" s="501"/>
      <c r="Y718" s="502" t="s">
        <v>18</v>
      </c>
      <c r="Z718" s="505" t="s">
        <v>26</v>
      </c>
      <c r="AA718" s="506"/>
      <c r="AB718" s="15"/>
      <c r="AC718" s="18" t="s">
        <v>6</v>
      </c>
      <c r="AD718" s="19" t="s">
        <v>18</v>
      </c>
      <c r="AE718" s="384"/>
      <c r="AF718" s="507" t="s">
        <v>27</v>
      </c>
      <c r="AG718" s="508"/>
      <c r="AH718" s="20"/>
      <c r="AI718" s="18" t="s">
        <v>6</v>
      </c>
      <c r="AJ718" s="19" t="s">
        <v>18</v>
      </c>
      <c r="AK718" s="21"/>
      <c r="AL718" s="509" t="s">
        <v>28</v>
      </c>
      <c r="AM718" s="510"/>
      <c r="AN718" s="22" t="s">
        <v>29</v>
      </c>
    </row>
    <row r="719" spans="20:40" ht="12.75" customHeight="1" x14ac:dyDescent="0.2">
      <c r="U719" s="23" t="s">
        <v>30</v>
      </c>
      <c r="V719" s="10" t="s">
        <v>29</v>
      </c>
      <c r="W719" s="511" t="s">
        <v>28</v>
      </c>
      <c r="X719" s="512"/>
      <c r="Y719" s="503"/>
      <c r="Z719" s="513" t="s">
        <v>31</v>
      </c>
      <c r="AA719" s="514"/>
      <c r="AB719" s="15"/>
      <c r="AC719" s="24"/>
      <c r="AD719" s="25"/>
      <c r="AE719" s="383"/>
      <c r="AF719" s="26" t="s">
        <v>32</v>
      </c>
      <c r="AG719" s="27" t="s">
        <v>33</v>
      </c>
      <c r="AH719" s="20"/>
      <c r="AI719" s="24"/>
      <c r="AJ719" s="25"/>
      <c r="AK719" s="383"/>
      <c r="AL719" s="383" t="s">
        <v>32</v>
      </c>
      <c r="AM719" s="241" t="s">
        <v>33</v>
      </c>
      <c r="AN719" s="28"/>
    </row>
    <row r="720" spans="20:40" ht="12.75" customHeight="1" x14ac:dyDescent="0.2">
      <c r="U720" s="29" t="s">
        <v>34</v>
      </c>
      <c r="V720" s="10" t="s">
        <v>25</v>
      </c>
      <c r="W720" s="385" t="s">
        <v>32</v>
      </c>
      <c r="X720" s="383" t="s">
        <v>33</v>
      </c>
      <c r="Y720" s="503"/>
      <c r="Z720" s="513" t="s">
        <v>35</v>
      </c>
      <c r="AA720" s="514"/>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504"/>
      <c r="Z721" s="77"/>
      <c r="AA721" s="28"/>
      <c r="AB721" s="30"/>
      <c r="AC721" s="33"/>
      <c r="AD721" s="34"/>
      <c r="AE721" s="35"/>
      <c r="AF721" s="41"/>
      <c r="AG721" s="42"/>
      <c r="AH721" s="30"/>
      <c r="AI721" s="43" t="s">
        <v>36</v>
      </c>
      <c r="AJ721" s="25">
        <v>15</v>
      </c>
      <c r="AK721" s="30"/>
      <c r="AL721" s="44">
        <f>II3Ext!$H$30</f>
        <v>20</v>
      </c>
      <c r="AM721" s="241">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1">
        <f>W723+0.5</f>
        <v>19</v>
      </c>
      <c r="Y722" s="385">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3">
        <f>ROUNDDOWN(II3Ext!$H$30*AF723/500,1)*5</f>
        <v>19</v>
      </c>
      <c r="AM722" s="241">
        <f t="shared" ref="AM722:AM734" si="83">AL723+0.5</f>
        <v>18.5</v>
      </c>
      <c r="AN722" s="28">
        <f t="shared" si="81"/>
        <v>1</v>
      </c>
    </row>
    <row r="723" spans="21:40" ht="12.75" customHeight="1" x14ac:dyDescent="0.2">
      <c r="U723" s="70">
        <f>+II3Ext!A44</f>
        <v>0</v>
      </c>
      <c r="V723" s="73">
        <f>IF(II3Ext!$H$32="M",AN722+U723,AN765+U723)</f>
        <v>1</v>
      </c>
      <c r="W723" s="385">
        <f t="shared" ref="W723:W737" si="84">W722-V722</f>
        <v>18.5</v>
      </c>
      <c r="X723" s="241">
        <f t="shared" ref="X723:X736" si="85">W724+0.5</f>
        <v>18</v>
      </c>
      <c r="Y723" s="385">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3">
        <f>ROUNDDOWN(II3Ext!$H$30*AF724/500,1)*5</f>
        <v>18</v>
      </c>
      <c r="AM723" s="241">
        <f t="shared" si="83"/>
        <v>17.5</v>
      </c>
      <c r="AN723" s="38">
        <f t="shared" si="81"/>
        <v>1</v>
      </c>
    </row>
    <row r="724" spans="21:40" ht="12.75" customHeight="1" x14ac:dyDescent="0.2">
      <c r="U724" s="70">
        <f>+II3Ext!A45</f>
        <v>0</v>
      </c>
      <c r="V724" s="73">
        <f>IF(II3Ext!$H$32="M",AN723+U724,AN766+U724)</f>
        <v>1</v>
      </c>
      <c r="W724" s="40">
        <f t="shared" si="84"/>
        <v>17.5</v>
      </c>
      <c r="X724" s="241">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3">
        <f>ROUNDDOWN(II3Ext!$H$30*AF725/500,1)*5</f>
        <v>17</v>
      </c>
      <c r="AM724" s="241">
        <f t="shared" si="83"/>
        <v>17</v>
      </c>
      <c r="AN724" s="28">
        <f t="shared" si="81"/>
        <v>0.5</v>
      </c>
    </row>
    <row r="725" spans="21:40" ht="12.75" customHeight="1" x14ac:dyDescent="0.2">
      <c r="U725" s="70">
        <f>+II3Ext!A46</f>
        <v>0</v>
      </c>
      <c r="V725" s="72">
        <f>IF(II3Ext!$H$32="M",AN724+U725,AN767+U725)</f>
        <v>1</v>
      </c>
      <c r="W725" s="385">
        <f t="shared" si="84"/>
        <v>16.5</v>
      </c>
      <c r="X725" s="241">
        <f t="shared" si="85"/>
        <v>16</v>
      </c>
      <c r="Y725" s="385">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3">
        <f>ROUNDDOWN(II3Ext!$H$30*AF726/500,1)*5</f>
        <v>16.5</v>
      </c>
      <c r="AM725" s="241">
        <f t="shared" si="83"/>
        <v>16</v>
      </c>
      <c r="AN725" s="28">
        <f t="shared" si="81"/>
        <v>1</v>
      </c>
    </row>
    <row r="726" spans="21:40" ht="12.75" customHeight="1" x14ac:dyDescent="0.2">
      <c r="U726" s="70">
        <f>+II3Ext!A47</f>
        <v>0</v>
      </c>
      <c r="V726" s="73">
        <f>IF(II3Ext!$H$32="M",AN725+U726,AN768+U726)</f>
        <v>1</v>
      </c>
      <c r="W726" s="385">
        <f t="shared" si="84"/>
        <v>15.5</v>
      </c>
      <c r="X726" s="241">
        <f t="shared" si="85"/>
        <v>15</v>
      </c>
      <c r="Y726" s="385">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3">
        <f>ROUNDDOWN(II3Ext!$H$30*AF727/500,1)*5</f>
        <v>15.5</v>
      </c>
      <c r="AM726" s="241">
        <f t="shared" si="83"/>
        <v>15</v>
      </c>
      <c r="AN726" s="38">
        <f t="shared" si="81"/>
        <v>1</v>
      </c>
    </row>
    <row r="727" spans="21:40" ht="12.75" customHeight="1" x14ac:dyDescent="0.2">
      <c r="U727" s="70">
        <f>+II3Ext!A48</f>
        <v>0</v>
      </c>
      <c r="V727" s="75">
        <f>IF(II3Ext!$H$32="M",AN726+U727,AN769+U727)</f>
        <v>1</v>
      </c>
      <c r="W727" s="40">
        <f t="shared" si="84"/>
        <v>14.5</v>
      </c>
      <c r="X727" s="241">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3">
        <f>ROUNDDOWN(II3Ext!$H$30*AF728/500,1)*5</f>
        <v>14.5</v>
      </c>
      <c r="AM727" s="241">
        <f t="shared" si="83"/>
        <v>14.5</v>
      </c>
      <c r="AN727" s="28">
        <f t="shared" si="81"/>
        <v>0.5</v>
      </c>
    </row>
    <row r="728" spans="21:40" ht="12.75" customHeight="1" x14ac:dyDescent="0.2">
      <c r="U728" s="70">
        <f>+II3Ext!A49</f>
        <v>0</v>
      </c>
      <c r="V728" s="73">
        <f>IF(II3Ext!$H$32="M",AN727+U728,AN770+U728)</f>
        <v>0.5</v>
      </c>
      <c r="W728" s="385">
        <f t="shared" si="84"/>
        <v>13.5</v>
      </c>
      <c r="X728" s="241">
        <f t="shared" si="85"/>
        <v>13.5</v>
      </c>
      <c r="Y728" s="385">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3">
        <f>ROUNDDOWN(II3Ext!$H$30*AF729/500,1)*5</f>
        <v>14</v>
      </c>
      <c r="AM728" s="241">
        <f t="shared" si="83"/>
        <v>13.5</v>
      </c>
      <c r="AN728" s="28">
        <f t="shared" si="81"/>
        <v>1</v>
      </c>
    </row>
    <row r="729" spans="21:40" ht="12.75" customHeight="1" x14ac:dyDescent="0.2">
      <c r="U729" s="70">
        <f>+II3Ext!A50</f>
        <v>0</v>
      </c>
      <c r="V729" s="73">
        <f>IF(II3Ext!$H$32="M",AN728+U729,AN771+U729)</f>
        <v>0.5</v>
      </c>
      <c r="W729" s="385">
        <f t="shared" si="84"/>
        <v>13</v>
      </c>
      <c r="X729" s="241">
        <f t="shared" si="85"/>
        <v>13</v>
      </c>
      <c r="Y729" s="385">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3">
        <f>ROUNDDOWN(II3Ext!$H$30*AF730/500,1)*5</f>
        <v>13</v>
      </c>
      <c r="AM729" s="241">
        <f t="shared" si="83"/>
        <v>12.5</v>
      </c>
      <c r="AN729" s="38">
        <f t="shared" si="81"/>
        <v>1</v>
      </c>
    </row>
    <row r="730" spans="21:40" ht="12.75" customHeight="1" x14ac:dyDescent="0.2">
      <c r="U730" s="70">
        <f>+II3Ext!A51</f>
        <v>0</v>
      </c>
      <c r="V730" s="73">
        <f>IF(II3Ext!$H$32="M",AN729+U730,AN772+U730)</f>
        <v>1</v>
      </c>
      <c r="W730" s="40">
        <f t="shared" si="84"/>
        <v>12.5</v>
      </c>
      <c r="X730" s="241">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3">
        <f>ROUNDDOWN(II3Ext!$H$30*AF731/500,1)*5</f>
        <v>12</v>
      </c>
      <c r="AM730" s="241">
        <f t="shared" si="83"/>
        <v>12</v>
      </c>
      <c r="AN730" s="28">
        <f t="shared" si="81"/>
        <v>0.5</v>
      </c>
    </row>
    <row r="731" spans="21:40" ht="12.75" customHeight="1" x14ac:dyDescent="0.2">
      <c r="U731" s="70">
        <f>+II3Ext!A52</f>
        <v>0</v>
      </c>
      <c r="V731" s="72">
        <f>IF(II3Ext!$H$32="M",AN730+U731,AN773+U731)</f>
        <v>0.5</v>
      </c>
      <c r="W731" s="385">
        <f t="shared" si="84"/>
        <v>11.5</v>
      </c>
      <c r="X731" s="241">
        <f t="shared" si="85"/>
        <v>11.5</v>
      </c>
      <c r="Y731" s="385">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3">
        <f>ROUNDDOWN(II3Ext!$H$30*AF732/500,1)*5</f>
        <v>11.5</v>
      </c>
      <c r="AM731" s="241">
        <f t="shared" si="83"/>
        <v>11</v>
      </c>
      <c r="AN731" s="28">
        <f t="shared" si="81"/>
        <v>1</v>
      </c>
    </row>
    <row r="732" spans="21:40" ht="12.75" customHeight="1" x14ac:dyDescent="0.2">
      <c r="U732" s="70">
        <f>+II3Ext!A53</f>
        <v>0</v>
      </c>
      <c r="V732" s="73">
        <f>IF(II3Ext!$H$32="M",AN731+U732,AN774+U732)</f>
        <v>1</v>
      </c>
      <c r="W732" s="385">
        <f t="shared" si="84"/>
        <v>11</v>
      </c>
      <c r="X732" s="241">
        <f t="shared" si="85"/>
        <v>10.5</v>
      </c>
      <c r="Y732" s="385">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3">
        <f>ROUNDDOWN(II3Ext!$H$30*AF733/500,1)*5</f>
        <v>10.5</v>
      </c>
      <c r="AM732" s="241">
        <f t="shared" si="83"/>
        <v>10</v>
      </c>
      <c r="AN732" s="38">
        <f t="shared" si="81"/>
        <v>1</v>
      </c>
    </row>
    <row r="733" spans="21:40" ht="12.75" customHeight="1" x14ac:dyDescent="0.2">
      <c r="U733" s="70">
        <f>+II3Ext!A54</f>
        <v>0</v>
      </c>
      <c r="V733" s="75">
        <f>IF(II3Ext!$H$32="M",AN732+U733,AN775+U733)</f>
        <v>0.5</v>
      </c>
      <c r="W733" s="40">
        <f t="shared" si="84"/>
        <v>10</v>
      </c>
      <c r="X733" s="241">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3">
        <f>ROUNDDOWN(II3Ext!$H$30*AF734/500,1)*5</f>
        <v>9.5</v>
      </c>
      <c r="AM733" s="241">
        <f t="shared" si="83"/>
        <v>9</v>
      </c>
      <c r="AN733" s="28">
        <f t="shared" si="81"/>
        <v>1</v>
      </c>
    </row>
    <row r="734" spans="21:40" ht="12.75" customHeight="1" x14ac:dyDescent="0.2">
      <c r="U734" s="70">
        <f>+II3Ext!A55</f>
        <v>0</v>
      </c>
      <c r="V734" s="72">
        <f>IF(II3Ext!$H$32="M",AN733+U734,AN776+U734)</f>
        <v>1</v>
      </c>
      <c r="W734" s="385">
        <f t="shared" si="84"/>
        <v>9.5</v>
      </c>
      <c r="X734" s="241">
        <f t="shared" si="85"/>
        <v>9</v>
      </c>
      <c r="Y734" s="385">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3">
        <f>ROUNDDOWN(II3Ext!$H$30*AF735/500,1)*5</f>
        <v>8.5</v>
      </c>
      <c r="AM734" s="241">
        <f t="shared" si="83"/>
        <v>8</v>
      </c>
      <c r="AN734" s="28">
        <f t="shared" si="81"/>
        <v>1</v>
      </c>
    </row>
    <row r="735" spans="21:40" ht="12.75" customHeight="1" x14ac:dyDescent="0.2">
      <c r="U735" s="70">
        <f>+II3Ext!A56</f>
        <v>0</v>
      </c>
      <c r="V735" s="73">
        <f>IF(II3Ext!$H$32="M",AN734+U735,AN777+U735)</f>
        <v>1</v>
      </c>
      <c r="W735" s="385">
        <f t="shared" si="84"/>
        <v>8.5</v>
      </c>
      <c r="X735" s="241">
        <f t="shared" si="85"/>
        <v>8</v>
      </c>
      <c r="Y735" s="385">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3">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1">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7">
        <f t="shared" ref="V740:V755" si="86">+X740</f>
        <v>0</v>
      </c>
      <c r="W740" s="247">
        <f>+W737</f>
        <v>6.5000000000000009</v>
      </c>
      <c r="X740" s="247">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7">
        <f t="shared" si="86"/>
        <v>7.0000000000000009</v>
      </c>
      <c r="W741" s="247">
        <f>+W736</f>
        <v>7.5</v>
      </c>
      <c r="X741" s="247">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7">
        <f t="shared" si="86"/>
        <v>8</v>
      </c>
      <c r="W742" s="247">
        <f>+W735</f>
        <v>8.5</v>
      </c>
      <c r="X742" s="247">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7">
        <f t="shared" si="86"/>
        <v>9</v>
      </c>
      <c r="W743" s="247">
        <f>+W734</f>
        <v>9.5</v>
      </c>
      <c r="X743" s="247">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7">
        <f t="shared" si="86"/>
        <v>10</v>
      </c>
      <c r="W744" s="247">
        <f>+W733</f>
        <v>10</v>
      </c>
      <c r="X744" s="247">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7">
        <f t="shared" si="86"/>
        <v>10.5</v>
      </c>
      <c r="W745" s="247">
        <f>+W732</f>
        <v>11</v>
      </c>
      <c r="X745" s="247">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7">
        <f t="shared" si="86"/>
        <v>11.5</v>
      </c>
      <c r="W746" s="247">
        <f>+W731</f>
        <v>11.5</v>
      </c>
      <c r="X746" s="247">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7">
        <f t="shared" si="86"/>
        <v>12</v>
      </c>
      <c r="W747" s="247">
        <f>+W730</f>
        <v>12.5</v>
      </c>
      <c r="X747" s="247">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7">
        <f t="shared" si="86"/>
        <v>13</v>
      </c>
      <c r="W748" s="247">
        <f>+W729</f>
        <v>13</v>
      </c>
      <c r="X748" s="247">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7">
        <f t="shared" si="86"/>
        <v>13.5</v>
      </c>
      <c r="W749" s="247">
        <f>+W728</f>
        <v>13.5</v>
      </c>
      <c r="X749" s="247">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7">
        <f t="shared" si="86"/>
        <v>14</v>
      </c>
      <c r="W750" s="247">
        <f>+W727</f>
        <v>14.5</v>
      </c>
      <c r="X750" s="247">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7">
        <f t="shared" si="86"/>
        <v>15</v>
      </c>
      <c r="W751" s="247">
        <f>+W726</f>
        <v>15.5</v>
      </c>
      <c r="X751" s="247">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7">
        <f t="shared" si="86"/>
        <v>16</v>
      </c>
      <c r="W752" s="247">
        <f>+W725</f>
        <v>16.5</v>
      </c>
      <c r="X752" s="247">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7">
        <f t="shared" si="86"/>
        <v>17</v>
      </c>
      <c r="W753" s="247">
        <f>+W724</f>
        <v>17.5</v>
      </c>
      <c r="X753" s="247">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7">
        <f t="shared" si="86"/>
        <v>18</v>
      </c>
      <c r="W754" s="247">
        <f>+W723</f>
        <v>18.5</v>
      </c>
      <c r="X754" s="247">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7">
        <f t="shared" si="86"/>
        <v>19</v>
      </c>
      <c r="W755" s="247">
        <f>+W722</f>
        <v>20</v>
      </c>
      <c r="X755" s="247">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3"/>
      <c r="AJ759" s="26"/>
      <c r="AK759" s="26"/>
      <c r="AL759" s="20"/>
      <c r="AM759" s="53"/>
      <c r="AN759" s="383"/>
    </row>
    <row r="760" spans="21:40" ht="12.75" customHeight="1" thickBot="1" x14ac:dyDescent="0.25">
      <c r="U760" s="383"/>
      <c r="V760" s="250"/>
      <c r="W760" s="516"/>
      <c r="X760" s="516"/>
      <c r="Y760" s="30"/>
      <c r="Z760" s="516"/>
      <c r="AA760" s="516"/>
      <c r="AB760" s="15"/>
      <c r="AC760" s="30"/>
      <c r="AD760" s="383"/>
      <c r="AE760" s="383"/>
      <c r="AF760" s="26"/>
      <c r="AG760" s="26"/>
      <c r="AH760" s="20"/>
      <c r="AI760" s="30"/>
      <c r="AJ760" s="383"/>
      <c r="AK760" s="30"/>
      <c r="AL760" s="383"/>
      <c r="AM760" s="383"/>
      <c r="AN760" s="383"/>
    </row>
    <row r="761" spans="21:40" ht="12.75" customHeight="1" x14ac:dyDescent="0.2">
      <c r="U761" s="251"/>
      <c r="V761" s="250"/>
      <c r="W761" s="512"/>
      <c r="X761" s="512"/>
      <c r="Y761" s="30"/>
      <c r="Z761" s="516"/>
      <c r="AA761" s="516"/>
      <c r="AB761" s="15"/>
      <c r="AC761" s="18" t="s">
        <v>6</v>
      </c>
      <c r="AD761" s="19" t="s">
        <v>18</v>
      </c>
      <c r="AE761" s="384"/>
      <c r="AF761" s="507" t="s">
        <v>27</v>
      </c>
      <c r="AG761" s="508"/>
      <c r="AH761" s="20"/>
      <c r="AI761" s="18" t="s">
        <v>6</v>
      </c>
      <c r="AJ761" s="19" t="s">
        <v>18</v>
      </c>
      <c r="AK761" s="21"/>
      <c r="AL761" s="509" t="s">
        <v>28</v>
      </c>
      <c r="AM761" s="510"/>
      <c r="AN761" s="22" t="s">
        <v>29</v>
      </c>
    </row>
    <row r="762" spans="21:40" ht="12.75" customHeight="1" x14ac:dyDescent="0.2">
      <c r="U762" s="252"/>
      <c r="V762" s="250"/>
      <c r="W762" s="383"/>
      <c r="X762" s="383"/>
      <c r="Y762" s="30"/>
      <c r="Z762" s="516"/>
      <c r="AA762" s="516"/>
      <c r="AB762" s="15"/>
      <c r="AC762" s="24"/>
      <c r="AD762" s="25"/>
      <c r="AE762" s="383"/>
      <c r="AF762" s="26" t="s">
        <v>32</v>
      </c>
      <c r="AG762" s="27" t="s">
        <v>33</v>
      </c>
      <c r="AH762" s="20"/>
      <c r="AI762" s="24"/>
      <c r="AJ762" s="25"/>
      <c r="AK762" s="383"/>
      <c r="AL762" s="383" t="s">
        <v>32</v>
      </c>
      <c r="AM762" s="241" t="s">
        <v>33</v>
      </c>
      <c r="AN762" s="28"/>
    </row>
    <row r="763" spans="21:40" ht="12.75" customHeight="1" x14ac:dyDescent="0.2">
      <c r="U763" s="30"/>
      <c r="V763" s="250"/>
      <c r="W763" s="383"/>
      <c r="X763" s="383"/>
      <c r="Y763" s="30"/>
      <c r="Z763" s="383"/>
      <c r="AA763" s="383"/>
      <c r="AB763" s="15"/>
      <c r="AC763" s="33"/>
      <c r="AD763" s="34"/>
      <c r="AE763" s="35"/>
      <c r="AF763" s="41"/>
      <c r="AG763" s="42"/>
      <c r="AH763" s="30"/>
      <c r="AI763" s="33"/>
      <c r="AJ763" s="34"/>
      <c r="AK763" s="35"/>
      <c r="AL763" s="36"/>
      <c r="AM763" s="37"/>
      <c r="AN763" s="38"/>
    </row>
    <row r="764" spans="21:40" ht="12.75" customHeight="1" x14ac:dyDescent="0.2">
      <c r="U764" s="251"/>
      <c r="V764" s="250"/>
      <c r="W764" s="44"/>
      <c r="X764" s="383"/>
      <c r="Y764" s="30"/>
      <c r="Z764" s="383"/>
      <c r="AA764" s="383"/>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1">
        <f>AL765+0.5</f>
        <v>19</v>
      </c>
      <c r="AN764" s="28">
        <f t="shared" ref="AN764:AN778" si="88">IF(AM764&gt;AL764,"ALARM",AL764-AL765)</f>
        <v>1.5</v>
      </c>
    </row>
    <row r="765" spans="21:40" ht="12.75" customHeight="1" x14ac:dyDescent="0.2">
      <c r="U765" s="251"/>
      <c r="V765" s="250"/>
      <c r="W765" s="383"/>
      <c r="X765" s="383"/>
      <c r="Y765" s="30"/>
      <c r="Z765" s="383"/>
      <c r="AA765" s="383"/>
      <c r="AB765" s="15"/>
      <c r="AC765" s="24">
        <v>1</v>
      </c>
      <c r="AD765" s="25">
        <v>14</v>
      </c>
      <c r="AE765" s="30"/>
      <c r="AF765" s="26">
        <f>II3Ext!$H$35+27*(100-II3Ext!$H$35)/30</f>
        <v>94.9</v>
      </c>
      <c r="AG765" s="27">
        <f t="shared" si="87"/>
        <v>89.899999999999991</v>
      </c>
      <c r="AH765" s="30"/>
      <c r="AI765" s="24">
        <v>1</v>
      </c>
      <c r="AJ765" s="25">
        <v>14</v>
      </c>
      <c r="AK765" s="30"/>
      <c r="AL765" s="383">
        <f>ROUNDDOWN(II3Ext!$H$30*AF765/500,1)*5</f>
        <v>18.5</v>
      </c>
      <c r="AM765" s="241">
        <f t="shared" ref="AM765:AM777" si="89">AL766+0.5</f>
        <v>18</v>
      </c>
      <c r="AN765" s="28">
        <f t="shared" si="88"/>
        <v>1</v>
      </c>
    </row>
    <row r="766" spans="21:40" ht="12.75" customHeight="1" x14ac:dyDescent="0.2">
      <c r="U766" s="251"/>
      <c r="V766" s="250"/>
      <c r="W766" s="383"/>
      <c r="X766" s="383"/>
      <c r="Y766" s="30"/>
      <c r="Z766" s="383"/>
      <c r="AA766" s="383"/>
      <c r="AB766" s="15"/>
      <c r="AC766" s="46" t="s">
        <v>9</v>
      </c>
      <c r="AD766" s="34">
        <v>13</v>
      </c>
      <c r="AE766" s="35"/>
      <c r="AF766" s="47">
        <f>II3Ext!$H$35+24*(100-II3Ext!$H$35)/30</f>
        <v>89.8</v>
      </c>
      <c r="AG766" s="48">
        <f t="shared" si="87"/>
        <v>84.8</v>
      </c>
      <c r="AH766" s="30"/>
      <c r="AI766" s="46" t="s">
        <v>9</v>
      </c>
      <c r="AJ766" s="34">
        <v>13</v>
      </c>
      <c r="AK766" s="35"/>
      <c r="AL766" s="383">
        <f>ROUNDDOWN(II3Ext!$H$30*AF766/500,1)*5</f>
        <v>17.5</v>
      </c>
      <c r="AM766" s="241">
        <f t="shared" si="89"/>
        <v>17</v>
      </c>
      <c r="AN766" s="38">
        <f t="shared" si="88"/>
        <v>1</v>
      </c>
    </row>
    <row r="767" spans="21:40" ht="12.75" customHeight="1" x14ac:dyDescent="0.2">
      <c r="U767" s="251"/>
      <c r="V767" s="250"/>
      <c r="W767" s="383"/>
      <c r="X767" s="383"/>
      <c r="Y767" s="30"/>
      <c r="Z767" s="383"/>
      <c r="AA767" s="383"/>
      <c r="AB767" s="15"/>
      <c r="AC767" s="43" t="s">
        <v>36</v>
      </c>
      <c r="AD767" s="25">
        <v>12</v>
      </c>
      <c r="AE767" s="30"/>
      <c r="AF767" s="26">
        <f>II3Ext!$H$35+21*(100-II3Ext!$H$35)/30</f>
        <v>84.7</v>
      </c>
      <c r="AG767" s="27">
        <f t="shared" si="87"/>
        <v>79.699999999999989</v>
      </c>
      <c r="AH767" s="30"/>
      <c r="AI767" s="43" t="s">
        <v>36</v>
      </c>
      <c r="AJ767" s="25">
        <v>12</v>
      </c>
      <c r="AK767" s="30"/>
      <c r="AL767" s="383">
        <f>ROUNDDOWN(II3Ext!$H$30*AF767/500,1)*5</f>
        <v>16.5</v>
      </c>
      <c r="AM767" s="241">
        <f t="shared" si="89"/>
        <v>16</v>
      </c>
      <c r="AN767" s="28">
        <f t="shared" si="88"/>
        <v>1</v>
      </c>
    </row>
    <row r="768" spans="21:40" ht="12.75" customHeight="1" x14ac:dyDescent="0.2">
      <c r="U768" s="251"/>
      <c r="V768" s="250"/>
      <c r="W768" s="383"/>
      <c r="X768" s="383"/>
      <c r="Y768" s="30"/>
      <c r="Z768" s="383"/>
      <c r="AA768" s="383"/>
      <c r="AB768" s="15"/>
      <c r="AC768" s="24">
        <v>2</v>
      </c>
      <c r="AD768" s="25">
        <v>11</v>
      </c>
      <c r="AE768" s="30"/>
      <c r="AF768" s="26">
        <f>II3Ext!$H$35+18*(100-II3Ext!$H$35)/30</f>
        <v>79.599999999999994</v>
      </c>
      <c r="AG768" s="27">
        <f t="shared" si="87"/>
        <v>74.599999999999994</v>
      </c>
      <c r="AH768" s="30"/>
      <c r="AI768" s="24">
        <v>2</v>
      </c>
      <c r="AJ768" s="25">
        <v>11</v>
      </c>
      <c r="AK768" s="30"/>
      <c r="AL768" s="383">
        <f>ROUNDDOWN(II3Ext!$H$30*AF768/500,1)*5</f>
        <v>15.5</v>
      </c>
      <c r="AM768" s="241">
        <f t="shared" si="89"/>
        <v>15</v>
      </c>
      <c r="AN768" s="28">
        <f t="shared" si="88"/>
        <v>1</v>
      </c>
    </row>
    <row r="769" spans="21:40" ht="12.75" customHeight="1" x14ac:dyDescent="0.2">
      <c r="U769" s="251"/>
      <c r="V769" s="250"/>
      <c r="W769" s="383"/>
      <c r="X769" s="383"/>
      <c r="Y769" s="30"/>
      <c r="Z769" s="383"/>
      <c r="AA769" s="383"/>
      <c r="AB769" s="15"/>
      <c r="AC769" s="46" t="s">
        <v>9</v>
      </c>
      <c r="AD769" s="34">
        <v>10</v>
      </c>
      <c r="AE769" s="35"/>
      <c r="AF769" s="47">
        <f>II3Ext!$H$35+15*(100-II3Ext!$H$35)/30</f>
        <v>74.5</v>
      </c>
      <c r="AG769" s="48">
        <f t="shared" si="87"/>
        <v>69.5</v>
      </c>
      <c r="AH769" s="30"/>
      <c r="AI769" s="46" t="s">
        <v>9</v>
      </c>
      <c r="AJ769" s="34">
        <v>10</v>
      </c>
      <c r="AK769" s="35"/>
      <c r="AL769" s="383">
        <f>ROUNDDOWN(II3Ext!$H$30*AF769/500,1)*5</f>
        <v>14.5</v>
      </c>
      <c r="AM769" s="241">
        <f t="shared" si="89"/>
        <v>14</v>
      </c>
      <c r="AN769" s="38">
        <f t="shared" si="88"/>
        <v>1</v>
      </c>
    </row>
    <row r="770" spans="21:40" ht="12.75" customHeight="1" x14ac:dyDescent="0.2">
      <c r="U770" s="251"/>
      <c r="V770" s="250"/>
      <c r="W770" s="383"/>
      <c r="X770" s="383"/>
      <c r="Y770" s="30"/>
      <c r="Z770" s="383"/>
      <c r="AA770" s="383"/>
      <c r="AB770" s="15"/>
      <c r="AC770" s="43" t="s">
        <v>36</v>
      </c>
      <c r="AD770" s="25">
        <v>9</v>
      </c>
      <c r="AE770" s="30"/>
      <c r="AF770" s="26">
        <f>II3Ext!$H$35+12*(100-II3Ext!$H$35)/30</f>
        <v>69.400000000000006</v>
      </c>
      <c r="AG770" s="27">
        <f t="shared" si="87"/>
        <v>66.099999999999994</v>
      </c>
      <c r="AH770" s="30"/>
      <c r="AI770" s="43" t="s">
        <v>36</v>
      </c>
      <c r="AJ770" s="25">
        <v>9</v>
      </c>
      <c r="AK770" s="30"/>
      <c r="AL770" s="383">
        <f>ROUNDDOWN(II3Ext!$H$30*AF770/500,1)*5</f>
        <v>13.5</v>
      </c>
      <c r="AM770" s="241">
        <f t="shared" si="89"/>
        <v>13.5</v>
      </c>
      <c r="AN770" s="28">
        <f t="shared" si="88"/>
        <v>0.5</v>
      </c>
    </row>
    <row r="771" spans="21:40" ht="12.75" customHeight="1" x14ac:dyDescent="0.2">
      <c r="U771" s="251"/>
      <c r="V771" s="250"/>
      <c r="W771" s="383"/>
      <c r="X771" s="383"/>
      <c r="Y771" s="30"/>
      <c r="Z771" s="383"/>
      <c r="AA771" s="383"/>
      <c r="AB771" s="15"/>
      <c r="AC771" s="24">
        <v>3</v>
      </c>
      <c r="AD771" s="25">
        <v>8</v>
      </c>
      <c r="AE771" s="30"/>
      <c r="AF771" s="26">
        <f>II3Ext!$H$35+10*(100-II3Ext!$H$35)/30</f>
        <v>66</v>
      </c>
      <c r="AG771" s="27">
        <f t="shared" si="87"/>
        <v>62.7</v>
      </c>
      <c r="AH771" s="30"/>
      <c r="AI771" s="24">
        <v>3</v>
      </c>
      <c r="AJ771" s="25">
        <v>8</v>
      </c>
      <c r="AK771" s="30"/>
      <c r="AL771" s="383">
        <f>ROUNDDOWN(II3Ext!$H$30*AF771/500,1)*5</f>
        <v>13</v>
      </c>
      <c r="AM771" s="241">
        <f t="shared" si="89"/>
        <v>13</v>
      </c>
      <c r="AN771" s="28">
        <f t="shared" si="88"/>
        <v>0.5</v>
      </c>
    </row>
    <row r="772" spans="21:40" ht="12.75" customHeight="1" x14ac:dyDescent="0.2">
      <c r="U772" s="251"/>
      <c r="V772" s="250"/>
      <c r="W772" s="383"/>
      <c r="X772" s="383"/>
      <c r="Y772" s="30"/>
      <c r="Z772" s="383"/>
      <c r="AA772" s="383"/>
      <c r="AB772" s="15"/>
      <c r="AC772" s="46" t="s">
        <v>9</v>
      </c>
      <c r="AD772" s="34">
        <v>7</v>
      </c>
      <c r="AE772" s="35"/>
      <c r="AF772" s="47">
        <f>II3Ext!$H$35+8*(100-II3Ext!$H$35)/30</f>
        <v>62.6</v>
      </c>
      <c r="AG772" s="48">
        <f t="shared" si="87"/>
        <v>59.300000000000004</v>
      </c>
      <c r="AH772" s="30"/>
      <c r="AI772" s="46" t="s">
        <v>9</v>
      </c>
      <c r="AJ772" s="34">
        <v>7</v>
      </c>
      <c r="AK772" s="35"/>
      <c r="AL772" s="383">
        <f>ROUNDDOWN(II3Ext!$H$30*AF772/500,1)*5</f>
        <v>12.5</v>
      </c>
      <c r="AM772" s="241">
        <f t="shared" si="89"/>
        <v>12</v>
      </c>
      <c r="AN772" s="38">
        <f t="shared" si="88"/>
        <v>1</v>
      </c>
    </row>
    <row r="773" spans="21:40" ht="12.75" customHeight="1" x14ac:dyDescent="0.2">
      <c r="U773" s="251"/>
      <c r="V773" s="250"/>
      <c r="W773" s="383"/>
      <c r="X773" s="383"/>
      <c r="Y773" s="30"/>
      <c r="Z773" s="383"/>
      <c r="AA773" s="383"/>
      <c r="AB773" s="15"/>
      <c r="AC773" s="43" t="s">
        <v>36</v>
      </c>
      <c r="AD773" s="25">
        <v>6</v>
      </c>
      <c r="AE773" s="30"/>
      <c r="AF773" s="26">
        <f>II3Ext!$H$35+6*(100-II3Ext!$H$35)/30</f>
        <v>59.2</v>
      </c>
      <c r="AG773" s="27">
        <f t="shared" si="87"/>
        <v>55.9</v>
      </c>
      <c r="AH773" s="30"/>
      <c r="AI773" s="43" t="s">
        <v>36</v>
      </c>
      <c r="AJ773" s="25">
        <v>6</v>
      </c>
      <c r="AK773" s="30"/>
      <c r="AL773" s="383">
        <f>ROUNDDOWN(II3Ext!$H$30*AF773/500,1)*5</f>
        <v>11.5</v>
      </c>
      <c r="AM773" s="241">
        <f t="shared" si="89"/>
        <v>11.5</v>
      </c>
      <c r="AN773" s="28">
        <f t="shared" si="88"/>
        <v>0.5</v>
      </c>
    </row>
    <row r="774" spans="21:40" ht="12.75" customHeight="1" x14ac:dyDescent="0.2">
      <c r="U774" s="251"/>
      <c r="V774" s="250"/>
      <c r="W774" s="383"/>
      <c r="X774" s="383"/>
      <c r="Y774" s="30"/>
      <c r="Z774" s="383"/>
      <c r="AA774" s="383"/>
      <c r="AB774" s="15"/>
      <c r="AC774" s="24">
        <v>4</v>
      </c>
      <c r="AD774" s="25">
        <v>5</v>
      </c>
      <c r="AE774" s="30"/>
      <c r="AF774" s="26">
        <f>II3Ext!$H$35+4*(100-II3Ext!$H$35)/30</f>
        <v>55.8</v>
      </c>
      <c r="AG774" s="27">
        <f t="shared" si="87"/>
        <v>52.5</v>
      </c>
      <c r="AH774" s="30"/>
      <c r="AI774" s="24">
        <v>4</v>
      </c>
      <c r="AJ774" s="25">
        <v>5</v>
      </c>
      <c r="AK774" s="30"/>
      <c r="AL774" s="383">
        <f>ROUNDDOWN(II3Ext!$H$30*AF774/500,1)*5</f>
        <v>11</v>
      </c>
      <c r="AM774" s="241">
        <f t="shared" si="89"/>
        <v>10.5</v>
      </c>
      <c r="AN774" s="28">
        <f t="shared" si="88"/>
        <v>1</v>
      </c>
    </row>
    <row r="775" spans="21:40" ht="12.75" customHeight="1" x14ac:dyDescent="0.2">
      <c r="U775" s="251"/>
      <c r="V775" s="250"/>
      <c r="W775" s="383"/>
      <c r="X775" s="383"/>
      <c r="Y775" s="30"/>
      <c r="Z775" s="383"/>
      <c r="AA775" s="383"/>
      <c r="AB775" s="15"/>
      <c r="AC775" s="46" t="s">
        <v>9</v>
      </c>
      <c r="AD775" s="34">
        <v>4</v>
      </c>
      <c r="AE775" s="35"/>
      <c r="AF775" s="47">
        <f>II3Ext!$H$35+2*(100-II3Ext!$H$35)/30</f>
        <v>52.4</v>
      </c>
      <c r="AG775" s="48">
        <f t="shared" si="87"/>
        <v>49.1</v>
      </c>
      <c r="AH775" s="30"/>
      <c r="AI775" s="46" t="s">
        <v>9</v>
      </c>
      <c r="AJ775" s="34">
        <v>4</v>
      </c>
      <c r="AK775" s="35"/>
      <c r="AL775" s="383">
        <f>ROUNDDOWN(II3Ext!$H$30*AF775/500,1)*5</f>
        <v>10</v>
      </c>
      <c r="AM775" s="241">
        <f t="shared" si="89"/>
        <v>10</v>
      </c>
      <c r="AN775" s="38">
        <f t="shared" si="88"/>
        <v>0.5</v>
      </c>
    </row>
    <row r="776" spans="21:40" ht="12.75" customHeight="1" x14ac:dyDescent="0.2">
      <c r="U776" s="251"/>
      <c r="V776" s="250"/>
      <c r="W776" s="383"/>
      <c r="X776" s="383"/>
      <c r="Y776" s="30"/>
      <c r="Z776" s="383"/>
      <c r="AA776" s="383"/>
      <c r="AB776" s="15"/>
      <c r="AC776" s="43" t="s">
        <v>36</v>
      </c>
      <c r="AD776" s="25">
        <v>3</v>
      </c>
      <c r="AE776" s="30"/>
      <c r="AF776" s="26">
        <f>II3Ext!$H$35</f>
        <v>49</v>
      </c>
      <c r="AG776" s="27">
        <f>AF777+0.01</f>
        <v>44.01</v>
      </c>
      <c r="AH776" s="30"/>
      <c r="AI776" s="43" t="s">
        <v>36</v>
      </c>
      <c r="AJ776" s="25">
        <v>3</v>
      </c>
      <c r="AK776" s="30"/>
      <c r="AL776" s="383">
        <f>ROUNDDOWN(II3Ext!$H$30*AF776/500,1)*5</f>
        <v>9.5</v>
      </c>
      <c r="AM776" s="241">
        <f t="shared" si="89"/>
        <v>9</v>
      </c>
      <c r="AN776" s="28">
        <f t="shared" si="88"/>
        <v>1</v>
      </c>
    </row>
    <row r="777" spans="21:40" ht="12.75" customHeight="1" x14ac:dyDescent="0.2">
      <c r="U777" s="251"/>
      <c r="V777" s="250"/>
      <c r="W777" s="383"/>
      <c r="X777" s="383"/>
      <c r="Y777" s="30"/>
      <c r="Z777" s="383"/>
      <c r="AA777" s="383"/>
      <c r="AB777" s="15"/>
      <c r="AC777" s="24">
        <v>5</v>
      </c>
      <c r="AD777" s="25">
        <v>2</v>
      </c>
      <c r="AE777" s="30"/>
      <c r="AF777" s="26">
        <f>AG778+2*(AF776-AG778)/3</f>
        <v>44</v>
      </c>
      <c r="AG777" s="27">
        <f>AF778+0.01</f>
        <v>39.01</v>
      </c>
      <c r="AH777" s="30"/>
      <c r="AI777" s="24">
        <v>5</v>
      </c>
      <c r="AJ777" s="25">
        <v>2</v>
      </c>
      <c r="AK777" s="30"/>
      <c r="AL777" s="383">
        <f>ROUNDDOWN(II3Ext!$H$30*AF777/500,1)*5</f>
        <v>8.5</v>
      </c>
      <c r="AM777" s="241">
        <f t="shared" si="89"/>
        <v>8</v>
      </c>
      <c r="AN777" s="28">
        <f t="shared" si="88"/>
        <v>1</v>
      </c>
    </row>
    <row r="778" spans="21:40" ht="12.75" customHeight="1" x14ac:dyDescent="0.2">
      <c r="U778" s="251"/>
      <c r="V778" s="250"/>
      <c r="W778" s="383"/>
      <c r="X778" s="250"/>
      <c r="Y778" s="30"/>
      <c r="Z778" s="383"/>
      <c r="AA778" s="383"/>
      <c r="AB778" s="15"/>
      <c r="AC778" s="46" t="s">
        <v>9</v>
      </c>
      <c r="AD778" s="34">
        <v>1</v>
      </c>
      <c r="AE778" s="35"/>
      <c r="AF778" s="47">
        <f>AG778+(AF776-AG778)/3</f>
        <v>39</v>
      </c>
      <c r="AG778" s="48">
        <f>II3Ext!$H$34</f>
        <v>34</v>
      </c>
      <c r="AH778" s="30"/>
      <c r="AI778" s="46" t="s">
        <v>9</v>
      </c>
      <c r="AJ778" s="34">
        <v>1</v>
      </c>
      <c r="AK778" s="35"/>
      <c r="AL778" s="383">
        <f>ROUNDDOWN(II3Ext!$H$30*AF778/500,1)*5</f>
        <v>7.5</v>
      </c>
      <c r="AM778" s="37">
        <f>ROUNDUP(II3Ext!$H$30*(II3Ext!$H$34/500),1)*5</f>
        <v>7.0000000000000009</v>
      </c>
      <c r="AN778" s="38">
        <f t="shared" si="88"/>
        <v>0.99999999999999911</v>
      </c>
    </row>
    <row r="779" spans="21:40" ht="12.75" customHeight="1" thickBot="1" x14ac:dyDescent="0.25">
      <c r="U779" s="250"/>
      <c r="V779" s="250"/>
      <c r="W779" s="383"/>
      <c r="X779" s="383"/>
      <c r="Y779" s="30"/>
      <c r="Z779" s="383"/>
      <c r="AA779" s="383"/>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500"/>
      <c r="X800" s="501"/>
      <c r="Y800" s="517" t="s">
        <v>18</v>
      </c>
      <c r="Z800" s="505" t="s">
        <v>26</v>
      </c>
      <c r="AA800" s="506"/>
      <c r="AB800" s="15"/>
      <c r="AC800" s="18" t="s">
        <v>6</v>
      </c>
      <c r="AD800" s="19" t="s">
        <v>18</v>
      </c>
      <c r="AE800" s="384"/>
      <c r="AF800" s="507" t="s">
        <v>27</v>
      </c>
      <c r="AG800" s="508"/>
      <c r="AH800" s="20"/>
      <c r="AI800" s="18" t="s">
        <v>6</v>
      </c>
      <c r="AJ800" s="19" t="s">
        <v>18</v>
      </c>
      <c r="AK800" s="21"/>
      <c r="AL800" s="509" t="s">
        <v>28</v>
      </c>
      <c r="AM800" s="510"/>
      <c r="AN800" s="22" t="s">
        <v>29</v>
      </c>
    </row>
    <row r="801" spans="21:40" ht="12.75" customHeight="1" x14ac:dyDescent="0.2">
      <c r="U801" s="23"/>
      <c r="V801" s="123" t="s">
        <v>29</v>
      </c>
      <c r="W801" s="511" t="s">
        <v>28</v>
      </c>
      <c r="X801" s="512"/>
      <c r="Y801" s="518"/>
      <c r="Z801" s="513" t="s">
        <v>31</v>
      </c>
      <c r="AA801" s="514"/>
      <c r="AB801" s="15"/>
      <c r="AC801" s="24"/>
      <c r="AD801" s="25"/>
      <c r="AE801" s="383"/>
      <c r="AF801" s="26" t="s">
        <v>32</v>
      </c>
      <c r="AG801" s="27" t="s">
        <v>33</v>
      </c>
      <c r="AH801" s="20"/>
      <c r="AI801" s="24"/>
      <c r="AJ801" s="25"/>
      <c r="AK801" s="383"/>
      <c r="AL801" s="383" t="s">
        <v>32</v>
      </c>
      <c r="AM801" s="241" t="s">
        <v>33</v>
      </c>
      <c r="AN801" s="28"/>
    </row>
    <row r="802" spans="21:40" ht="12.75" customHeight="1" x14ac:dyDescent="0.2">
      <c r="U802" s="29"/>
      <c r="V802" s="123"/>
      <c r="W802" s="385" t="s">
        <v>32</v>
      </c>
      <c r="X802" s="383" t="s">
        <v>33</v>
      </c>
      <c r="Y802" s="518"/>
      <c r="Z802" s="513" t="s">
        <v>35</v>
      </c>
      <c r="AA802" s="514"/>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519"/>
      <c r="Z803" s="77"/>
      <c r="AA803" s="28"/>
      <c r="AB803" s="30"/>
      <c r="AC803" s="33"/>
      <c r="AD803" s="34"/>
      <c r="AE803" s="35"/>
      <c r="AF803" s="41"/>
      <c r="AG803" s="42"/>
      <c r="AH803" s="30"/>
      <c r="AI803" s="43" t="s">
        <v>36</v>
      </c>
      <c r="AJ803" s="25">
        <v>15</v>
      </c>
      <c r="AK803" s="30"/>
      <c r="AL803" s="44">
        <f>AP!$E$44</f>
        <v>60</v>
      </c>
      <c r="AM803" s="241">
        <f t="shared" ref="AM803:AM816" si="90">AL804+1</f>
        <v>58</v>
      </c>
      <c r="AN803" s="28">
        <f t="shared" ref="AN803:AN817" si="91">IF(AM803&gt;AL803,"ALARM",AL803-AL804)</f>
        <v>3</v>
      </c>
    </row>
    <row r="804" spans="21:40" ht="12.75" customHeight="1" x14ac:dyDescent="0.2">
      <c r="U804" s="70"/>
      <c r="V804" s="125">
        <f>IF(AP!$E$43="M",AN803,AN846)</f>
        <v>4</v>
      </c>
      <c r="W804" s="44">
        <f>AP!$E$44</f>
        <v>60</v>
      </c>
      <c r="X804" s="241">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3">
        <f>ROUNDDOWN(AP!$E$44*AF805/100,0)</f>
        <v>57</v>
      </c>
      <c r="AM804" s="241">
        <f t="shared" si="90"/>
        <v>55</v>
      </c>
      <c r="AN804" s="28">
        <f t="shared" si="91"/>
        <v>3</v>
      </c>
    </row>
    <row r="805" spans="21:40" ht="12.75" customHeight="1" x14ac:dyDescent="0.2">
      <c r="U805" s="49"/>
      <c r="V805" s="123">
        <f>IF(AP!$E$43="M",AN804,AN847)</f>
        <v>3</v>
      </c>
      <c r="W805" s="383">
        <f t="shared" ref="W805:W819" si="94">W804-V804</f>
        <v>56</v>
      </c>
      <c r="X805" s="241">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3">
        <f>ROUNDDOWN(AP!$E$44*AF807/100,0)</f>
        <v>52</v>
      </c>
      <c r="AM806" s="241">
        <f t="shared" si="90"/>
        <v>50</v>
      </c>
      <c r="AN806" s="28">
        <f t="shared" si="91"/>
        <v>3</v>
      </c>
    </row>
    <row r="807" spans="21:40" ht="12.75" customHeight="1" x14ac:dyDescent="0.2">
      <c r="U807" s="49"/>
      <c r="V807" s="125">
        <f>IF(AP!$E$43="M",AN806,AN849)</f>
        <v>3</v>
      </c>
      <c r="W807" s="383">
        <f t="shared" si="94"/>
        <v>50</v>
      </c>
      <c r="X807" s="241">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3">
        <f>ROUNDDOWN(AP!$E$44*AF808/100,0)</f>
        <v>49</v>
      </c>
      <c r="AM807" s="241">
        <f t="shared" si="90"/>
        <v>48</v>
      </c>
      <c r="AN807" s="28">
        <f t="shared" si="91"/>
        <v>2</v>
      </c>
    </row>
    <row r="808" spans="21:40" ht="12.75" customHeight="1" x14ac:dyDescent="0.2">
      <c r="U808" s="49"/>
      <c r="V808" s="123">
        <f>IF(AP!$E$43="M",AN807,AN850)</f>
        <v>3</v>
      </c>
      <c r="W808" s="383">
        <f t="shared" si="94"/>
        <v>47</v>
      </c>
      <c r="X808" s="241">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3">
        <f>ROUNDDOWN(AP!$E$44*AF810/100,0)</f>
        <v>44</v>
      </c>
      <c r="AM809" s="241">
        <f t="shared" si="90"/>
        <v>43</v>
      </c>
      <c r="AN809" s="28">
        <f t="shared" si="91"/>
        <v>2</v>
      </c>
    </row>
    <row r="810" spans="21:40" ht="12.75" customHeight="1" x14ac:dyDescent="0.2">
      <c r="U810" s="70"/>
      <c r="V810" s="125">
        <f>IF(AP!$E$43="M",AN809,AN852)</f>
        <v>2</v>
      </c>
      <c r="W810" s="383">
        <f t="shared" si="94"/>
        <v>41</v>
      </c>
      <c r="X810" s="241">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3">
        <f>ROUNDDOWN(AP!$E$44*AF811/100,0)</f>
        <v>42</v>
      </c>
      <c r="AM810" s="241">
        <f t="shared" si="90"/>
        <v>40</v>
      </c>
      <c r="AN810" s="28">
        <f t="shared" si="91"/>
        <v>3</v>
      </c>
    </row>
    <row r="811" spans="21:40" ht="12.75" customHeight="1" x14ac:dyDescent="0.2">
      <c r="U811" s="49"/>
      <c r="V811" s="123">
        <f>IF(AP!$E$43="M",AN810,AN853)</f>
        <v>2</v>
      </c>
      <c r="W811" s="383">
        <f t="shared" si="94"/>
        <v>39</v>
      </c>
      <c r="X811" s="241">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3">
        <f>ROUNDDOWN(AP!$E$44*AF813/100,0)</f>
        <v>37</v>
      </c>
      <c r="AM812" s="241">
        <f t="shared" si="90"/>
        <v>35</v>
      </c>
      <c r="AN812" s="28">
        <f t="shared" si="91"/>
        <v>3</v>
      </c>
    </row>
    <row r="813" spans="21:40" ht="12.75" customHeight="1" x14ac:dyDescent="0.2">
      <c r="U813" s="49"/>
      <c r="V813" s="125">
        <f>IF(AP!$E$43="M",AN812,AN855)</f>
        <v>2</v>
      </c>
      <c r="W813" s="383">
        <f t="shared" si="94"/>
        <v>35</v>
      </c>
      <c r="X813" s="241">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3">
        <f>ROUNDDOWN(AP!$E$44*AF814/100,0)</f>
        <v>34</v>
      </c>
      <c r="AM813" s="241">
        <f t="shared" si="90"/>
        <v>32</v>
      </c>
      <c r="AN813" s="28">
        <f t="shared" si="91"/>
        <v>3</v>
      </c>
    </row>
    <row r="814" spans="21:40" ht="12.75" customHeight="1" x14ac:dyDescent="0.2">
      <c r="U814" s="49"/>
      <c r="V814" s="123">
        <f>IF(AP!$E$43="M",AN813,AN856)</f>
        <v>2</v>
      </c>
      <c r="W814" s="383">
        <f t="shared" si="94"/>
        <v>33</v>
      </c>
      <c r="X814" s="241">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3">
        <f>ROUNDDOWN(AP!$E$44*AF816/100,0)</f>
        <v>29</v>
      </c>
      <c r="AM815" s="241">
        <f t="shared" si="90"/>
        <v>27</v>
      </c>
      <c r="AN815" s="28">
        <f t="shared" si="91"/>
        <v>3</v>
      </c>
    </row>
    <row r="816" spans="21:40" ht="12.75" customHeight="1" x14ac:dyDescent="0.2">
      <c r="U816" s="70"/>
      <c r="V816" s="125">
        <f>IF(AP!$E$43="M",AN815,AN858)</f>
        <v>3</v>
      </c>
      <c r="W816" s="383">
        <f t="shared" si="94"/>
        <v>29</v>
      </c>
      <c r="X816" s="241">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3">
        <f>ROUNDDOWN(AP!$E$44*AF817/100,0)</f>
        <v>26</v>
      </c>
      <c r="AM816" s="241">
        <f t="shared" si="90"/>
        <v>24</v>
      </c>
      <c r="AN816" s="28">
        <f t="shared" si="91"/>
        <v>3</v>
      </c>
    </row>
    <row r="817" spans="21:40" ht="12.75" customHeight="1" x14ac:dyDescent="0.2">
      <c r="U817" s="49"/>
      <c r="V817" s="123">
        <f>IF(AP!$E$43="M",AN816,AN859)</f>
        <v>3</v>
      </c>
      <c r="W817" s="383">
        <f t="shared" si="94"/>
        <v>26</v>
      </c>
      <c r="X817" s="241">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3"/>
      <c r="AJ841" s="26"/>
      <c r="AK841" s="26"/>
      <c r="AL841" s="20"/>
      <c r="AM841" s="53"/>
      <c r="AN841" s="383"/>
    </row>
    <row r="842" spans="21:40" ht="12.75" customHeight="1" thickBot="1" x14ac:dyDescent="0.25">
      <c r="U842" s="383"/>
      <c r="V842" s="250"/>
      <c r="W842" s="516"/>
      <c r="X842" s="516"/>
      <c r="Y842" s="30"/>
      <c r="Z842" s="516"/>
      <c r="AA842" s="516"/>
      <c r="AB842" s="15"/>
      <c r="AC842" s="30"/>
      <c r="AD842" s="383"/>
      <c r="AE842" s="383"/>
      <c r="AF842" s="26"/>
      <c r="AG842" s="26"/>
      <c r="AH842" s="20"/>
      <c r="AI842" s="30"/>
      <c r="AJ842" s="383"/>
      <c r="AK842" s="30"/>
      <c r="AL842" s="383"/>
      <c r="AM842" s="383"/>
      <c r="AN842" s="383"/>
    </row>
    <row r="843" spans="21:40" ht="12.75" customHeight="1" x14ac:dyDescent="0.2">
      <c r="U843" s="251"/>
      <c r="V843" s="250"/>
      <c r="W843" s="512"/>
      <c r="X843" s="512"/>
      <c r="Y843" s="30"/>
      <c r="Z843" s="516"/>
      <c r="AA843" s="516"/>
      <c r="AB843" s="15"/>
      <c r="AC843" s="18" t="s">
        <v>6</v>
      </c>
      <c r="AD843" s="19" t="s">
        <v>18</v>
      </c>
      <c r="AE843" s="384"/>
      <c r="AF843" s="507" t="s">
        <v>27</v>
      </c>
      <c r="AG843" s="508"/>
      <c r="AH843" s="20"/>
      <c r="AI843" s="18" t="s">
        <v>6</v>
      </c>
      <c r="AJ843" s="19" t="s">
        <v>18</v>
      </c>
      <c r="AK843" s="21"/>
      <c r="AL843" s="509" t="s">
        <v>28</v>
      </c>
      <c r="AM843" s="510"/>
      <c r="AN843" s="22" t="s">
        <v>29</v>
      </c>
    </row>
    <row r="844" spans="21:40" ht="12.75" customHeight="1" x14ac:dyDescent="0.2">
      <c r="U844" s="252"/>
      <c r="V844" s="250"/>
      <c r="W844" s="383"/>
      <c r="X844" s="383"/>
      <c r="Y844" s="30"/>
      <c r="Z844" s="516"/>
      <c r="AA844" s="516"/>
      <c r="AB844" s="15"/>
      <c r="AC844" s="24"/>
      <c r="AD844" s="25"/>
      <c r="AE844" s="383"/>
      <c r="AF844" s="26" t="s">
        <v>32</v>
      </c>
      <c r="AG844" s="27" t="s">
        <v>33</v>
      </c>
      <c r="AH844" s="20"/>
      <c r="AI844" s="24"/>
      <c r="AJ844" s="25"/>
      <c r="AK844" s="383"/>
      <c r="AL844" s="383" t="s">
        <v>32</v>
      </c>
      <c r="AM844" s="241" t="s">
        <v>33</v>
      </c>
      <c r="AN844" s="28"/>
    </row>
    <row r="845" spans="21:40" ht="12.75" customHeight="1" x14ac:dyDescent="0.2">
      <c r="U845" s="30"/>
      <c r="V845" s="250"/>
      <c r="W845" s="383"/>
      <c r="X845" s="383"/>
      <c r="Y845" s="30"/>
      <c r="Z845" s="383"/>
      <c r="AA845" s="383"/>
      <c r="AB845" s="15"/>
      <c r="AC845" s="33"/>
      <c r="AD845" s="34"/>
      <c r="AE845" s="35"/>
      <c r="AF845" s="41"/>
      <c r="AG845" s="42"/>
      <c r="AH845" s="30"/>
      <c r="AI845" s="33"/>
      <c r="AJ845" s="34"/>
      <c r="AK845" s="35"/>
      <c r="AL845" s="36"/>
      <c r="AM845" s="37"/>
      <c r="AN845" s="38"/>
    </row>
    <row r="846" spans="21:40" ht="12.75" customHeight="1" x14ac:dyDescent="0.2">
      <c r="U846" s="251"/>
      <c r="V846" s="250"/>
      <c r="W846" s="44"/>
      <c r="X846" s="383"/>
      <c r="Y846" s="30"/>
      <c r="Z846" s="383"/>
      <c r="AA846" s="383"/>
      <c r="AB846" s="15"/>
      <c r="AC846" s="43" t="s">
        <v>36</v>
      </c>
      <c r="AD846" s="25">
        <v>15</v>
      </c>
      <c r="AE846" s="30"/>
      <c r="AF846" s="26">
        <f>AP!$I$44+30*(100-AP!$I$44)/30</f>
        <v>100</v>
      </c>
      <c r="AG846" s="27">
        <f t="shared" ref="AG846:AG857" si="96">AF847+0.1</f>
        <v>95</v>
      </c>
      <c r="AH846" s="30"/>
      <c r="AI846" s="43" t="s">
        <v>36</v>
      </c>
      <c r="AJ846" s="25">
        <v>15</v>
      </c>
      <c r="AK846" s="30"/>
      <c r="AL846" s="44">
        <f>AP!$E$44</f>
        <v>60</v>
      </c>
      <c r="AM846" s="241">
        <f t="shared" ref="AM846:AM859" si="97">AL847+1</f>
        <v>57</v>
      </c>
      <c r="AN846" s="28">
        <f t="shared" ref="AN846:AN860" si="98">IF(AM846&gt;AL846,"ALARM",AL846-AL847)</f>
        <v>4</v>
      </c>
    </row>
    <row r="847" spans="21:40" ht="12.75" customHeight="1" x14ac:dyDescent="0.2">
      <c r="U847" s="251"/>
      <c r="V847" s="250"/>
      <c r="W847" s="383"/>
      <c r="X847" s="383"/>
      <c r="Y847" s="30"/>
      <c r="Z847" s="383"/>
      <c r="AA847" s="383"/>
      <c r="AB847" s="15"/>
      <c r="AC847" s="24">
        <v>1</v>
      </c>
      <c r="AD847" s="25">
        <v>14</v>
      </c>
      <c r="AE847" s="30"/>
      <c r="AF847" s="26">
        <f>AP!$I$44+27*(100-AP!$I$44)/30</f>
        <v>94.9</v>
      </c>
      <c r="AG847" s="27">
        <f t="shared" si="96"/>
        <v>89.899999999999991</v>
      </c>
      <c r="AH847" s="30"/>
      <c r="AI847" s="24">
        <v>1</v>
      </c>
      <c r="AJ847" s="25">
        <v>14</v>
      </c>
      <c r="AK847" s="30"/>
      <c r="AL847" s="383">
        <f>ROUNDDOWN(AP!$E$44*AF847/100,0)</f>
        <v>56</v>
      </c>
      <c r="AM847" s="241">
        <f t="shared" si="97"/>
        <v>54</v>
      </c>
      <c r="AN847" s="28">
        <f t="shared" si="98"/>
        <v>3</v>
      </c>
    </row>
    <row r="848" spans="21:40" ht="12.75" customHeight="1" x14ac:dyDescent="0.2">
      <c r="U848" s="251"/>
      <c r="V848" s="250"/>
      <c r="W848" s="383"/>
      <c r="X848" s="383"/>
      <c r="Y848" s="30"/>
      <c r="Z848" s="383"/>
      <c r="AA848" s="383"/>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1"/>
      <c r="V849" s="250"/>
      <c r="W849" s="383"/>
      <c r="X849" s="383"/>
      <c r="Y849" s="30"/>
      <c r="Z849" s="383"/>
      <c r="AA849" s="383"/>
      <c r="AB849" s="15"/>
      <c r="AC849" s="43" t="s">
        <v>36</v>
      </c>
      <c r="AD849" s="25">
        <v>12</v>
      </c>
      <c r="AE849" s="30"/>
      <c r="AF849" s="26">
        <f>AP!$I$44+21*(100-AP!$I$44)/30</f>
        <v>84.7</v>
      </c>
      <c r="AG849" s="27">
        <f t="shared" si="96"/>
        <v>79.699999999999989</v>
      </c>
      <c r="AH849" s="30"/>
      <c r="AI849" s="43" t="s">
        <v>36</v>
      </c>
      <c r="AJ849" s="25">
        <v>12</v>
      </c>
      <c r="AK849" s="30"/>
      <c r="AL849" s="383">
        <f>ROUNDDOWN(AP!$E$44*AF849/100,0)</f>
        <v>50</v>
      </c>
      <c r="AM849" s="241">
        <f t="shared" si="97"/>
        <v>48</v>
      </c>
      <c r="AN849" s="28">
        <f t="shared" si="98"/>
        <v>3</v>
      </c>
    </row>
    <row r="850" spans="21:40" ht="12.75" customHeight="1" x14ac:dyDescent="0.2">
      <c r="U850" s="251"/>
      <c r="V850" s="250"/>
      <c r="W850" s="383"/>
      <c r="X850" s="383"/>
      <c r="Y850" s="30"/>
      <c r="Z850" s="383"/>
      <c r="AA850" s="383"/>
      <c r="AB850" s="15"/>
      <c r="AC850" s="24">
        <v>2</v>
      </c>
      <c r="AD850" s="25">
        <v>11</v>
      </c>
      <c r="AE850" s="30"/>
      <c r="AF850" s="26">
        <f>AP!$I$44+18*(100-AP!$I$44)/30</f>
        <v>79.599999999999994</v>
      </c>
      <c r="AG850" s="27">
        <f t="shared" si="96"/>
        <v>74.599999999999994</v>
      </c>
      <c r="AH850" s="30"/>
      <c r="AI850" s="24">
        <v>2</v>
      </c>
      <c r="AJ850" s="25">
        <v>11</v>
      </c>
      <c r="AK850" s="30"/>
      <c r="AL850" s="383">
        <f>ROUNDDOWN(AP!$E$44*AF850/100,0)</f>
        <v>47</v>
      </c>
      <c r="AM850" s="241">
        <f t="shared" si="97"/>
        <v>45</v>
      </c>
      <c r="AN850" s="28">
        <f t="shared" si="98"/>
        <v>3</v>
      </c>
    </row>
    <row r="851" spans="21:40" ht="12.75" customHeight="1" x14ac:dyDescent="0.2">
      <c r="U851" s="251"/>
      <c r="V851" s="250"/>
      <c r="W851" s="383"/>
      <c r="X851" s="383"/>
      <c r="Y851" s="30"/>
      <c r="Z851" s="383"/>
      <c r="AA851" s="383"/>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1"/>
      <c r="V852" s="250"/>
      <c r="W852" s="383"/>
      <c r="X852" s="383"/>
      <c r="Y852" s="30"/>
      <c r="Z852" s="383"/>
      <c r="AA852" s="383"/>
      <c r="AB852" s="15"/>
      <c r="AC852" s="43" t="s">
        <v>36</v>
      </c>
      <c r="AD852" s="25">
        <v>9</v>
      </c>
      <c r="AE852" s="30"/>
      <c r="AF852" s="26">
        <f>AP!$I$44+12*(100-AP!$I$44)/30</f>
        <v>69.400000000000006</v>
      </c>
      <c r="AG852" s="27">
        <f t="shared" si="96"/>
        <v>66.099999999999994</v>
      </c>
      <c r="AH852" s="30"/>
      <c r="AI852" s="43" t="s">
        <v>36</v>
      </c>
      <c r="AJ852" s="25">
        <v>9</v>
      </c>
      <c r="AK852" s="30"/>
      <c r="AL852" s="383">
        <f>ROUNDDOWN(AP!$E$44*AF852/100,0)</f>
        <v>41</v>
      </c>
      <c r="AM852" s="241">
        <f t="shared" si="97"/>
        <v>40</v>
      </c>
      <c r="AN852" s="28">
        <f t="shared" si="98"/>
        <v>2</v>
      </c>
    </row>
    <row r="853" spans="21:40" ht="12.75" customHeight="1" x14ac:dyDescent="0.2">
      <c r="U853" s="251"/>
      <c r="V853" s="250"/>
      <c r="W853" s="383"/>
      <c r="X853" s="383"/>
      <c r="Y853" s="30"/>
      <c r="Z853" s="383"/>
      <c r="AA853" s="383"/>
      <c r="AB853" s="15"/>
      <c r="AC853" s="24">
        <v>3</v>
      </c>
      <c r="AD853" s="25">
        <v>8</v>
      </c>
      <c r="AE853" s="30"/>
      <c r="AF853" s="26">
        <f>AP!$I$44+10*(100-AP!$I$44)/30</f>
        <v>66</v>
      </c>
      <c r="AG853" s="27">
        <f t="shared" si="96"/>
        <v>62.7</v>
      </c>
      <c r="AH853" s="30"/>
      <c r="AI853" s="24">
        <v>3</v>
      </c>
      <c r="AJ853" s="25">
        <v>8</v>
      </c>
      <c r="AK853" s="30"/>
      <c r="AL853" s="383">
        <f>ROUNDDOWN(AP!$E$44*AF853/100,0)</f>
        <v>39</v>
      </c>
      <c r="AM853" s="241">
        <f t="shared" si="97"/>
        <v>38</v>
      </c>
      <c r="AN853" s="28">
        <f t="shared" si="98"/>
        <v>2</v>
      </c>
    </row>
    <row r="854" spans="21:40" ht="12.75" customHeight="1" x14ac:dyDescent="0.2">
      <c r="U854" s="251"/>
      <c r="V854" s="250"/>
      <c r="W854" s="383"/>
      <c r="X854" s="383"/>
      <c r="Y854" s="30"/>
      <c r="Z854" s="383"/>
      <c r="AA854" s="383"/>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1"/>
      <c r="V855" s="250"/>
      <c r="W855" s="383"/>
      <c r="X855" s="383"/>
      <c r="Y855" s="30"/>
      <c r="Z855" s="383"/>
      <c r="AA855" s="383"/>
      <c r="AB855" s="15"/>
      <c r="AC855" s="43" t="s">
        <v>36</v>
      </c>
      <c r="AD855" s="25">
        <v>6</v>
      </c>
      <c r="AE855" s="30"/>
      <c r="AF855" s="26">
        <f>AP!$I$44+6*(100-AP!$I$44)/30</f>
        <v>59.2</v>
      </c>
      <c r="AG855" s="27">
        <f t="shared" si="96"/>
        <v>55.9</v>
      </c>
      <c r="AH855" s="30"/>
      <c r="AI855" s="43" t="s">
        <v>36</v>
      </c>
      <c r="AJ855" s="25">
        <v>6</v>
      </c>
      <c r="AK855" s="30"/>
      <c r="AL855" s="383">
        <f>ROUNDDOWN(AP!$E$44*AF855/100,0)</f>
        <v>35</v>
      </c>
      <c r="AM855" s="241">
        <f t="shared" si="97"/>
        <v>34</v>
      </c>
      <c r="AN855" s="28">
        <f t="shared" si="98"/>
        <v>2</v>
      </c>
    </row>
    <row r="856" spans="21:40" ht="12.75" customHeight="1" x14ac:dyDescent="0.2">
      <c r="U856" s="251"/>
      <c r="V856" s="250"/>
      <c r="W856" s="383"/>
      <c r="X856" s="383"/>
      <c r="Y856" s="30"/>
      <c r="Z856" s="383"/>
      <c r="AA856" s="383"/>
      <c r="AB856" s="15"/>
      <c r="AC856" s="24">
        <v>4</v>
      </c>
      <c r="AD856" s="25">
        <v>5</v>
      </c>
      <c r="AE856" s="30"/>
      <c r="AF856" s="26">
        <f>AP!$I$44+4*(100-AP!$I$44)/30</f>
        <v>55.8</v>
      </c>
      <c r="AG856" s="27">
        <f t="shared" si="96"/>
        <v>52.5</v>
      </c>
      <c r="AH856" s="30"/>
      <c r="AI856" s="24">
        <v>4</v>
      </c>
      <c r="AJ856" s="25">
        <v>5</v>
      </c>
      <c r="AK856" s="30"/>
      <c r="AL856" s="383">
        <f>ROUNDDOWN(AP!$E$44*AF856/100,0)</f>
        <v>33</v>
      </c>
      <c r="AM856" s="241">
        <f t="shared" si="97"/>
        <v>32</v>
      </c>
      <c r="AN856" s="28">
        <f t="shared" si="98"/>
        <v>2</v>
      </c>
    </row>
    <row r="857" spans="21:40" ht="12.75" customHeight="1" x14ac:dyDescent="0.2">
      <c r="U857" s="251"/>
      <c r="V857" s="250"/>
      <c r="W857" s="383"/>
      <c r="X857" s="383"/>
      <c r="Y857" s="30"/>
      <c r="Z857" s="383"/>
      <c r="AA857" s="383"/>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1"/>
      <c r="V858" s="250"/>
      <c r="W858" s="383"/>
      <c r="X858" s="383"/>
      <c r="Y858" s="30"/>
      <c r="Z858" s="383"/>
      <c r="AA858" s="383"/>
      <c r="AB858" s="15"/>
      <c r="AC858" s="43" t="s">
        <v>36</v>
      </c>
      <c r="AD858" s="25">
        <v>3</v>
      </c>
      <c r="AE858" s="30"/>
      <c r="AF858" s="26">
        <f>AP!$I$44</f>
        <v>49</v>
      </c>
      <c r="AG858" s="27">
        <f>AF859+0.01</f>
        <v>44.01</v>
      </c>
      <c r="AH858" s="30"/>
      <c r="AI858" s="43" t="s">
        <v>36</v>
      </c>
      <c r="AJ858" s="25">
        <v>3</v>
      </c>
      <c r="AK858" s="30"/>
      <c r="AL858" s="383">
        <f>ROUNDDOWN(AP!$E$44*AF858/100,0)</f>
        <v>29</v>
      </c>
      <c r="AM858" s="241">
        <f t="shared" si="97"/>
        <v>27</v>
      </c>
      <c r="AN858" s="28">
        <f t="shared" si="98"/>
        <v>3</v>
      </c>
    </row>
    <row r="859" spans="21:40" ht="12.75" customHeight="1" x14ac:dyDescent="0.2">
      <c r="U859" s="251"/>
      <c r="V859" s="250"/>
      <c r="W859" s="383"/>
      <c r="X859" s="383"/>
      <c r="Y859" s="30"/>
      <c r="Z859" s="383"/>
      <c r="AA859" s="383"/>
      <c r="AB859" s="15"/>
      <c r="AC859" s="24">
        <v>5</v>
      </c>
      <c r="AD859" s="25">
        <v>2</v>
      </c>
      <c r="AE859" s="30"/>
      <c r="AF859" s="26">
        <f>AG860+2*(AF858-AG860)/3</f>
        <v>44</v>
      </c>
      <c r="AG859" s="27">
        <f>AF860+0.01</f>
        <v>39.01</v>
      </c>
      <c r="AH859" s="30"/>
      <c r="AI859" s="24">
        <v>5</v>
      </c>
      <c r="AJ859" s="25">
        <v>2</v>
      </c>
      <c r="AK859" s="30"/>
      <c r="AL859" s="383">
        <f>ROUNDDOWN(AP!$E$44*AF859/100,0)</f>
        <v>26</v>
      </c>
      <c r="AM859" s="241">
        <f t="shared" si="97"/>
        <v>24</v>
      </c>
      <c r="AN859" s="28">
        <f t="shared" si="98"/>
        <v>3</v>
      </c>
    </row>
    <row r="860" spans="21:40" ht="12.75" customHeight="1" x14ac:dyDescent="0.2">
      <c r="U860" s="251"/>
      <c r="V860" s="250"/>
      <c r="W860" s="383"/>
      <c r="X860" s="250"/>
      <c r="Y860" s="30"/>
      <c r="Z860" s="383"/>
      <c r="AA860" s="383"/>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50"/>
      <c r="V861" s="250"/>
      <c r="W861" s="383"/>
      <c r="X861" s="383"/>
      <c r="Y861" s="30"/>
      <c r="Z861" s="383"/>
      <c r="AA861" s="383"/>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AF117:AG117"/>
    <mergeCell ref="AL117:AM117"/>
    <mergeCell ref="Z118:AA118"/>
    <mergeCell ref="W157:X157"/>
    <mergeCell ref="Y157:Y160"/>
    <mergeCell ref="Z157:AA157"/>
    <mergeCell ref="AF157:AG157"/>
    <mergeCell ref="AL157:AM157"/>
    <mergeCell ref="W158:X158"/>
    <mergeCell ref="Z158:AA158"/>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74:AG74"/>
    <mergeCell ref="AL74:AM74"/>
    <mergeCell ref="F4:G4"/>
    <mergeCell ref="L4:M4"/>
    <mergeCell ref="N4:O4"/>
    <mergeCell ref="Z4:AA4"/>
    <mergeCell ref="W44:X44"/>
    <mergeCell ref="Z44:AA44"/>
    <mergeCell ref="W75:X75"/>
    <mergeCell ref="Z75:AA75"/>
    <mergeCell ref="W2:X2"/>
    <mergeCell ref="Y2:Y5"/>
    <mergeCell ref="Z2:AA2"/>
    <mergeCell ref="AF2:AG2"/>
    <mergeCell ref="AL2:AM2"/>
    <mergeCell ref="W3:X3"/>
    <mergeCell ref="Z3:AA3"/>
    <mergeCell ref="AF45:AG45"/>
    <mergeCell ref="AL45:AM45"/>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140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43</v>
      </c>
      <c r="C1" s="520" t="str">
        <f>IF(Notenbogen!E1="","",Notenbogen!E1)</f>
        <v/>
      </c>
      <c r="D1" s="520"/>
      <c r="E1" s="520"/>
      <c r="F1" s="160" t="s">
        <v>13</v>
      </c>
      <c r="G1" s="521"/>
      <c r="H1" s="522"/>
      <c r="I1" s="161"/>
      <c r="J1" s="161"/>
      <c r="K1" s="162"/>
    </row>
    <row r="2" spans="1:14" x14ac:dyDescent="0.2">
      <c r="A2" s="158"/>
      <c r="B2" s="164" t="s">
        <v>11</v>
      </c>
      <c r="C2" s="165" t="str">
        <f>IF(Notenbogen!B1="","",Notenbogen!B1)</f>
        <v/>
      </c>
      <c r="D2" s="165"/>
      <c r="E2" s="166"/>
      <c r="F2" s="164" t="s">
        <v>0</v>
      </c>
      <c r="G2" s="167" t="str">
        <f>IF(Notenbogen!M1="","",Notenbogen!M1)</f>
        <v/>
      </c>
      <c r="H2" s="158"/>
      <c r="I2" s="158"/>
      <c r="J2" s="158"/>
      <c r="K2" s="113"/>
      <c r="L2" s="114"/>
      <c r="M2" s="114"/>
      <c r="N2" s="114"/>
    </row>
    <row r="3" spans="1:14" x14ac:dyDescent="0.2">
      <c r="A3" s="9" t="s">
        <v>3</v>
      </c>
      <c r="B3" s="145" t="s">
        <v>4</v>
      </c>
      <c r="C3" s="9" t="s">
        <v>18</v>
      </c>
      <c r="D3" s="9" t="s">
        <v>19</v>
      </c>
      <c r="E3" s="99" t="s">
        <v>42</v>
      </c>
      <c r="F3" s="114"/>
      <c r="G3" s="161" t="s">
        <v>48</v>
      </c>
      <c r="H3" s="109" t="s">
        <v>19</v>
      </c>
      <c r="I3" s="158"/>
      <c r="J3" s="158"/>
      <c r="K3" s="113"/>
      <c r="L3" s="115"/>
      <c r="M3" s="115"/>
      <c r="N3" s="114"/>
    </row>
    <row r="4" spans="1:14" x14ac:dyDescent="0.2">
      <c r="A4" s="9">
        <v>1</v>
      </c>
      <c r="B4" s="145" t="str">
        <f>IF(Notenbogen!B4&lt;&gt;"", Notenbogen!B4, "")</f>
        <v/>
      </c>
      <c r="C4" s="154" t="str">
        <f>IF(D4="","",IF($H$3="BE",LOOKUP(IF(E4="",D4+0.01,D4*$H$30/E4+0.5),NB!$X$24:$X$39,NB!$Y$24:$Y$39),D4))</f>
        <v/>
      </c>
      <c r="D4" s="4"/>
      <c r="E4" s="104"/>
      <c r="F4" s="158"/>
      <c r="G4" s="158"/>
      <c r="H4" s="158"/>
      <c r="I4" s="158"/>
      <c r="J4" s="168" t="str">
        <f t="shared" ref="J4:J38" si="0">+B4&amp;D4</f>
        <v/>
      </c>
      <c r="K4" s="113"/>
      <c r="L4" s="110"/>
      <c r="M4" s="110"/>
      <c r="N4" s="114"/>
    </row>
    <row r="5" spans="1:14" x14ac:dyDescent="0.2">
      <c r="A5" s="9">
        <v>2</v>
      </c>
      <c r="B5" s="145" t="str">
        <f>IF(Notenbogen!B5&lt;&gt;"", Notenbogen!B5, "")</f>
        <v/>
      </c>
      <c r="C5" s="154" t="str">
        <f>IF(D5="","",IF($H$3="BE",LOOKUP(IF(E5="",D5+0.01,D5*$H$30/E5+0.5),NB!$X$24:$X$39,NB!$Y$24:$Y$39),D5))</f>
        <v/>
      </c>
      <c r="D5" s="4"/>
      <c r="E5" s="104"/>
      <c r="F5" s="523" t="s">
        <v>12</v>
      </c>
      <c r="G5" s="524"/>
      <c r="H5" s="524"/>
      <c r="I5" s="158"/>
      <c r="J5" s="168" t="str">
        <f t="shared" si="0"/>
        <v/>
      </c>
      <c r="K5" s="113"/>
      <c r="L5" s="110"/>
      <c r="M5" s="110"/>
      <c r="N5" s="114"/>
    </row>
    <row r="6" spans="1:14" x14ac:dyDescent="0.2">
      <c r="A6" s="9">
        <v>3</v>
      </c>
      <c r="B6" s="145" t="str">
        <f>IF(Notenbogen!B6&lt;&gt;"", Notenbogen!B6, "")</f>
        <v/>
      </c>
      <c r="C6" s="154" t="str">
        <f>IF(D6="","",IF($H$3="BE",LOOKUP(IF(E6="",D6+0.01,D6*$H$30/E6+0.5),NB!$X$24:$X$39,NB!$Y$24:$Y$39),D6))</f>
        <v/>
      </c>
      <c r="D6" s="4"/>
      <c r="E6" s="104"/>
      <c r="F6" s="169" t="s">
        <v>18</v>
      </c>
      <c r="G6" s="137" t="s">
        <v>5</v>
      </c>
      <c r="H6" s="169" t="s">
        <v>17</v>
      </c>
      <c r="I6" s="158"/>
      <c r="J6" s="168" t="str">
        <f t="shared" si="0"/>
        <v/>
      </c>
      <c r="K6" s="113"/>
      <c r="L6" s="110"/>
      <c r="M6" s="110"/>
      <c r="N6" s="114"/>
    </row>
    <row r="7" spans="1:14" x14ac:dyDescent="0.2">
      <c r="A7" s="9">
        <v>4</v>
      </c>
      <c r="B7" s="145" t="str">
        <f>IF(Notenbogen!B7&lt;&gt;"", Notenbogen!B7, "")</f>
        <v/>
      </c>
      <c r="C7" s="154" t="str">
        <f>IF(D7="","",IF($H$3="BE",LOOKUP(IF(E7="",D7+0.01,D7*$H$30/E7+0.5),NB!$X$24:$X$39,NB!$Y$24:$Y$39),D7))</f>
        <v/>
      </c>
      <c r="D7" s="4"/>
      <c r="E7" s="104"/>
      <c r="F7" s="170">
        <v>15</v>
      </c>
      <c r="G7" s="88">
        <f>IF(G$25="","",COUNTIF(C$4:C$38,F7))</f>
        <v>0</v>
      </c>
      <c r="H7" s="89" t="e">
        <f t="shared" ref="H7:H22" si="1">IF(G$25="","",G7/G$25)</f>
        <v>#DIV/0!</v>
      </c>
      <c r="I7" s="158"/>
      <c r="J7" s="168" t="str">
        <f t="shared" si="0"/>
        <v/>
      </c>
      <c r="K7" s="113"/>
      <c r="L7" s="114"/>
      <c r="M7" s="114"/>
      <c r="N7" s="114"/>
    </row>
    <row r="8" spans="1:14" x14ac:dyDescent="0.2">
      <c r="A8" s="9">
        <v>5</v>
      </c>
      <c r="B8" s="145" t="str">
        <f>IF(Notenbogen!B8&lt;&gt;"", Notenbogen!B8, "")</f>
        <v/>
      </c>
      <c r="C8" s="154" t="str">
        <f>IF(D8="","",IF($H$3="BE",LOOKUP(IF(E8="",D8+0.01,D8*$H$30/E8+0.5),NB!$X$24:$X$39,NB!$Y$24:$Y$39),D8))</f>
        <v/>
      </c>
      <c r="D8" s="4"/>
      <c r="E8" s="104"/>
      <c r="F8" s="171">
        <v>14</v>
      </c>
      <c r="G8" s="84">
        <f t="shared" ref="G8:G22" si="2">IF(G$25="","",COUNTIF(C$4:C$38,F8))</f>
        <v>0</v>
      </c>
      <c r="H8" s="91" t="e">
        <f t="shared" si="1"/>
        <v>#DIV/0!</v>
      </c>
      <c r="I8" s="105" t="e">
        <f>+H7+H8+H9</f>
        <v>#DIV/0!</v>
      </c>
      <c r="J8" s="168" t="str">
        <f t="shared" si="0"/>
        <v/>
      </c>
      <c r="K8" s="113"/>
      <c r="L8" s="110"/>
      <c r="M8" s="110"/>
      <c r="N8" s="114"/>
    </row>
    <row r="9" spans="1:14" x14ac:dyDescent="0.2">
      <c r="A9" s="9">
        <v>6</v>
      </c>
      <c r="B9" s="145" t="str">
        <f>IF(Notenbogen!B9&lt;&gt;"", Notenbogen!B9, "")</f>
        <v/>
      </c>
      <c r="C9" s="154" t="str">
        <f>IF(D9="","",IF($H$3="BE",LOOKUP(IF(E9="",D9+0.01,D9*$H$30/E9+0.5),NB!$X$24:$X$39,NB!$Y$24:$Y$39),D9))</f>
        <v/>
      </c>
      <c r="D9" s="4"/>
      <c r="E9" s="104"/>
      <c r="F9" s="172">
        <v>13</v>
      </c>
      <c r="G9" s="93">
        <f t="shared" si="2"/>
        <v>0</v>
      </c>
      <c r="H9" s="94" t="e">
        <f t="shared" si="1"/>
        <v>#DIV/0!</v>
      </c>
      <c r="I9" s="158">
        <f>+G7+G8+G9</f>
        <v>0</v>
      </c>
      <c r="J9" s="168" t="str">
        <f t="shared" si="0"/>
        <v/>
      </c>
      <c r="K9" s="113"/>
      <c r="L9" s="110"/>
      <c r="M9" s="110"/>
      <c r="N9" s="114"/>
    </row>
    <row r="10" spans="1:14" x14ac:dyDescent="0.2">
      <c r="A10" s="9">
        <v>7</v>
      </c>
      <c r="B10" s="145" t="str">
        <f>IF(Notenbogen!B10&lt;&gt;"", Notenbogen!B10, "")</f>
        <v/>
      </c>
      <c r="C10" s="154" t="str">
        <f>IF(D10="","",IF($H$3="BE",LOOKUP(IF(E10="",D10+0.01,D10*$H$30/E10+0.5),NB!$X$24:$X$39,NB!$Y$24:$Y$39),D10))</f>
        <v/>
      </c>
      <c r="D10" s="4"/>
      <c r="E10" s="104"/>
      <c r="F10" s="170">
        <v>12</v>
      </c>
      <c r="G10" s="88">
        <f t="shared" si="2"/>
        <v>0</v>
      </c>
      <c r="H10" s="89" t="e">
        <f t="shared" si="1"/>
        <v>#DIV/0!</v>
      </c>
      <c r="I10" s="158"/>
      <c r="J10" s="168" t="str">
        <f t="shared" si="0"/>
        <v/>
      </c>
      <c r="K10" s="113"/>
      <c r="L10" s="110"/>
      <c r="M10" s="110"/>
      <c r="N10" s="114"/>
    </row>
    <row r="11" spans="1:14" x14ac:dyDescent="0.2">
      <c r="A11" s="9">
        <v>8</v>
      </c>
      <c r="B11" s="145" t="str">
        <f>IF(Notenbogen!B11&lt;&gt;"", Notenbogen!B11, "")</f>
        <v/>
      </c>
      <c r="C11" s="154" t="str">
        <f>IF(D11="","",IF($H$3="BE",LOOKUP(IF(E11="",D11+0.01,D11*$H$30/E11+0.5),NB!$X$24:$X$39,NB!$Y$24:$Y$39),D11))</f>
        <v/>
      </c>
      <c r="D11" s="4"/>
      <c r="E11" s="104"/>
      <c r="F11" s="171">
        <v>11</v>
      </c>
      <c r="G11" s="84">
        <f t="shared" si="2"/>
        <v>0</v>
      </c>
      <c r="H11" s="91" t="e">
        <f t="shared" si="1"/>
        <v>#DIV/0!</v>
      </c>
      <c r="I11" s="105" t="e">
        <f>+H10+H11+H12</f>
        <v>#DIV/0!</v>
      </c>
      <c r="J11" s="168" t="str">
        <f t="shared" si="0"/>
        <v/>
      </c>
      <c r="K11" s="113"/>
      <c r="L11" s="110"/>
      <c r="M11" s="110"/>
      <c r="N11" s="114"/>
    </row>
    <row r="12" spans="1:14" x14ac:dyDescent="0.2">
      <c r="A12" s="9">
        <v>9</v>
      </c>
      <c r="B12" s="145" t="str">
        <f>IF(Notenbogen!B12&lt;&gt;"", Notenbogen!B12, "")</f>
        <v/>
      </c>
      <c r="C12" s="154" t="str">
        <f>IF(D12="","",IF($H$3="BE",LOOKUP(IF(E12="",D12+0.01,D12*$H$30/E12+0.5),NB!$X$24:$X$39,NB!$Y$24:$Y$39),D12))</f>
        <v/>
      </c>
      <c r="D12" s="4"/>
      <c r="E12" s="104"/>
      <c r="F12" s="172">
        <v>10</v>
      </c>
      <c r="G12" s="93">
        <f t="shared" si="2"/>
        <v>0</v>
      </c>
      <c r="H12" s="94" t="e">
        <f t="shared" si="1"/>
        <v>#DIV/0!</v>
      </c>
      <c r="I12" s="158">
        <f>+G10+G11+G12</f>
        <v>0</v>
      </c>
      <c r="J12" s="168" t="str">
        <f t="shared" si="0"/>
        <v/>
      </c>
      <c r="K12" s="113"/>
      <c r="L12" s="114"/>
      <c r="M12" s="114"/>
      <c r="N12" s="114"/>
    </row>
    <row r="13" spans="1:14" x14ac:dyDescent="0.2">
      <c r="A13" s="9">
        <v>10</v>
      </c>
      <c r="B13" s="145" t="str">
        <f>IF(Notenbogen!B13&lt;&gt;"", Notenbogen!B13, "")</f>
        <v/>
      </c>
      <c r="C13" s="154" t="str">
        <f>IF(D13="","",IF($H$3="BE",LOOKUP(IF(E13="",D13+0.01,D13*$H$30/E13+0.5),NB!$X$24:$X$39,NB!$Y$24:$Y$39),D13))</f>
        <v/>
      </c>
      <c r="D13" s="4"/>
      <c r="E13" s="104"/>
      <c r="F13" s="97">
        <v>9</v>
      </c>
      <c r="G13" s="88">
        <f t="shared" si="2"/>
        <v>0</v>
      </c>
      <c r="H13" s="89" t="e">
        <f t="shared" si="1"/>
        <v>#DIV/0!</v>
      </c>
      <c r="I13" s="158"/>
      <c r="J13" s="168" t="str">
        <f t="shared" si="0"/>
        <v/>
      </c>
      <c r="K13" s="113"/>
      <c r="L13" s="110"/>
      <c r="M13" s="110"/>
      <c r="N13" s="114"/>
    </row>
    <row r="14" spans="1:14" x14ac:dyDescent="0.2">
      <c r="A14" s="9">
        <v>11</v>
      </c>
      <c r="B14" s="145" t="str">
        <f>IF(Notenbogen!B14&lt;&gt;"", Notenbogen!B14, "")</f>
        <v/>
      </c>
      <c r="C14" s="154" t="str">
        <f>IF(D14="","",IF($H$3="BE",LOOKUP(IF(E14="",D14+0.01,D14*$H$30/E14+0.5),NB!$X$24:$X$39,NB!$Y$24:$Y$39),D14))</f>
        <v/>
      </c>
      <c r="D14" s="4"/>
      <c r="E14" s="104"/>
      <c r="F14" s="171">
        <v>8</v>
      </c>
      <c r="G14" s="84">
        <f t="shared" si="2"/>
        <v>0</v>
      </c>
      <c r="H14" s="91" t="e">
        <f t="shared" si="1"/>
        <v>#DIV/0!</v>
      </c>
      <c r="I14" s="105" t="e">
        <f>+H13+H14+H15</f>
        <v>#DIV/0!</v>
      </c>
      <c r="J14" s="168" t="str">
        <f t="shared" si="0"/>
        <v/>
      </c>
      <c r="K14" s="113"/>
      <c r="L14" s="114"/>
      <c r="M14" s="114"/>
      <c r="N14" s="114"/>
    </row>
    <row r="15" spans="1:14" x14ac:dyDescent="0.2">
      <c r="A15" s="9">
        <v>12</v>
      </c>
      <c r="B15" s="145" t="str">
        <f>IF(Notenbogen!B15&lt;&gt;"", Notenbogen!B15, "")</f>
        <v/>
      </c>
      <c r="C15" s="154" t="str">
        <f>IF(D15="","",IF($H$3="BE",LOOKUP(IF(E15="",D15+0.01,D15*$H$30/E15+0.5),NB!$X$24:$X$39,NB!$Y$24:$Y$39),D15))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IF(D16="","",IF($H$3="BE",LOOKUP(IF(E16="",D16+0.01,D16*$H$30/E16+0.5),NB!$X$24:$X$39,NB!$Y$24:$Y$39),D16))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IF(D17="","",IF($H$3="BE",LOOKUP(IF(E17="",D17+0.01,D17*$H$30/E17+0.5),NB!$X$24:$X$39,NB!$Y$24:$Y$39),D17))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IF(D18="","",IF($H$3="BE",LOOKUP(IF(E18="",D18+0.01,D18*$H$30/E18+0.5),NB!$X$24:$X$39,NB!$Y$24:$Y$39),D18))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IF(D19="","",IF($H$3="BE",LOOKUP(IF(E19="",D19+0.01,D19*$H$30/E19+0.5),NB!$X$24:$X$39,NB!$Y$24:$Y$39),D19))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IF(D20="","",IF($H$3="BE",LOOKUP(IF(E20="",D20+0.01,D20*$H$30/E20+0.5),NB!$X$24:$X$39,NB!$Y$24:$Y$39),D20))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IF(D21="","",IF($H$3="BE",LOOKUP(IF(E21="",D21+0.01,D21*$H$30/E21+0.5),NB!$X$24:$X$39,NB!$Y$24:$Y$39),D21))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IF(D22="","",IF($H$3="BE",LOOKUP(IF(E22="",D22+0.01,D22*$H$30/E22+0.5),NB!$X$24:$X$39,NB!$Y$24:$Y$39),D22))</f>
        <v/>
      </c>
      <c r="D22" s="4"/>
      <c r="E22" s="104"/>
      <c r="F22" s="201">
        <v>0</v>
      </c>
      <c r="G22" s="202">
        <f t="shared" si="2"/>
        <v>0</v>
      </c>
      <c r="H22" s="203" t="e">
        <f t="shared" si="1"/>
        <v>#DIV/0!</v>
      </c>
      <c r="I22" s="105" t="e">
        <f>+H22</f>
        <v>#DIV/0!</v>
      </c>
      <c r="J22" s="175" t="str">
        <f t="shared" si="0"/>
        <v/>
      </c>
      <c r="K22" s="158"/>
    </row>
    <row r="23" spans="1:12" x14ac:dyDescent="0.2">
      <c r="A23" s="9">
        <v>20</v>
      </c>
      <c r="B23" s="145" t="str">
        <f>IF(Notenbogen!B23&lt;&gt;"", Notenbogen!B23, "")</f>
        <v/>
      </c>
      <c r="C23" s="154" t="str">
        <f>IF(D23="","",IF($H$3="BE",LOOKUP(IF(E23="",D23+0.01,D23*$H$30/E23+0.5),NB!$X$24:$X$39,NB!$Y$24:$Y$39),D23))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IF(D24="","",IF($H$3="BE",LOOKUP(IF(E24="",D24+0.01,D24*$H$30/E24+0.5),NB!$X$24:$X$39,NB!$Y$24:$Y$39),D24))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IF(D25="","",IF($H$3="BE",LOOKUP(IF(E25="",D25+0.01,D25*$H$30/E25+0.5),NB!$X$24:$X$39,NB!$Y$24:$Y$39),D25))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IF(D26="","",IF($H$3="BE",LOOKUP(IF(E26="",D26+0.01,D26*$H$30/E26+0.5),NB!$X$24:$X$39,NB!$Y$24:$Y$39),D26))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IF(D27="","",IF($H$3="BE",LOOKUP(IF(E27="",D27+0.01,D27*$H$30/E27+0.5),NB!$X$24:$X$39,NB!$Y$24:$Y$39),D27))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IF(D28="","",IF($H$3="BE",LOOKUP(IF(E28="",D28+0.01,D28*$H$30/E28+0.5),NB!$X$24:$X$39,NB!$Y$24:$Y$39),D28))</f>
        <v/>
      </c>
      <c r="D28" s="4"/>
      <c r="E28" s="104"/>
      <c r="F28" s="158"/>
      <c r="G28" s="158"/>
      <c r="H28" s="158"/>
      <c r="I28" s="158"/>
      <c r="J28" s="175" t="str">
        <f t="shared" si="0"/>
        <v/>
      </c>
      <c r="K28" s="158"/>
      <c r="L28" s="179"/>
    </row>
    <row r="29" spans="1:12" ht="13.5" thickBot="1" x14ac:dyDescent="0.25">
      <c r="A29" s="9">
        <v>26</v>
      </c>
      <c r="B29" s="145" t="str">
        <f>IF(Notenbogen!B29&lt;&gt;"", Notenbogen!B29, "")</f>
        <v/>
      </c>
      <c r="C29" s="154" t="str">
        <f>IF(D29="","",IF($H$3="BE",LOOKUP(IF(E29="",D29+0.01,D29*$H$30/E29+0.5),NB!$X$24:$X$39,NB!$Y$24:$Y$39),D29))</f>
        <v/>
      </c>
      <c r="D29" s="4"/>
      <c r="E29" s="104"/>
      <c r="F29" s="180" t="s">
        <v>20</v>
      </c>
      <c r="G29" s="158"/>
      <c r="H29" s="158"/>
      <c r="I29" s="158"/>
      <c r="J29" s="181" t="str">
        <f t="shared" si="0"/>
        <v/>
      </c>
      <c r="K29" s="158"/>
      <c r="L29" s="179"/>
    </row>
    <row r="30" spans="1:12" ht="13.5" thickBot="1" x14ac:dyDescent="0.25">
      <c r="A30" s="9">
        <v>27</v>
      </c>
      <c r="B30" s="145" t="str">
        <f>IF(Notenbogen!B30&lt;&gt;"", Notenbogen!B30, "")</f>
        <v/>
      </c>
      <c r="C30" s="154" t="str">
        <f>IF(D30="","",IF($H$3="BE",LOOKUP(IF(E30="",D30+0.01,D30*$H$30/E30+0.5),NB!$X$24:$X$39,NB!$Y$24:$Y$39),D30))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IF(D31="","",IF($H$3="BE",LOOKUP(IF(E31="",D31+0.01,D31*$H$30/E31+0.5),NB!$X$24:$X$39,NB!$Y$24:$Y$39),D31))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IF(D32="","",IF($H$3="BE",LOOKUP(IF(E32="",D32+0.01,D32*$H$30/E32+0.5),NB!$X$24:$X$39,NB!$Y$24:$Y$39),D32))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IF(D33="","",IF($H$3="BE",LOOKUP(IF(E33="",D33+0.01,D33*$H$30/E33+0.5),NB!$X$24:$X$39,NB!$Y$24:$Y$39),D33))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IF(D34="","",IF($H$3="BE",LOOKUP(IF(E34="",D34+0.01,D34*$H$30/E34+0.5),NB!$X$24:$X$39,NB!$Y$24:$Y$39),D34))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IF(D35="","",IF($H$3="BE",LOOKUP(IF(E35="",D35+0.01,D35*$H$30/E35+0.5),NB!$X$24:$X$39,NB!$Y$24:$Y$39),D35))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IF(D36="","",IF($H$3="BE",LOOKUP(IF(E36="",D36+0.01,D36*$H$30/E36+0.5),NB!$X$24:$X$39,NB!$Y$24:$Y$39),D36))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IF(D37="","",IF($H$3="BE",LOOKUP(IF(E37="",D37+0.01,D37*$H$30/E37+0.5),NB!$X$24:$X$39,NB!$Y$24:$Y$39),D37))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IF(D38="","",IF($H$3="BE",LOOKUP(IF(E38="",D38+0.01,D38*$H$30/E38+0.5),NB!$X$24:$X$39,NB!$Y$24:$Y$39),D38))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5" t="s">
        <v>87</v>
      </c>
      <c r="B40" s="216" t="s">
        <v>84</v>
      </c>
      <c r="C40" s="528" t="s">
        <v>81</v>
      </c>
      <c r="D40" s="529"/>
      <c r="E40" s="530" t="str">
        <f>+NB!Z2</f>
        <v>Kontrolle</v>
      </c>
      <c r="F40" s="530"/>
      <c r="G40" s="531"/>
      <c r="H40" s="179"/>
      <c r="I40" s="179"/>
      <c r="J40" s="179"/>
      <c r="K40" s="179"/>
      <c r="L40" s="179"/>
      <c r="M40" s="179"/>
      <c r="N40" s="179"/>
      <c r="O40" s="179"/>
      <c r="P40" s="179"/>
      <c r="Q40" s="179"/>
      <c r="AL40" s="179"/>
      <c r="AM40" s="179"/>
      <c r="AN40" s="179"/>
      <c r="AO40" s="179"/>
      <c r="AP40" s="179"/>
      <c r="AQ40" s="179"/>
      <c r="AR40" s="179"/>
      <c r="AS40" s="179"/>
      <c r="AT40" s="179"/>
      <c r="AU40" s="179"/>
      <c r="AV40" s="179"/>
      <c r="AW40" s="179"/>
    </row>
    <row r="41" spans="1:49" ht="12.75" customHeight="1" x14ac:dyDescent="0.2">
      <c r="A41" s="526"/>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7"/>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217"/>
      <c r="B43" s="210" t="str">
        <f>TEXT(NB!V6,"#0")&amp;"                      "&amp;TEXT(NB!Y6,"#0")&amp;"   "</f>
        <v xml:space="preserve">3                      15   </v>
      </c>
      <c r="C43" s="258">
        <f>+NB!W6</f>
        <v>40</v>
      </c>
      <c r="D43" s="243">
        <f>+NB!X6</f>
        <v>38</v>
      </c>
      <c r="E43" s="211" t="str">
        <f>+NB!Z6</f>
        <v xml:space="preserve"> </v>
      </c>
      <c r="F43" s="211"/>
      <c r="G43" s="214" t="str">
        <f>+NB!AA6</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218"/>
      <c r="B44" s="205" t="str">
        <f>TEXT(NB!V7,"#0")&amp;"                      "&amp;TEXT(NB!Y7,"#0")&amp;"   "</f>
        <v xml:space="preserve">2                      14   </v>
      </c>
      <c r="C44" s="259">
        <f>+NB!W7</f>
        <v>37.5</v>
      </c>
      <c r="D44" s="244">
        <f>+NB!X7</f>
        <v>36</v>
      </c>
      <c r="E44" s="114" t="str">
        <f>+NB!Z7</f>
        <v xml:space="preserve"> </v>
      </c>
      <c r="F44" s="114"/>
      <c r="G44" s="206" t="str">
        <f>+NB!AA7</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219"/>
      <c r="B45" s="212" t="str">
        <f>TEXT(NB!V8,"#0")&amp;"                      "&amp;TEXT(NB!Y8,"#0")&amp;"   "</f>
        <v xml:space="preserve">2                      13   </v>
      </c>
      <c r="C45" s="260">
        <f>+NB!W8</f>
        <v>35.5</v>
      </c>
      <c r="D45" s="245">
        <f>+NB!X8</f>
        <v>34</v>
      </c>
      <c r="E45" s="213" t="str">
        <f>+NB!Z8</f>
        <v xml:space="preserve"> </v>
      </c>
      <c r="F45" s="213"/>
      <c r="G45" s="215" t="str">
        <f>+NB!AA8</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218"/>
      <c r="B46" s="205" t="str">
        <f>TEXT(NB!V9,"#0")&amp;"                      "&amp;TEXT(NB!Y9,"#0")&amp;"   "</f>
        <v xml:space="preserve">2                      12   </v>
      </c>
      <c r="C46" s="259">
        <f>+NB!W9</f>
        <v>33.5</v>
      </c>
      <c r="D46" s="244">
        <f>+NB!X9</f>
        <v>32</v>
      </c>
      <c r="E46" s="114" t="str">
        <f>+NB!Z9</f>
        <v xml:space="preserve"> </v>
      </c>
      <c r="F46" s="114"/>
      <c r="G46" s="206" t="str">
        <f>+NB!AA9</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218"/>
      <c r="B47" s="205" t="str">
        <f>TEXT(NB!V10,"#0")&amp;"                      "&amp;TEXT(NB!Y10,"#0")&amp;"   "</f>
        <v xml:space="preserve">2                      11   </v>
      </c>
      <c r="C47" s="259">
        <f>+NB!W10</f>
        <v>31.5</v>
      </c>
      <c r="D47" s="244">
        <f>+NB!X10</f>
        <v>30</v>
      </c>
      <c r="E47" s="114" t="str">
        <f>+NB!Z10</f>
        <v xml:space="preserve"> </v>
      </c>
      <c r="F47" s="114"/>
      <c r="G47" s="206" t="str">
        <f>+NB!AA10</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218"/>
      <c r="B48" s="205" t="str">
        <f>TEXT(NB!V11,"#0")&amp;"                      "&amp;TEXT(NB!Y11,"#0")&amp;"   "</f>
        <v xml:space="preserve">2                      10   </v>
      </c>
      <c r="C48" s="259">
        <f>+NB!W11</f>
        <v>29.5</v>
      </c>
      <c r="D48" s="244">
        <f>+NB!X11</f>
        <v>28</v>
      </c>
      <c r="E48" s="114" t="str">
        <f>+NB!Z11</f>
        <v xml:space="preserve"> </v>
      </c>
      <c r="F48" s="114"/>
      <c r="G48" s="206" t="str">
        <f>+NB!AA11</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217"/>
      <c r="B49" s="210" t="str">
        <f>TEXT(NB!V12,"#0")&amp;"                        "&amp;TEXT(NB!Y12,"#0")&amp;"   "</f>
        <v xml:space="preserve">2                        9   </v>
      </c>
      <c r="C49" s="258">
        <f>+NB!W12</f>
        <v>27.5</v>
      </c>
      <c r="D49" s="243">
        <f>+NB!X12</f>
        <v>26.5</v>
      </c>
      <c r="E49" s="211" t="str">
        <f>+NB!Z12</f>
        <v xml:space="preserve"> </v>
      </c>
      <c r="F49" s="211"/>
      <c r="G49" s="214" t="str">
        <f>+NB!AA12</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218"/>
      <c r="B50" s="205" t="str">
        <f>TEXT(NB!V13,"#0")&amp;"                        "&amp;TEXT(NB!Y13,"#0")&amp;"   "</f>
        <v xml:space="preserve">1                        8   </v>
      </c>
      <c r="C50" s="259">
        <f>+NB!W13</f>
        <v>26</v>
      </c>
      <c r="D50" s="244">
        <f>+NB!X13</f>
        <v>25.5</v>
      </c>
      <c r="E50" s="114" t="str">
        <f>+NB!Z13</f>
        <v xml:space="preserve"> </v>
      </c>
      <c r="F50" s="114"/>
      <c r="G50" s="206" t="str">
        <f>+NB!AA13</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219"/>
      <c r="B51" s="212" t="str">
        <f>TEXT(NB!V14,"#0")&amp;"                        "&amp;TEXT(NB!Y14,"#0")&amp;"   "</f>
        <v xml:space="preserve">2                        7   </v>
      </c>
      <c r="C51" s="260">
        <f>+NB!W14</f>
        <v>25</v>
      </c>
      <c r="D51" s="245">
        <f>+NB!X14</f>
        <v>24</v>
      </c>
      <c r="E51" s="213" t="str">
        <f>+NB!Z14</f>
        <v xml:space="preserve"> </v>
      </c>
      <c r="F51" s="213"/>
      <c r="G51" s="215" t="str">
        <f>+NB!AA14</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218"/>
      <c r="B52" s="205" t="str">
        <f>TEXT(NB!V15,"#0")&amp;"                        "&amp;TEXT(NB!Y15,"#0")&amp;"   "</f>
        <v xml:space="preserve">2                        6   </v>
      </c>
      <c r="C52" s="259">
        <f>+NB!W15</f>
        <v>23.5</v>
      </c>
      <c r="D52" s="244">
        <f>+NB!X15</f>
        <v>22.5</v>
      </c>
      <c r="E52" s="114" t="str">
        <f>+NB!Z15</f>
        <v xml:space="preserve"> </v>
      </c>
      <c r="F52" s="114"/>
      <c r="G52" s="206" t="str">
        <f>+NB!AA15</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218"/>
      <c r="B53" s="205" t="str">
        <f>TEXT(NB!V16,"#0")&amp;"                        "&amp;TEXT(NB!Y16,"#0")&amp;"   "</f>
        <v xml:space="preserve">2                        5   </v>
      </c>
      <c r="C53" s="259">
        <f>+NB!W16</f>
        <v>22</v>
      </c>
      <c r="D53" s="244">
        <f>+NB!X16</f>
        <v>21</v>
      </c>
      <c r="E53" s="114" t="str">
        <f>+NB!Z16</f>
        <v xml:space="preserve"> </v>
      </c>
      <c r="F53" s="114"/>
      <c r="G53" s="206" t="str">
        <f>+NB!AA16</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218"/>
      <c r="B54" s="205" t="str">
        <f>TEXT(NB!V17,"#0")&amp;"                        "&amp;TEXT(NB!Y17,"#0")&amp;"   "</f>
        <v xml:space="preserve">1                        4   </v>
      </c>
      <c r="C54" s="259">
        <f>+NB!W17</f>
        <v>20.5</v>
      </c>
      <c r="D54" s="244">
        <f>+NB!X17</f>
        <v>20</v>
      </c>
      <c r="E54" s="114" t="str">
        <f>+NB!Z17</f>
        <v xml:space="preserve"> </v>
      </c>
      <c r="F54" s="114"/>
      <c r="G54" s="206" t="str">
        <f>+NB!AA17</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217"/>
      <c r="B55" s="210" t="str">
        <f>TEXT(NB!V18,"#0")&amp;"                        "&amp;TEXT(NB!Y18,"#0")&amp;"   "</f>
        <v xml:space="preserve">2                        3   </v>
      </c>
      <c r="C55" s="258">
        <f>+NB!W18</f>
        <v>19.5</v>
      </c>
      <c r="D55" s="243">
        <f>+NB!X18</f>
        <v>18</v>
      </c>
      <c r="E55" s="211" t="str">
        <f>+NB!Z18</f>
        <v xml:space="preserve"> </v>
      </c>
      <c r="F55" s="211"/>
      <c r="G55" s="214" t="str">
        <f>+NB!AA18</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218"/>
      <c r="B56" s="205" t="str">
        <f>TEXT(NB!V19,"#0")&amp;"                        "&amp;TEXT(NB!Y19,"#0")&amp;"   "</f>
        <v xml:space="preserve">2                        2   </v>
      </c>
      <c r="C56" s="259">
        <f>+NB!W19</f>
        <v>17.5</v>
      </c>
      <c r="D56" s="244">
        <f>+NB!X19</f>
        <v>16</v>
      </c>
      <c r="E56" s="114" t="str">
        <f>+NB!Z19</f>
        <v xml:space="preserve"> </v>
      </c>
      <c r="F56" s="114"/>
      <c r="G56" s="206" t="str">
        <f>+NB!AA19</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219"/>
      <c r="B57" s="212" t="str">
        <f>TEXT(NB!V20,"#0")&amp;"                        "&amp;TEXT(NB!Y20,"#0")&amp;"   "</f>
        <v xml:space="preserve">2                        1   </v>
      </c>
      <c r="C57" s="260">
        <f>+NB!W20</f>
        <v>15.5</v>
      </c>
      <c r="D57" s="245">
        <f>+NB!X20</f>
        <v>14.000000000000002</v>
      </c>
      <c r="E57" s="213" t="str">
        <f>+NB!Z20</f>
        <v xml:space="preserve"> </v>
      </c>
      <c r="F57" s="213"/>
      <c r="G57" s="215" t="str">
        <f>+NB!AA20</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2.75" customHeight="1" thickBot="1" x14ac:dyDescent="0.25">
      <c r="A58" s="220"/>
      <c r="B58" s="207" t="str">
        <f>TEXT(NB!V21,"#0")&amp;"                        "&amp;TEXT(NB!Y21,"#0")&amp;"   "</f>
        <v xml:space="preserve">0                        0   </v>
      </c>
      <c r="C58" s="261">
        <f>+NB!W21</f>
        <v>13.500000000000002</v>
      </c>
      <c r="D58" s="246">
        <f>+NB!X21</f>
        <v>0</v>
      </c>
      <c r="E58" s="208" t="str">
        <f>+NB!Z21</f>
        <v xml:space="preserve"> </v>
      </c>
      <c r="F58" s="208"/>
      <c r="G58" s="209" t="str">
        <f>+NB!AA21</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
        <v>44</v>
      </c>
      <c r="C1" s="150" t="str">
        <f>IF(Notenbogen!E1="","",Notenbogen!E1)</f>
        <v/>
      </c>
      <c r="D1" s="1"/>
      <c r="E1" s="1"/>
      <c r="F1" s="147" t="s">
        <v>13</v>
      </c>
      <c r="G1" s="536"/>
      <c r="H1" s="536"/>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99" t="s">
        <v>42</v>
      </c>
      <c r="F3" s="69"/>
      <c r="G3" s="108" t="s">
        <v>48</v>
      </c>
      <c r="H3" s="109" t="s">
        <v>19</v>
      </c>
      <c r="I3" s="1"/>
      <c r="J3" s="1"/>
      <c r="K3" s="3"/>
      <c r="L3" s="115"/>
      <c r="M3" s="115"/>
      <c r="N3" s="114"/>
    </row>
    <row r="4" spans="1:14" x14ac:dyDescent="0.2">
      <c r="A4" s="382">
        <v>1</v>
      </c>
      <c r="B4" s="145" t="str">
        <f>IF(Notenbogen!B4&lt;&gt;"", Notenbogen!B4, "")</f>
        <v/>
      </c>
      <c r="C4" s="154" t="str">
        <f>IF(D4="","",IF($H$3="BE",LOOKUP(IF(E4="",D4+0.01,D4*$H$30/E4+0.5),NB!$X$96:$X$111,NB!$Y$96:$Y$111),D4))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IF(D5="","",IF($H$3="BE",LOOKUP(IF(E5="",D5+0.01,D5*$H$30/E5+0.5),NB!$X$96:$X$111,NB!$Y$96:$Y$111),D5))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IF(D6="","",IF($H$3="BE",LOOKUP(IF(E6="",D6+0.01,D6*$H$30/E6+0.5),NB!$X$96:$X$111,NB!$Y$96:$Y$111),D6))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IF(D22="","",IF($H$3="BE",LOOKUP(IF(E22="",D22+0.01,D22*$H$30/E22+0.5),NB!$X$96:$X$111,NB!$Y$96:$Y$111),D22))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IF(D23="","",IF($H$3="BE",LOOKUP(IF(E23="",D23+0.01,D23*$H$30/E23+0.5),NB!$X$96:$X$111,NB!$Y$96:$Y$111),D23))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IF(D24="","",IF($H$3="BE",LOOKUP(IF(E24="",D24+0.01,D24*$H$30/E24+0.5),NB!$X$96:$X$111,NB!$Y$96:$Y$111),D24))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IF(D25="","",IF($H$3="BE",LOOKUP(IF(E25="",D25+0.01,D25*$H$30/E25+0.5),NB!$X$96:$X$111,NB!$Y$96:$Y$111),D25))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IF(D26="","",IF($H$3="BE",LOOKUP(IF(E26="",D26+0.01,D26*$H$30/E26+0.5),NB!$X$96:$X$111,NB!$Y$96:$Y$111),D26))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IF(D27="","",IF($H$3="BE",LOOKUP(IF(E27="",D27+0.01,D27*$H$30/E27+0.5),NB!$X$96:$X$111,NB!$Y$96:$Y$111),D27))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IF(D28="","",IF($H$3="BE",LOOKUP(IF(E28="",D28+0.01,D28*$H$30/E28+0.5),NB!$X$96:$X$111,NB!$Y$96:$Y$111),D28))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IF(D29="","",IF($H$3="BE",LOOKUP(IF(E29="",D29+0.01,D29*$H$30/E29+0.5),NB!$X$96:$X$111,NB!$Y$96:$Y$111),D29))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IF(D30="","",IF($H$3="BE",LOOKUP(IF(E30="",D30+0.01,D30*$H$30/E30+0.5),NB!$X$96:$X$111,NB!$Y$96:$Y$111),D30))</f>
        <v/>
      </c>
      <c r="D30" s="4"/>
      <c r="E30" s="104"/>
      <c r="F30" s="15"/>
      <c r="G30" s="15"/>
      <c r="H30" s="13">
        <v>40</v>
      </c>
      <c r="I30" s="1"/>
      <c r="J30" s="68" t="str">
        <f t="shared" si="0"/>
        <v/>
      </c>
      <c r="K30" s="1"/>
      <c r="L30" s="15"/>
    </row>
    <row r="31" spans="1:12" ht="13.5" thickBot="1" x14ac:dyDescent="0.25">
      <c r="A31" s="382">
        <v>28</v>
      </c>
      <c r="B31" s="145" t="str">
        <f>IF(Notenbogen!B31&lt;&gt;"", Notenbogen!B31, "")</f>
        <v/>
      </c>
      <c r="C31" s="154" t="str">
        <f>IF(D31="","",IF($H$3="BE",LOOKUP(IF(E31="",D31+0.01,D31*$H$30/E31+0.5),NB!$X$96:$X$111,NB!$Y$96:$Y$111),D31))</f>
        <v/>
      </c>
      <c r="D31" s="4"/>
      <c r="E31" s="104"/>
      <c r="J31" s="68" t="str">
        <f t="shared" si="0"/>
        <v/>
      </c>
      <c r="K31" s="1"/>
      <c r="L31" s="15"/>
    </row>
    <row r="32" spans="1:12" ht="13.5" thickBot="1" x14ac:dyDescent="0.25">
      <c r="A32" s="382">
        <v>29</v>
      </c>
      <c r="B32" s="145" t="str">
        <f>IF(Notenbogen!B32&lt;&gt;"", Notenbogen!B32, "")</f>
        <v/>
      </c>
      <c r="C32" s="154" t="str">
        <f>IF(D32="","",IF($H$3="BE",LOOKUP(IF(E32="",D32+0.01,D32*$H$30/E32+0.5),NB!$X$96:$X$111,NB!$Y$96:$Y$111),D32))</f>
        <v/>
      </c>
      <c r="D32" s="4"/>
      <c r="E32" s="104"/>
      <c r="F32" s="53" t="s">
        <v>39</v>
      </c>
      <c r="G32" s="15"/>
      <c r="H32" s="81" t="s">
        <v>143</v>
      </c>
      <c r="J32" s="68" t="str">
        <f t="shared" si="0"/>
        <v/>
      </c>
      <c r="K32" s="1"/>
      <c r="L32" s="15"/>
    </row>
    <row r="33" spans="1:49" x14ac:dyDescent="0.2">
      <c r="A33" s="382">
        <v>30</v>
      </c>
      <c r="B33" s="145" t="str">
        <f>IF(Notenbogen!B33&lt;&gt;"", Notenbogen!B33, "")</f>
        <v/>
      </c>
      <c r="C33" s="154" t="str">
        <f>IF(D33="","",IF($H$3="BE",LOOKUP(IF(E33="",D33+0.01,D33*$H$30/E33+0.5),NB!$X$96:$X$111,NB!$Y$96:$Y$111),D33))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IF(D34="","",IF($H$3="BE",LOOKUP(IF(E34="",D34+0.01,D34*$H$30/E34+0.5),NB!$X$96:$X$111,NB!$Y$96:$Y$111),D34))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IF(D35="","",IF($H$3="BE",LOOKUP(IF(E35="",D35+0.01,D35*$H$30/E35+0.5),NB!$X$96:$X$111,NB!$Y$96:$Y$111),D35))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IF(D36="","",IF($H$3="BE",LOOKUP(IF(E36="",D36+0.01,D36*$H$30/E36+0.5),NB!$X$96:$X$111,NB!$Y$96:$Y$111),D36))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TEXT(NB!V78,"#0")&amp;"                      "&amp;TEXT(NB!Y78,"#0")&amp;"   "</f>
        <v xml:space="preserve">3                      15   </v>
      </c>
      <c r="C43" s="258">
        <f>+NB!W78</f>
        <v>40</v>
      </c>
      <c r="D43" s="243">
        <f>+NB!X78</f>
        <v>38</v>
      </c>
      <c r="E43" s="211" t="str">
        <f>+NB!Z78</f>
        <v xml:space="preserve"> </v>
      </c>
      <c r="F43" s="211"/>
      <c r="G43" s="214"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TEXT(NB!V79,"#0")&amp;"                      "&amp;TEXT(NB!Y79,"#0")&amp;"   "</f>
        <v xml:space="preserve">2                      14   </v>
      </c>
      <c r="C44" s="259">
        <f>+NB!W79</f>
        <v>37.5</v>
      </c>
      <c r="D44" s="244">
        <f>+NB!X79</f>
        <v>36</v>
      </c>
      <c r="E44" s="114" t="str">
        <f>+NB!Z79</f>
        <v xml:space="preserve"> </v>
      </c>
      <c r="F44" s="114"/>
      <c r="G44" s="206"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TEXT(NB!V80,"#0")&amp;"                      "&amp;TEXT(NB!Y80,"#0")&amp;"   "</f>
        <v xml:space="preserve">2                      13   </v>
      </c>
      <c r="C45" s="260">
        <f>+NB!W80</f>
        <v>35.5</v>
      </c>
      <c r="D45" s="245">
        <f>+NB!X80</f>
        <v>34</v>
      </c>
      <c r="E45" s="213" t="str">
        <f>+NB!Z80</f>
        <v xml:space="preserve"> </v>
      </c>
      <c r="F45" s="213"/>
      <c r="G45" s="215"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TEXT(NB!V81,"#0")&amp;"                      "&amp;TEXT(NB!Y81,"#0")&amp;"   "</f>
        <v xml:space="preserve">2                      12   </v>
      </c>
      <c r="C46" s="259">
        <f>+NB!W81</f>
        <v>33.5</v>
      </c>
      <c r="D46" s="244">
        <f>+NB!X81</f>
        <v>32</v>
      </c>
      <c r="E46" s="114" t="str">
        <f>+NB!Z81</f>
        <v xml:space="preserve"> </v>
      </c>
      <c r="F46" s="114"/>
      <c r="G46" s="206"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TEXT(NB!V82,"#0")&amp;"                      "&amp;TEXT(NB!Y82,"#0")&amp;"   "</f>
        <v xml:space="preserve">2                      11   </v>
      </c>
      <c r="C47" s="259">
        <f>+NB!W82</f>
        <v>31.5</v>
      </c>
      <c r="D47" s="244">
        <f>+NB!X82</f>
        <v>30</v>
      </c>
      <c r="E47" s="114" t="str">
        <f>+NB!Z82</f>
        <v xml:space="preserve"> </v>
      </c>
      <c r="F47" s="114"/>
      <c r="G47" s="206"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TEXT(NB!V83,"#0")&amp;"                      "&amp;TEXT(NB!Y83,"#0")&amp;"   "</f>
        <v xml:space="preserve">2                      10   </v>
      </c>
      <c r="C48" s="259">
        <f>+NB!W83</f>
        <v>29.5</v>
      </c>
      <c r="D48" s="244">
        <f>+NB!X83</f>
        <v>28</v>
      </c>
      <c r="E48" s="114" t="str">
        <f>+NB!Z83</f>
        <v xml:space="preserve"> </v>
      </c>
      <c r="F48" s="114"/>
      <c r="G48" s="206"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TEXT(NB!V84,"#0")&amp;"                        "&amp;TEXT(NB!Y84,"#0")&amp;"   "</f>
        <v xml:space="preserve">2                        9   </v>
      </c>
      <c r="C49" s="258">
        <f>+NB!W84</f>
        <v>27.5</v>
      </c>
      <c r="D49" s="243">
        <f>+NB!X84</f>
        <v>26.5</v>
      </c>
      <c r="E49" s="211" t="str">
        <f>+NB!Z84</f>
        <v xml:space="preserve"> </v>
      </c>
      <c r="F49" s="211"/>
      <c r="G49" s="214"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TEXT(NB!V85,"#0")&amp;"                        "&amp;TEXT(NB!Y85,"#0")&amp;"   "</f>
        <v xml:space="preserve">1                        8   </v>
      </c>
      <c r="C50" s="259">
        <f>+NB!W85</f>
        <v>26</v>
      </c>
      <c r="D50" s="244">
        <f>+NB!X85</f>
        <v>25.5</v>
      </c>
      <c r="E50" s="114" t="str">
        <f>+NB!Z85</f>
        <v xml:space="preserve"> </v>
      </c>
      <c r="F50" s="114"/>
      <c r="G50" s="206"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TEXT(NB!V86,"#0")&amp;"                        "&amp;TEXT(NB!Y86,"#0")&amp;"   "</f>
        <v xml:space="preserve">2                        7   </v>
      </c>
      <c r="C51" s="260">
        <f>+NB!W86</f>
        <v>25</v>
      </c>
      <c r="D51" s="245">
        <f>+NB!X86</f>
        <v>24</v>
      </c>
      <c r="E51" s="213" t="str">
        <f>+NB!Z86</f>
        <v xml:space="preserve"> </v>
      </c>
      <c r="F51" s="213"/>
      <c r="G51" s="215"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TEXT(NB!V87,"#0")&amp;"                        "&amp;TEXT(NB!Y87,"#0")&amp;"   "</f>
        <v xml:space="preserve">2                        6   </v>
      </c>
      <c r="C52" s="259">
        <f>+NB!W87</f>
        <v>23.5</v>
      </c>
      <c r="D52" s="244">
        <f>+NB!X87</f>
        <v>22.5</v>
      </c>
      <c r="E52" s="114" t="str">
        <f>+NB!Z87</f>
        <v xml:space="preserve"> </v>
      </c>
      <c r="F52" s="114"/>
      <c r="G52" s="206"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TEXT(NB!V88,"#0")&amp;"                        "&amp;TEXT(NB!Y88,"#0")&amp;"   "</f>
        <v xml:space="preserve">2                        5   </v>
      </c>
      <c r="C53" s="259">
        <f>+NB!W88</f>
        <v>22</v>
      </c>
      <c r="D53" s="244">
        <f>+NB!X88</f>
        <v>21</v>
      </c>
      <c r="E53" s="114" t="str">
        <f>+NB!Z88</f>
        <v xml:space="preserve"> </v>
      </c>
      <c r="F53" s="114"/>
      <c r="G53" s="206"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TEXT(NB!V89,"#0")&amp;"                        "&amp;TEXT(NB!Y89,"#0")&amp;"   "</f>
        <v xml:space="preserve">1                        4   </v>
      </c>
      <c r="C54" s="259">
        <f>+NB!W89</f>
        <v>20.5</v>
      </c>
      <c r="D54" s="244">
        <f>+NB!X89</f>
        <v>20</v>
      </c>
      <c r="E54" s="114" t="str">
        <f>+NB!Z89</f>
        <v xml:space="preserve"> </v>
      </c>
      <c r="F54" s="114"/>
      <c r="G54" s="206"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TEXT(NB!V90,"#0")&amp;"                        "&amp;TEXT(NB!Y90,"#0")&amp;"   "</f>
        <v xml:space="preserve">2                        3   </v>
      </c>
      <c r="C55" s="258">
        <f>+NB!W90</f>
        <v>19.5</v>
      </c>
      <c r="D55" s="243">
        <f>+NB!X90</f>
        <v>18</v>
      </c>
      <c r="E55" s="211" t="str">
        <f>+NB!Z90</f>
        <v xml:space="preserve"> </v>
      </c>
      <c r="F55" s="211"/>
      <c r="G55" s="214"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TEXT(NB!V91,"#0")&amp;"                        "&amp;TEXT(NB!Y91,"#0")&amp;"   "</f>
        <v xml:space="preserve">2                        2   </v>
      </c>
      <c r="C56" s="259">
        <f>+NB!W91</f>
        <v>17.5</v>
      </c>
      <c r="D56" s="244">
        <f>+NB!X91</f>
        <v>16</v>
      </c>
      <c r="E56" s="114" t="str">
        <f>+NB!Z91</f>
        <v xml:space="preserve"> </v>
      </c>
      <c r="F56" s="114"/>
      <c r="G56" s="206"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TEXT(NB!V92,"#0")&amp;"                        "&amp;TEXT(NB!Y92,"#0")&amp;"   "</f>
        <v xml:space="preserve">2                        1   </v>
      </c>
      <c r="C57" s="260">
        <f>+NB!W92</f>
        <v>15.5</v>
      </c>
      <c r="D57" s="245">
        <f>+NB!X92</f>
        <v>14.000000000000002</v>
      </c>
      <c r="E57" s="213" t="str">
        <f>+NB!Z92</f>
        <v xml:space="preserve"> </v>
      </c>
      <c r="F57" s="213"/>
      <c r="G57" s="215"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TEXT(NB!V93,"#0")&amp;"                        "&amp;TEXT(NB!Y93,"#0")&amp;"   "</f>
        <v xml:space="preserve">0                        0   </v>
      </c>
      <c r="C58" s="261">
        <f>+NB!W93</f>
        <v>13.500000000000002</v>
      </c>
      <c r="D58" s="246">
        <f>+NB!X93</f>
        <v>0</v>
      </c>
      <c r="E58" s="208" t="str">
        <f>+NB!Z93</f>
        <v xml:space="preserve"> </v>
      </c>
      <c r="F58" s="208"/>
      <c r="G58" s="209"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200" t="s">
        <v>80</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IF(D4="","",IF($H$3="BE",LOOKUP(IF(E4="",D4+0.01,D4*$H$30/E4+0.5),NB!$X$179:$X$194,NB!$Y$179:$Y$194),D4))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IF(D5="","",IF($H$3="BE",LOOKUP(IF(E5="",D5+0.01,D5*$H$30/E5+0.5),NB!$X$179:$X$194,NB!$Y$179:$Y$194),D5))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IF(D6="","",IF($H$3="BE",LOOKUP(IF(E6="",D6+0.01,D6*$H$30/E6+0.5),NB!$X$179:$X$194,NB!$Y$179:$Y$194),D6))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IF(D7="","",IF($H$3="BE",LOOKUP(IF(E7="",D7+0.01,D7*$H$30/E7+0.5),NB!$X$179:$X$194,NB!$Y$179:$Y$194),D7))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IF(D8="","",IF($H$3="BE",LOOKUP(IF(E8="",D8+0.01,D8*$H$30/E8+0.5),NB!$X$179:$X$194,NB!$Y$179:$Y$194),D8))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IF(D9="","",IF($H$3="BE",LOOKUP(IF(E9="",D9+0.01,D9*$H$30/E9+0.5),NB!$X$179:$X$194,NB!$Y$179:$Y$194),D9))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IF(D10="","",IF($H$3="BE",LOOKUP(IF(E10="",D10+0.01,D10*$H$30/E10+0.5),NB!$X$179:$X$194,NB!$Y$179:$Y$194),D10))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IF(D11="","",IF($H$3="BE",LOOKUP(IF(E11="",D11+0.01,D11*$H$30/E11+0.5),NB!$X$179:$X$194,NB!$Y$179:$Y$194),D11))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IF(D12="","",IF($H$3="BE",LOOKUP(IF(E12="",D12+0.01,D12*$H$30/E12+0.5),NB!$X$179:$X$194,NB!$Y$179:$Y$194),D12))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IF(D13="","",IF($H$3="BE",LOOKUP(IF(E13="",D13+0.01,D13*$H$30/E13+0.5),NB!$X$179:$X$194,NB!$Y$179:$Y$194),D13))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IF(D14="","",IF($H$3="BE",LOOKUP(IF(E14="",D14+0.01,D14*$H$30/E14+0.5),NB!$X$179:$X$194,NB!$Y$179:$Y$194),D14))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IF(D15="","",IF($H$3="BE",LOOKUP(IF(E15="",D15+0.01,D15*$H$30/E15+0.5),NB!$X$179:$X$194,NB!$Y$179:$Y$194),D15))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IF(D16="","",IF($H$3="BE",LOOKUP(IF(E16="",D16+0.01,D16*$H$30/E16+0.5),NB!$X$179:$X$194,NB!$Y$179:$Y$194),D16))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IF(D17="","",IF($H$3="BE",LOOKUP(IF(E17="",D17+0.01,D17*$H$30/E17+0.5),NB!$X$179:$X$194,NB!$Y$179:$Y$194),D17))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IF(D18="","",IF($H$3="BE",LOOKUP(IF(E18="",D18+0.01,D18*$H$30/E18+0.5),NB!$X$179:$X$194,NB!$Y$179:$Y$194),D18))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IF(D19="","",IF($H$3="BE",LOOKUP(IF(E19="",D19+0.01,D19*$H$30/E19+0.5),NB!$X$179:$X$194,NB!$Y$179:$Y$194),D19))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IF(D20="","",IF($H$3="BE",LOOKUP(IF(E20="",D20+0.01,D20*$H$30/E20+0.5),NB!$X$179:$X$194,NB!$Y$179:$Y$194),D20))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IF(D21="","",IF($H$3="BE",LOOKUP(IF(E21="",D21+0.01,D21*$H$30/E21+0.5),NB!$X$179:$X$194,NB!$Y$179:$Y$194),D21))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IF(D22="","",IF($H$3="BE",LOOKUP(IF(E22="",D22+0.01,D22*$H$30/E22+0.5),NB!$X$179:$X$194,NB!$Y$179:$Y$194),D22))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IF(D23="","",IF($H$3="BE",LOOKUP(IF(E23="",D23+0.01,D23*$H$30/E23+0.5),NB!$X$179:$X$194,NB!$Y$179:$Y$194),D23))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IF(D24="","",IF($H$3="BE",LOOKUP(IF(E24="",D24+0.01,D24*$H$30/E24+0.5),NB!$X$179:$X$194,NB!$Y$179:$Y$194),D24))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IF(D25="","",IF($H$3="BE",LOOKUP(IF(E25="",D25+0.01,D25*$H$30/E25+0.5),NB!$X$179:$X$194,NB!$Y$179:$Y$194),D25))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IF(D26="","",IF($H$3="BE",LOOKUP(IF(E26="",D26+0.01,D26*$H$30/E26+0.5),NB!$X$179:$X$194,NB!$Y$179:$Y$194),D26))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IF(D27="","",IF($H$3="BE",LOOKUP(IF(E27="",D27+0.01,D27*$H$30/E27+0.5),NB!$X$179:$X$194,NB!$Y$179:$Y$194),D27))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IF(D28="","",IF($H$3="BE",LOOKUP(IF(E28="",D28+0.01,D28*$H$30/E28+0.5),NB!$X$179:$X$194,NB!$Y$179:$Y$194),D28))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IF(D29="","",IF($H$3="BE",LOOKUP(IF(E29="",D29+0.01,D29*$H$30/E29+0.5),NB!$X$179:$X$194,NB!$Y$179:$Y$194),D29))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IF(D30="","",IF($H$3="BE",LOOKUP(IF(E30="",D30+0.01,D30*$H$30/E30+0.5),NB!$X$179:$X$194,NB!$Y$179:$Y$194),D30))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IF(D31="","",IF($H$3="BE",LOOKUP(IF(E31="",D31+0.01,D31*$H$30/E31+0.5),NB!$X$179:$X$194,NB!$Y$179:$Y$194),D31))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IF(D32="","",IF($H$3="BE",LOOKUP(IF(E32="",D32+0.01,D32*$H$30/E32+0.5),NB!$X$179:$X$194,NB!$Y$179:$Y$194),D32))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IF(D33="","",IF($H$3="BE",LOOKUP(IF(E33="",D33+0.01,D33*$H$30/E33+0.5),NB!$X$179:$X$194,NB!$Y$179:$Y$194),D33))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IF(D34="","",IF($H$3="BE",LOOKUP(IF(E34="",D34+0.01,D34*$H$30/E34+0.5),NB!$X$179:$X$194,NB!$Y$179:$Y$194),D34))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IF(D35="","",IF($H$3="BE",LOOKUP(IF(E35="",D35+0.01,D35*$H$30/E35+0.5),NB!$X$179:$X$194,NB!$Y$179:$Y$194),D35))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IF(D36="","",IF($H$3="BE",LOOKUP(IF(E36="",D36+0.01,D36*$H$30/E36+0.5),NB!$X$179:$X$194,NB!$Y$179:$Y$194),D36))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IF(D37="","",IF($H$3="BE",LOOKUP(IF(E37="",D37+0.01,D37*$H$30/E37+0.5),NB!$X$179:$X$194,NB!$Y$179:$Y$194),D37))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IF(D38="","",IF($H$3="BE",LOOKUP(IF(E38="",D38+0.01,D38*$H$30/E38+0.5),NB!$X$179:$X$194,NB!$Y$179:$Y$194),D38))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TEXT(NB!V161,"#0")&amp;"                      "&amp;TEXT(NB!Y161,"#0")&amp;"   "</f>
        <v xml:space="preserve">2                      15   </v>
      </c>
      <c r="C43" s="258">
        <f>+NB!W161</f>
        <v>20</v>
      </c>
      <c r="D43" s="243">
        <f>+NB!X161</f>
        <v>19</v>
      </c>
      <c r="E43" s="211" t="str">
        <f>+NB!Z161</f>
        <v xml:space="preserve"> </v>
      </c>
      <c r="F43" s="211"/>
      <c r="G43" s="214" t="str">
        <f>+NB!AA161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TEXT(NB!V162,"#0")&amp;"                      "&amp;TEXT(NB!Y162,"#0")&amp;"   "</f>
        <v xml:space="preserve">1                      14   </v>
      </c>
      <c r="C44" s="259">
        <f>+NB!W162</f>
        <v>18.5</v>
      </c>
      <c r="D44" s="244">
        <f>+NB!X162</f>
        <v>18</v>
      </c>
      <c r="E44" s="114" t="str">
        <f>+NB!Z162</f>
        <v xml:space="preserve"> </v>
      </c>
      <c r="F44" s="114"/>
      <c r="G44" s="206" t="str">
        <f>+NB!AA162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TEXT(NB!V163,"#0")&amp;"                      "&amp;TEXT(NB!Y163,"#0")&amp;"   "</f>
        <v xml:space="preserve">1                      13   </v>
      </c>
      <c r="C45" s="260">
        <f>+NB!W163</f>
        <v>17.5</v>
      </c>
      <c r="D45" s="245">
        <f>+NB!X163</f>
        <v>17</v>
      </c>
      <c r="E45" s="213" t="str">
        <f>+NB!Z163</f>
        <v xml:space="preserve"> </v>
      </c>
      <c r="F45" s="213"/>
      <c r="G45" s="215" t="str">
        <f>+NB!AA163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TEXT(NB!V164,"#0")&amp;"                      "&amp;TEXT(NB!Y164,"#0")&amp;"   "</f>
        <v xml:space="preserve">1                      12   </v>
      </c>
      <c r="C46" s="259">
        <f>+NB!W164</f>
        <v>16.5</v>
      </c>
      <c r="D46" s="244">
        <f>+NB!X164</f>
        <v>16</v>
      </c>
      <c r="E46" s="114" t="str">
        <f>+NB!Z164</f>
        <v xml:space="preserve"> </v>
      </c>
      <c r="F46" s="114"/>
      <c r="G46" s="206" t="str">
        <f>+NB!AA164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TEXT(NB!V165,"#0")&amp;"                      "&amp;TEXT(NB!Y165,"#0")&amp;"   "</f>
        <v xml:space="preserve">1                      11   </v>
      </c>
      <c r="C47" s="259">
        <f>+NB!W165</f>
        <v>15.5</v>
      </c>
      <c r="D47" s="244">
        <f>+NB!X165</f>
        <v>15</v>
      </c>
      <c r="E47" s="114" t="str">
        <f>+NB!Z165</f>
        <v xml:space="preserve"> </v>
      </c>
      <c r="F47" s="114"/>
      <c r="G47" s="206" t="str">
        <f>+NB!AA165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TEXT(NB!V166,"#0")&amp;"                      "&amp;TEXT(NB!Y166,"#0")&amp;"   "</f>
        <v xml:space="preserve">1                      10   </v>
      </c>
      <c r="C48" s="259">
        <f>+NB!W166</f>
        <v>14.5</v>
      </c>
      <c r="D48" s="244">
        <f>+NB!X166</f>
        <v>14</v>
      </c>
      <c r="E48" s="114" t="str">
        <f>+NB!Z166</f>
        <v xml:space="preserve"> </v>
      </c>
      <c r="F48" s="114"/>
      <c r="G48" s="206" t="str">
        <f>+NB!AA166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TEXT(NB!V167,"#0")&amp;"                        "&amp;TEXT(NB!Y167,"#0")&amp;"   "</f>
        <v xml:space="preserve">1                        9   </v>
      </c>
      <c r="C49" s="258">
        <f>+NB!W167</f>
        <v>13.5</v>
      </c>
      <c r="D49" s="243">
        <f>+NB!X167</f>
        <v>13.5</v>
      </c>
      <c r="E49" s="211" t="str">
        <f>+NB!Z167</f>
        <v xml:space="preserve"> </v>
      </c>
      <c r="F49" s="211"/>
      <c r="G49" s="214" t="str">
        <f>+NB!AA167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TEXT(NB!V168,"#0")&amp;"                        "&amp;TEXT(NB!Y168,"#0")&amp;"   "</f>
        <v xml:space="preserve">1                        8   </v>
      </c>
      <c r="C50" s="259">
        <f>+NB!W168</f>
        <v>13</v>
      </c>
      <c r="D50" s="244">
        <f>+NB!X168</f>
        <v>13</v>
      </c>
      <c r="E50" s="114" t="str">
        <f>+NB!Z168</f>
        <v xml:space="preserve"> </v>
      </c>
      <c r="F50" s="114"/>
      <c r="G50" s="206" t="str">
        <f>+NB!AA168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TEXT(NB!V169,"#0")&amp;"                        "&amp;TEXT(NB!Y169,"#0")&amp;"   "</f>
        <v xml:space="preserve">1                        7   </v>
      </c>
      <c r="C51" s="260">
        <f>+NB!W169</f>
        <v>12.5</v>
      </c>
      <c r="D51" s="245">
        <f>+NB!X169</f>
        <v>12</v>
      </c>
      <c r="E51" s="213" t="str">
        <f>+NB!Z169</f>
        <v xml:space="preserve"> </v>
      </c>
      <c r="F51" s="213"/>
      <c r="G51" s="215" t="str">
        <f>+NB!AA169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TEXT(NB!V170,"#0")&amp;"                        "&amp;TEXT(NB!Y170,"#0")&amp;"   "</f>
        <v xml:space="preserve">1                        6   </v>
      </c>
      <c r="C52" s="259">
        <f>+NB!W170</f>
        <v>11.5</v>
      </c>
      <c r="D52" s="244">
        <f>+NB!X170</f>
        <v>11.5</v>
      </c>
      <c r="E52" s="114" t="str">
        <f>+NB!Z170</f>
        <v xml:space="preserve"> </v>
      </c>
      <c r="F52" s="114"/>
      <c r="G52" s="206" t="str">
        <f>+NB!AA170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TEXT(NB!V171,"#0")&amp;"                        "&amp;TEXT(NB!Y171,"#0")&amp;"   "</f>
        <v xml:space="preserve">1                        5   </v>
      </c>
      <c r="C53" s="259">
        <f>+NB!W171</f>
        <v>11</v>
      </c>
      <c r="D53" s="244">
        <f>+NB!X171</f>
        <v>10.5</v>
      </c>
      <c r="E53" s="114" t="str">
        <f>+NB!Z171</f>
        <v xml:space="preserve"> </v>
      </c>
      <c r="F53" s="114"/>
      <c r="G53" s="206" t="str">
        <f>+NB!AA171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TEXT(NB!V172,"#0")&amp;"                        "&amp;TEXT(NB!Y172,"#0")&amp;"   "</f>
        <v xml:space="preserve">1                        4   </v>
      </c>
      <c r="C54" s="259">
        <f>+NB!W172</f>
        <v>10</v>
      </c>
      <c r="D54" s="244">
        <f>+NB!X172</f>
        <v>10</v>
      </c>
      <c r="E54" s="114" t="str">
        <f>+NB!Z172</f>
        <v xml:space="preserve"> </v>
      </c>
      <c r="F54" s="114"/>
      <c r="G54" s="206" t="str">
        <f>+NB!AA172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TEXT(NB!V173,"#0")&amp;"                        "&amp;TEXT(NB!Y173,"#0")&amp;"   "</f>
        <v xml:space="preserve">1                        3   </v>
      </c>
      <c r="C55" s="258">
        <f>+NB!W173</f>
        <v>9.5</v>
      </c>
      <c r="D55" s="243">
        <f>+NB!X173</f>
        <v>9</v>
      </c>
      <c r="E55" s="211" t="str">
        <f>+NB!Z173</f>
        <v xml:space="preserve"> </v>
      </c>
      <c r="F55" s="211"/>
      <c r="G55" s="214" t="str">
        <f>+NB!AA173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TEXT(NB!V174,"#0")&amp;"                        "&amp;TEXT(NB!Y174,"#0")&amp;"   "</f>
        <v xml:space="preserve">1                        2   </v>
      </c>
      <c r="C56" s="259">
        <f>+NB!W174</f>
        <v>8.5</v>
      </c>
      <c r="D56" s="244">
        <f>+NB!X174</f>
        <v>8</v>
      </c>
      <c r="E56" s="114" t="str">
        <f>+NB!Z174</f>
        <v xml:space="preserve"> </v>
      </c>
      <c r="F56" s="114"/>
      <c r="G56" s="206" t="str">
        <f>+NB!AA174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TEXT(NB!V175,"#0")&amp;"                        "&amp;TEXT(NB!Y175,"#0")&amp;"   "</f>
        <v xml:space="preserve">1                        1   </v>
      </c>
      <c r="C57" s="260">
        <f>+NB!W175</f>
        <v>7.5</v>
      </c>
      <c r="D57" s="245">
        <f>+NB!X175</f>
        <v>7.0000000000000009</v>
      </c>
      <c r="E57" s="213" t="str">
        <f>+NB!Z175</f>
        <v xml:space="preserve"> </v>
      </c>
      <c r="F57" s="213"/>
      <c r="G57" s="215" t="str">
        <f>+NB!AA175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TEXT(NB!V176,"#0")&amp;"                        "&amp;TEXT(NB!Y176,"#0")&amp;"   "</f>
        <v xml:space="preserve">0                        0   </v>
      </c>
      <c r="C58" s="261">
        <f>+NB!W176</f>
        <v>6.5000000000000009</v>
      </c>
      <c r="D58" s="246">
        <f>+NB!X176</f>
        <v>0</v>
      </c>
      <c r="E58" s="208" t="str">
        <f>+NB!Z176</f>
        <v xml:space="preserve"> </v>
      </c>
      <c r="F58" s="208"/>
      <c r="G58" s="209" t="str">
        <f>+NB!AA176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 - 2. Extemporale aus","I - 2. Kurzarbeit aus")</f>
        <v>I - 2. Extemporale aus</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IF(D4="","",IF($H$3="BE",LOOKUP(IF(E4="",D4+0.01,D4*$H$30/E4+0.5),NB!$X$249:$X$264,NB!$Y$249:$Y$264),D4))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IF(D5="","",IF($H$3="BE",LOOKUP(IF(E5="",D5+0.01,D5*$H$30/E5+0.5),NB!$X$249:$X$264,NB!$Y$249:$Y$264),D5))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IF(D6="","",IF($H$3="BE",LOOKUP(IF(E6="",D6+0.01,D6*$H$30/E6+0.5),NB!$X$249:$X$264,NB!$Y$249:$Y$264),D6))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IF(D7="","",IF($H$3="BE",LOOKUP(IF(E7="",D7+0.01,D7*$H$30/E7+0.5),NB!$X$249:$X$264,NB!$Y$249:$Y$264),D7))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IF(D8="","",IF($H$3="BE",LOOKUP(IF(E8="",D8+0.01,D8*$H$30/E8+0.5),NB!$X$249:$X$264,NB!$Y$249:$Y$264),D8))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IF(D9="","",IF($H$3="BE",LOOKUP(IF(E9="",D9+0.01,D9*$H$30/E9+0.5),NB!$X$249:$X$264,NB!$Y$249:$Y$264),D9))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IF(D10="","",IF($H$3="BE",LOOKUP(IF(E10="",D10+0.01,D10*$H$30/E10+0.5),NB!$X$249:$X$264,NB!$Y$249:$Y$264),D10))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IF(D11="","",IF($H$3="BE",LOOKUP(IF(E11="",D11+0.01,D11*$H$30/E11+0.5),NB!$X$249:$X$264,NB!$Y$249:$Y$264),D11))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IF(D12="","",IF($H$3="BE",LOOKUP(IF(E12="",D12+0.01,D12*$H$30/E12+0.5),NB!$X$249:$X$264,NB!$Y$249:$Y$264),D12))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IF(D13="","",IF($H$3="BE",LOOKUP(IF(E13="",D13+0.01,D13*$H$30/E13+0.5),NB!$X$249:$X$264,NB!$Y$249:$Y$264),D13))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IF(D14="","",IF($H$3="BE",LOOKUP(IF(E14="",D14+0.01,D14*$H$30/E14+0.5),NB!$X$249:$X$264,NB!$Y$249:$Y$264),D14))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IF(D15="","",IF($H$3="BE",LOOKUP(IF(E15="",D15+0.01,D15*$H$30/E15+0.5),NB!$X$249:$X$264,NB!$Y$249:$Y$264),D15))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IF(D16="","",IF($H$3="BE",LOOKUP(IF(E16="",D16+0.01,D16*$H$30/E16+0.5),NB!$X$249:$X$264,NB!$Y$249:$Y$264),D16))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IF(D17="","",IF($H$3="BE",LOOKUP(IF(E17="",D17+0.01,D17*$H$30/E17+0.5),NB!$X$249:$X$264,NB!$Y$249:$Y$264),D17))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IF(D18="","",IF($H$3="BE",LOOKUP(IF(E18="",D18+0.01,D18*$H$30/E18+0.5),NB!$X$249:$X$264,NB!$Y$249:$Y$264),D18))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IF(D19="","",IF($H$3="BE",LOOKUP(IF(E19="",D19+0.01,D19*$H$30/E19+0.5),NB!$X$249:$X$264,NB!$Y$249:$Y$264),D19))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IF(D20="","",IF($H$3="BE",LOOKUP(IF(E20="",D20+0.01,D20*$H$30/E20+0.5),NB!$X$249:$X$264,NB!$Y$249:$Y$264),D20))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IF(D21="","",IF($H$3="BE",LOOKUP(IF(E21="",D21+0.01,D21*$H$30/E21+0.5),NB!$X$249:$X$264,NB!$Y$249:$Y$264),D21))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IF(D22="","",IF($H$3="BE",LOOKUP(IF(E22="",D22+0.01,D22*$H$30/E22+0.5),NB!$X$249:$X$264,NB!$Y$249:$Y$264),D22))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IF(D23="","",IF($H$3="BE",LOOKUP(IF(E23="",D23+0.01,D23*$H$30/E23+0.5),NB!$X$249:$X$264,NB!$Y$249:$Y$264),D23))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IF(D24="","",IF($H$3="BE",LOOKUP(IF(E24="",D24+0.01,D24*$H$30/E24+0.5),NB!$X$249:$X$264,NB!$Y$249:$Y$264),D24))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IF(D25="","",IF($H$3="BE",LOOKUP(IF(E25="",D25+0.01,D25*$H$30/E25+0.5),NB!$X$249:$X$264,NB!$Y$249:$Y$264),D25))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IF(D26="","",IF($H$3="BE",LOOKUP(IF(E26="",D26+0.01,D26*$H$30/E26+0.5),NB!$X$249:$X$264,NB!$Y$249:$Y$264),D26))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IF(D27="","",IF($H$3="BE",LOOKUP(IF(E27="",D27+0.01,D27*$H$30/E27+0.5),NB!$X$249:$X$264,NB!$Y$249:$Y$264),D27))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IF(D28="","",IF($H$3="BE",LOOKUP(IF(E28="",D28+0.01,D28*$H$30/E28+0.5),NB!$X$249:$X$264,NB!$Y$249:$Y$264),D28))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IF(D29="","",IF($H$3="BE",LOOKUP(IF(E29="",D29+0.01,D29*$H$30/E29+0.5),NB!$X$249:$X$264,NB!$Y$249:$Y$264),D29))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IF(D30="","",IF($H$3="BE",LOOKUP(IF(E30="",D30+0.01,D30*$H$30/E30+0.5),NB!$X$249:$X$264,NB!$Y$249:$Y$264),D30))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IF(D31="","",IF($H$3="BE",LOOKUP(IF(E31="",D31+0.01,D31*$H$30/E31+0.5),NB!$X$249:$X$264,NB!$Y$249:$Y$264),D31))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IF(D32="","",IF($H$3="BE",LOOKUP(IF(E32="",D32+0.01,D32*$H$30/E32+0.5),NB!$X$249:$X$264,NB!$Y$249:$Y$264),D32))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IF(D33="","",IF($H$3="BE",LOOKUP(IF(E33="",D33+0.01,D33*$H$30/E33+0.5),NB!$X$249:$X$264,NB!$Y$249:$Y$264),D33))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IF(D34="","",IF($H$3="BE",LOOKUP(IF(E34="",D34+0.01,D34*$H$30/E34+0.5),NB!$X$249:$X$264,NB!$Y$249:$Y$264),D34))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IF(D35="","",IF($H$3="BE",LOOKUP(IF(E35="",D35+0.01,D35*$H$30/E35+0.5),NB!$X$249:$X$264,NB!$Y$249:$Y$264),D35))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IF(D36="","",IF($H$3="BE",LOOKUP(IF(E36="",D36+0.01,D36*$H$30/E36+0.5),NB!$X$249:$X$264,NB!$Y$249:$Y$264),D36))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IF(D37="","",IF($H$3="BE",LOOKUP(IF(E37="",D37+0.01,D37*$H$30/E37+0.5),NB!$X$249:$X$264,NB!$Y$249:$Y$264),D37))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IF(D38="","",IF($H$3="BE",LOOKUP(IF(E38="",D38+0.01,D38*$H$30/E38+0.5),NB!$X$249:$X$264,NB!$Y$249:$Y$264),D38))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TEXT(NB!V231,"#0")&amp;"                      "&amp;TEXT(NB!Y231,"#0")&amp;"   "</f>
        <v xml:space="preserve">2                      15   </v>
      </c>
      <c r="C43" s="258">
        <f>+NB!W231</f>
        <v>20</v>
      </c>
      <c r="D43" s="243">
        <f>+NB!X231</f>
        <v>19</v>
      </c>
      <c r="E43" s="211" t="str">
        <f>+NB!Z231</f>
        <v xml:space="preserve"> </v>
      </c>
      <c r="F43" s="211"/>
      <c r="G43" s="214" t="str">
        <f>+NB!AA231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TEXT(NB!V232,"#0")&amp;"                      "&amp;TEXT(NB!Y232,"#0")&amp;"   "</f>
        <v xml:space="preserve">1                      14   </v>
      </c>
      <c r="C44" s="259">
        <f>+NB!W232</f>
        <v>18.5</v>
      </c>
      <c r="D44" s="244">
        <f>+NB!X232</f>
        <v>18</v>
      </c>
      <c r="E44" s="114" t="str">
        <f>+NB!Z232</f>
        <v xml:space="preserve"> </v>
      </c>
      <c r="F44" s="114"/>
      <c r="G44" s="206" t="str">
        <f>+NB!AA232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TEXT(NB!V233,"#0")&amp;"                      "&amp;TEXT(NB!Y233,"#0")&amp;"   "</f>
        <v xml:space="preserve">1                      13   </v>
      </c>
      <c r="C45" s="260">
        <f>+NB!W233</f>
        <v>17.5</v>
      </c>
      <c r="D45" s="245">
        <f>+NB!X233</f>
        <v>17</v>
      </c>
      <c r="E45" s="213" t="str">
        <f>+NB!Z233</f>
        <v xml:space="preserve"> </v>
      </c>
      <c r="F45" s="213"/>
      <c r="G45" s="215" t="str">
        <f>+NB!AA233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TEXT(NB!V234,"#0")&amp;"                      "&amp;TEXT(NB!Y234,"#0")&amp;"   "</f>
        <v xml:space="preserve">1                      12   </v>
      </c>
      <c r="C46" s="259">
        <f>+NB!W234</f>
        <v>16.5</v>
      </c>
      <c r="D46" s="244">
        <f>+NB!X234</f>
        <v>16</v>
      </c>
      <c r="E46" s="114" t="str">
        <f>+NB!Z234</f>
        <v xml:space="preserve"> </v>
      </c>
      <c r="F46" s="114"/>
      <c r="G46" s="206" t="str">
        <f>+NB!AA234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TEXT(NB!V235,"#0")&amp;"                      "&amp;TEXT(NB!Y235,"#0")&amp;"   "</f>
        <v xml:space="preserve">1                      11   </v>
      </c>
      <c r="C47" s="259">
        <f>+NB!W235</f>
        <v>15.5</v>
      </c>
      <c r="D47" s="244">
        <f>+NB!X235</f>
        <v>15</v>
      </c>
      <c r="E47" s="114" t="str">
        <f>+NB!Z235</f>
        <v xml:space="preserve"> </v>
      </c>
      <c r="F47" s="114"/>
      <c r="G47" s="206" t="str">
        <f>+NB!AA235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TEXT(NB!V236,"#0")&amp;"                      "&amp;TEXT(NB!Y236,"#0")&amp;"   "</f>
        <v xml:space="preserve">1                      10   </v>
      </c>
      <c r="C48" s="259">
        <f>+NB!W236</f>
        <v>14.5</v>
      </c>
      <c r="D48" s="244">
        <f>+NB!X236</f>
        <v>14</v>
      </c>
      <c r="E48" s="114" t="str">
        <f>+NB!Z236</f>
        <v xml:space="preserve"> </v>
      </c>
      <c r="F48" s="114"/>
      <c r="G48" s="206" t="str">
        <f>+NB!AA236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TEXT(NB!V237,"#0")&amp;"                        "&amp;TEXT(NB!Y237,"#0")&amp;"   "</f>
        <v xml:space="preserve">1                        9   </v>
      </c>
      <c r="C49" s="258">
        <f>+NB!W237</f>
        <v>13.5</v>
      </c>
      <c r="D49" s="243">
        <f>+NB!X237</f>
        <v>13.5</v>
      </c>
      <c r="E49" s="211" t="str">
        <f>+NB!Z237</f>
        <v xml:space="preserve"> </v>
      </c>
      <c r="F49" s="211"/>
      <c r="G49" s="214" t="str">
        <f>+NB!AA237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TEXT(NB!V238,"#0")&amp;"                        "&amp;TEXT(NB!Y238,"#0")&amp;"   "</f>
        <v xml:space="preserve">1                        8   </v>
      </c>
      <c r="C50" s="259">
        <f>+NB!W238</f>
        <v>13</v>
      </c>
      <c r="D50" s="244">
        <f>+NB!X238</f>
        <v>13</v>
      </c>
      <c r="E50" s="114" t="str">
        <f>+NB!Z238</f>
        <v xml:space="preserve"> </v>
      </c>
      <c r="F50" s="114"/>
      <c r="G50" s="206" t="str">
        <f>+NB!AA238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TEXT(NB!V239,"#0")&amp;"                        "&amp;TEXT(NB!Y239,"#0")&amp;"   "</f>
        <v xml:space="preserve">1                        7   </v>
      </c>
      <c r="C51" s="260">
        <f>+NB!W239</f>
        <v>12.5</v>
      </c>
      <c r="D51" s="245">
        <f>+NB!X239</f>
        <v>12</v>
      </c>
      <c r="E51" s="213" t="str">
        <f>+NB!Z239</f>
        <v xml:space="preserve"> </v>
      </c>
      <c r="F51" s="213"/>
      <c r="G51" s="215" t="str">
        <f>+NB!AA239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TEXT(NB!V240,"#0")&amp;"                        "&amp;TEXT(NB!Y240,"#0")&amp;"   "</f>
        <v xml:space="preserve">1                        6   </v>
      </c>
      <c r="C52" s="259">
        <f>+NB!W240</f>
        <v>11.5</v>
      </c>
      <c r="D52" s="244">
        <f>+NB!X240</f>
        <v>11.5</v>
      </c>
      <c r="E52" s="114" t="str">
        <f>+NB!Z240</f>
        <v xml:space="preserve"> </v>
      </c>
      <c r="F52" s="114"/>
      <c r="G52" s="206" t="str">
        <f>+NB!AA240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TEXT(NB!V241,"#0")&amp;"                        "&amp;TEXT(NB!Y241,"#0")&amp;"   "</f>
        <v xml:space="preserve">1                        5   </v>
      </c>
      <c r="C53" s="259">
        <f>+NB!W241</f>
        <v>11</v>
      </c>
      <c r="D53" s="244">
        <f>+NB!X241</f>
        <v>10.5</v>
      </c>
      <c r="E53" s="114" t="str">
        <f>+NB!Z241</f>
        <v xml:space="preserve"> </v>
      </c>
      <c r="F53" s="114"/>
      <c r="G53" s="206" t="str">
        <f>+NB!AA241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TEXT(NB!V242,"#0")&amp;"                        "&amp;TEXT(NB!Y242,"#0")&amp;"   "</f>
        <v xml:space="preserve">1                        4   </v>
      </c>
      <c r="C54" s="259">
        <f>+NB!W242</f>
        <v>10</v>
      </c>
      <c r="D54" s="244">
        <f>+NB!X242</f>
        <v>10</v>
      </c>
      <c r="E54" s="114" t="str">
        <f>+NB!Z242</f>
        <v xml:space="preserve"> </v>
      </c>
      <c r="F54" s="114"/>
      <c r="G54" s="206" t="str">
        <f>+NB!AA242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TEXT(NB!V243,"#0")&amp;"                        "&amp;TEXT(NB!Y243,"#0")&amp;"   "</f>
        <v xml:space="preserve">1                        3   </v>
      </c>
      <c r="C55" s="258">
        <f>+NB!W243</f>
        <v>9.5</v>
      </c>
      <c r="D55" s="243">
        <f>+NB!X243</f>
        <v>9</v>
      </c>
      <c r="E55" s="211" t="str">
        <f>+NB!Z243</f>
        <v xml:space="preserve"> </v>
      </c>
      <c r="F55" s="211"/>
      <c r="G55" s="214" t="str">
        <f>+NB!AA243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TEXT(NB!V244,"#0")&amp;"                        "&amp;TEXT(NB!Y244,"#0")&amp;"   "</f>
        <v xml:space="preserve">1                        2   </v>
      </c>
      <c r="C56" s="259">
        <f>+NB!W244</f>
        <v>8.5</v>
      </c>
      <c r="D56" s="244">
        <f>+NB!X244</f>
        <v>8</v>
      </c>
      <c r="E56" s="114" t="str">
        <f>+NB!Z244</f>
        <v xml:space="preserve"> </v>
      </c>
      <c r="F56" s="114"/>
      <c r="G56" s="206" t="str">
        <f>+NB!AA244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TEXT(NB!V245,"#0")&amp;"                        "&amp;TEXT(NB!Y245,"#0")&amp;"   "</f>
        <v xml:space="preserve">1                        1   </v>
      </c>
      <c r="C57" s="260">
        <f>+NB!W245</f>
        <v>7.5</v>
      </c>
      <c r="D57" s="245">
        <f>+NB!X245</f>
        <v>7.0000000000000009</v>
      </c>
      <c r="E57" s="213" t="str">
        <f>+NB!Z245</f>
        <v xml:space="preserve"> </v>
      </c>
      <c r="F57" s="213"/>
      <c r="G57" s="215" t="str">
        <f>+NB!AA245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TEXT(NB!V246,"#0")&amp;"                        "&amp;TEXT(NB!Y246,"#0")&amp;"   "</f>
        <v xml:space="preserve">0                        0   </v>
      </c>
      <c r="C58" s="261">
        <f>+NB!W246</f>
        <v>6.5000000000000009</v>
      </c>
      <c r="D58" s="246">
        <f>+NB!X246</f>
        <v>0</v>
      </c>
      <c r="E58" s="208" t="str">
        <f>+NB!Z246</f>
        <v xml:space="preserve"> </v>
      </c>
      <c r="F58" s="208"/>
      <c r="G58" s="209" t="str">
        <f>+NB!AA246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 - 3. Extemporale aus","I - 3. Kurzarbeit aus")</f>
        <v>I - 3. Extemporale aus</v>
      </c>
      <c r="C1" s="150" t="str">
        <f>IF(Notenbogen!E1="","",Notenbogen!E1)</f>
        <v/>
      </c>
      <c r="D1" s="157"/>
      <c r="E1" s="1"/>
      <c r="F1" s="147" t="s">
        <v>13</v>
      </c>
      <c r="G1" s="536"/>
      <c r="H1" s="542"/>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2" t="s">
        <v>3</v>
      </c>
      <c r="B3" s="2" t="s">
        <v>4</v>
      </c>
      <c r="C3" s="382" t="s">
        <v>18</v>
      </c>
      <c r="D3" s="9" t="s">
        <v>19</v>
      </c>
      <c r="E3" s="194"/>
      <c r="F3" s="69"/>
      <c r="G3" s="108" t="s">
        <v>48</v>
      </c>
      <c r="H3" s="109" t="s">
        <v>19</v>
      </c>
      <c r="I3" s="1"/>
      <c r="J3" s="1"/>
      <c r="K3" s="3"/>
      <c r="L3" s="115"/>
      <c r="M3" s="115"/>
      <c r="N3" s="114"/>
    </row>
    <row r="4" spans="1:14" x14ac:dyDescent="0.2">
      <c r="A4" s="382">
        <v>1</v>
      </c>
      <c r="B4" s="145" t="str">
        <f>IF(Notenbogen!B4&lt;&gt;"", Notenbogen!B4, "")</f>
        <v/>
      </c>
      <c r="C4" s="154" t="str">
        <f>IF(D4="","",IF($H$3="BE",LOOKUP(IF(E4="",D4+0.01,D4*$H$30/E4+0.5),NB!$X$325:$X$340,NB!$Y$325:$Y$340),D4))</f>
        <v/>
      </c>
      <c r="D4" s="4"/>
      <c r="E4" s="104"/>
      <c r="F4" s="1"/>
      <c r="G4" s="1"/>
      <c r="H4" s="1"/>
      <c r="I4" s="1"/>
      <c r="J4" s="66" t="str">
        <f t="shared" ref="J4:J38" si="0">+B4&amp;D4</f>
        <v/>
      </c>
      <c r="K4" s="3"/>
      <c r="L4" s="110"/>
      <c r="M4" s="110"/>
      <c r="N4" s="114"/>
    </row>
    <row r="5" spans="1:14" x14ac:dyDescent="0.2">
      <c r="A5" s="382">
        <v>2</v>
      </c>
      <c r="B5" s="145" t="str">
        <f>IF(Notenbogen!B5&lt;&gt;"", Notenbogen!B5, "")</f>
        <v/>
      </c>
      <c r="C5" s="154" t="str">
        <f>IF(D5="","",IF($H$3="BE",LOOKUP(IF(E5="",D5+0.01,D5*$H$30/E5+0.5),NB!$X$325:$X$340,NB!$Y$325:$Y$340),D5))</f>
        <v/>
      </c>
      <c r="D5" s="4"/>
      <c r="E5" s="104"/>
      <c r="F5" s="537" t="s">
        <v>12</v>
      </c>
      <c r="G5" s="538"/>
      <c r="H5" s="538"/>
      <c r="I5" s="1"/>
      <c r="J5" s="66" t="str">
        <f t="shared" si="0"/>
        <v/>
      </c>
      <c r="K5" s="3"/>
      <c r="L5" s="110"/>
      <c r="M5" s="110"/>
      <c r="N5" s="114"/>
    </row>
    <row r="6" spans="1:14" x14ac:dyDescent="0.2">
      <c r="A6" s="382">
        <v>3</v>
      </c>
      <c r="B6" s="145" t="str">
        <f>IF(Notenbogen!B6&lt;&gt;"", Notenbogen!B6, "")</f>
        <v/>
      </c>
      <c r="C6" s="154" t="str">
        <f>IF(D6="","",IF($H$3="BE",LOOKUP(IF(E6="",D6+0.01,D6*$H$30/E6+0.5),NB!$X$325:$X$340,NB!$Y$325:$Y$340),D6))</f>
        <v/>
      </c>
      <c r="D6" s="4"/>
      <c r="E6" s="104"/>
      <c r="F6" s="82" t="s">
        <v>18</v>
      </c>
      <c r="G6" s="83" t="s">
        <v>5</v>
      </c>
      <c r="H6" s="82" t="s">
        <v>17</v>
      </c>
      <c r="I6" s="1"/>
      <c r="J6" s="66" t="str">
        <f t="shared" si="0"/>
        <v/>
      </c>
      <c r="K6" s="3"/>
      <c r="L6" s="110"/>
      <c r="M6" s="110"/>
      <c r="N6" s="114"/>
    </row>
    <row r="7" spans="1:14" x14ac:dyDescent="0.2">
      <c r="A7" s="382">
        <v>4</v>
      </c>
      <c r="B7" s="145" t="str">
        <f>IF(Notenbogen!B7&lt;&gt;"", Notenbogen!B7, "")</f>
        <v/>
      </c>
      <c r="C7" s="154"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82">
        <v>5</v>
      </c>
      <c r="B8" s="145" t="str">
        <f>IF(Notenbogen!B8&lt;&gt;"", Notenbogen!B8, "")</f>
        <v/>
      </c>
      <c r="C8" s="154"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2">
        <v>6</v>
      </c>
      <c r="B9" s="145" t="str">
        <f>IF(Notenbogen!B9&lt;&gt;"", Notenbogen!B9, "")</f>
        <v/>
      </c>
      <c r="C9" s="154"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82">
        <v>7</v>
      </c>
      <c r="B10" s="145" t="str">
        <f>IF(Notenbogen!B10&lt;&gt;"", Notenbogen!B10, "")</f>
        <v/>
      </c>
      <c r="C10" s="154"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82">
        <v>8</v>
      </c>
      <c r="B11" s="145" t="str">
        <f>IF(Notenbogen!B11&lt;&gt;"", Notenbogen!B11, "")</f>
        <v/>
      </c>
      <c r="C11" s="154"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2">
        <v>9</v>
      </c>
      <c r="B12" s="145" t="str">
        <f>IF(Notenbogen!B12&lt;&gt;"", Notenbogen!B12, "")</f>
        <v/>
      </c>
      <c r="C12" s="154"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82">
        <v>10</v>
      </c>
      <c r="B13" s="145" t="str">
        <f>IF(Notenbogen!B13&lt;&gt;"", Notenbogen!B13, "")</f>
        <v/>
      </c>
      <c r="C13" s="154"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82">
        <v>11</v>
      </c>
      <c r="B14" s="145" t="str">
        <f>IF(Notenbogen!B14&lt;&gt;"", Notenbogen!B14, "")</f>
        <v/>
      </c>
      <c r="C14" s="154"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2">
        <v>12</v>
      </c>
      <c r="B15" s="145" t="str">
        <f>IF(Notenbogen!B15&lt;&gt;"", Notenbogen!B15, "")</f>
        <v/>
      </c>
      <c r="C15" s="154"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82">
        <v>13</v>
      </c>
      <c r="B16" s="145" t="str">
        <f>IF(Notenbogen!B16&lt;&gt;"", Notenbogen!B16, "")</f>
        <v/>
      </c>
      <c r="C16" s="154"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82">
        <v>14</v>
      </c>
      <c r="B17" s="145" t="str">
        <f>IF(Notenbogen!B17&lt;&gt;"", Notenbogen!B17, "")</f>
        <v/>
      </c>
      <c r="C17" s="154"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82">
        <v>15</v>
      </c>
      <c r="B18" s="145" t="str">
        <f>IF(Notenbogen!B18&lt;&gt;"", Notenbogen!B18, "")</f>
        <v/>
      </c>
      <c r="C18" s="154"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82">
        <v>16</v>
      </c>
      <c r="B19" s="145" t="str">
        <f>IF(Notenbogen!B19&lt;&gt;"", Notenbogen!B19, "")</f>
        <v/>
      </c>
      <c r="C19" s="154"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82">
        <v>17</v>
      </c>
      <c r="B20" s="145" t="str">
        <f>IF(Notenbogen!B20&lt;&gt;"", Notenbogen!B20, "")</f>
        <v/>
      </c>
      <c r="C20" s="154"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82">
        <v>18</v>
      </c>
      <c r="B21" s="145" t="str">
        <f>IF(Notenbogen!B21&lt;&gt;"", Notenbogen!B21, "")</f>
        <v/>
      </c>
      <c r="C21" s="154"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82">
        <v>19</v>
      </c>
      <c r="B22" s="145" t="str">
        <f>IF(Notenbogen!B22&lt;&gt;"", Notenbogen!B22, "")</f>
        <v/>
      </c>
      <c r="C22" s="154" t="str">
        <f>IF(D22="","",IF($H$3="BE",LOOKUP(IF(E22="",D22+0.01,D22*$H$30/E22+0.5),NB!$X$325:$X$340,NB!$Y$325:$Y$340),D22))</f>
        <v/>
      </c>
      <c r="D22" s="4"/>
      <c r="E22" s="104"/>
      <c r="F22" s="155">
        <v>0</v>
      </c>
      <c r="G22" s="85">
        <f t="shared" si="2"/>
        <v>0</v>
      </c>
      <c r="H22" s="86" t="e">
        <f t="shared" si="1"/>
        <v>#DIV/0!</v>
      </c>
      <c r="I22" s="105" t="e">
        <f>+H22</f>
        <v>#DIV/0!</v>
      </c>
      <c r="J22" s="67" t="str">
        <f t="shared" si="0"/>
        <v/>
      </c>
      <c r="K22" s="1"/>
    </row>
    <row r="23" spans="1:12" x14ac:dyDescent="0.2">
      <c r="A23" s="382">
        <v>20</v>
      </c>
      <c r="B23" s="145" t="str">
        <f>IF(Notenbogen!B23&lt;&gt;"", Notenbogen!B23, "")</f>
        <v/>
      </c>
      <c r="C23" s="154" t="str">
        <f>IF(D23="","",IF($H$3="BE",LOOKUP(IF(E23="",D23+0.01,D23*$H$30/E23+0.5),NB!$X$325:$X$340,NB!$Y$325:$Y$340),D23))</f>
        <v/>
      </c>
      <c r="D23" s="4"/>
      <c r="E23" s="104"/>
      <c r="F23" s="107" t="s">
        <v>38</v>
      </c>
      <c r="G23" s="156" t="e">
        <f>AVERAGE(C4:C38)</f>
        <v>#DIV/0!</v>
      </c>
      <c r="H23" s="193" t="e">
        <f>+(17-G23)/3</f>
        <v>#DIV/0!</v>
      </c>
      <c r="I23" s="1">
        <f>+G22</f>
        <v>0</v>
      </c>
      <c r="J23" s="67" t="str">
        <f t="shared" si="0"/>
        <v/>
      </c>
      <c r="K23" s="1"/>
    </row>
    <row r="24" spans="1:12" x14ac:dyDescent="0.2">
      <c r="A24" s="382">
        <v>21</v>
      </c>
      <c r="B24" s="145" t="str">
        <f>IF(Notenbogen!B24&lt;&gt;"", Notenbogen!B24, "")</f>
        <v/>
      </c>
      <c r="C24" s="154" t="str">
        <f>IF(D24="","",IF($H$3="BE",LOOKUP(IF(E24="",D24+0.01,D24*$H$30/E24+0.5),NB!$X$325:$X$340,NB!$Y$325:$Y$340),D24))</f>
        <v/>
      </c>
      <c r="D24" s="4"/>
      <c r="E24" s="104"/>
      <c r="F24" s="1"/>
      <c r="G24" s="1"/>
      <c r="H24" s="1"/>
      <c r="I24" s="1"/>
      <c r="J24" s="67" t="str">
        <f t="shared" si="0"/>
        <v/>
      </c>
      <c r="K24" s="1"/>
    </row>
    <row r="25" spans="1:12" x14ac:dyDescent="0.2">
      <c r="A25" s="382">
        <v>22</v>
      </c>
      <c r="B25" s="145" t="str">
        <f>IF(Notenbogen!B25&lt;&gt;"", Notenbogen!B25, "")</f>
        <v/>
      </c>
      <c r="C25" s="154" t="str">
        <f>IF(D25="","",IF($H$3="BE",LOOKUP(IF(E25="",D25+0.01,D25*$H$30/E25+0.5),NB!$X$325:$X$340,NB!$Y$325:$Y$340),D25))</f>
        <v/>
      </c>
      <c r="D25" s="4"/>
      <c r="E25" s="104"/>
      <c r="F25" s="5" t="s">
        <v>14</v>
      </c>
      <c r="G25" s="7">
        <f>COUNT(D4:D38)</f>
        <v>0</v>
      </c>
      <c r="H25" s="1"/>
      <c r="I25" s="1"/>
      <c r="J25" s="67" t="str">
        <f t="shared" si="0"/>
        <v/>
      </c>
      <c r="K25" s="1"/>
    </row>
    <row r="26" spans="1:12" x14ac:dyDescent="0.2">
      <c r="A26" s="382">
        <v>23</v>
      </c>
      <c r="B26" s="145" t="str">
        <f>IF(Notenbogen!B26&lt;&gt;"", Notenbogen!B26, "")</f>
        <v/>
      </c>
      <c r="C26" s="154" t="str">
        <f>IF(D26="","",IF($H$3="BE",LOOKUP(IF(E26="",D26+0.01,D26*$H$30/E26+0.5),NB!$X$325:$X$340,NB!$Y$325:$Y$340),D26))</f>
        <v/>
      </c>
      <c r="D26" s="4"/>
      <c r="E26" s="104"/>
      <c r="F26" s="6" t="s">
        <v>15</v>
      </c>
      <c r="G26" s="8">
        <f>+G27-G25</f>
        <v>0</v>
      </c>
      <c r="H26" s="1"/>
      <c r="I26" s="1"/>
      <c r="J26" s="67" t="str">
        <f t="shared" si="0"/>
        <v/>
      </c>
      <c r="K26" s="1"/>
    </row>
    <row r="27" spans="1:12" x14ac:dyDescent="0.2">
      <c r="A27" s="382">
        <v>24</v>
      </c>
      <c r="B27" s="145" t="str">
        <f>IF(Notenbogen!B27&lt;&gt;"", Notenbogen!B27, "")</f>
        <v/>
      </c>
      <c r="C27" s="154" t="str">
        <f>IF(D27="","",IF($H$3="BE",LOOKUP(IF(E27="",D27+0.01,D27*$H$30/E27+0.5),NB!$X$325:$X$340,NB!$Y$325:$Y$340),D27))</f>
        <v/>
      </c>
      <c r="D27" s="4"/>
      <c r="E27" s="104"/>
      <c r="F27" s="6" t="s">
        <v>16</v>
      </c>
      <c r="G27" s="8">
        <f>35-COUNTIF(J4:J38,"")</f>
        <v>0</v>
      </c>
      <c r="H27" s="1"/>
      <c r="I27" s="1"/>
      <c r="J27" s="67" t="str">
        <f t="shared" si="0"/>
        <v/>
      </c>
      <c r="K27" s="1"/>
    </row>
    <row r="28" spans="1:12" x14ac:dyDescent="0.2">
      <c r="A28" s="382">
        <v>25</v>
      </c>
      <c r="B28" s="145" t="str">
        <f>IF(Notenbogen!B28&lt;&gt;"", Notenbogen!B28, "")</f>
        <v/>
      </c>
      <c r="C28" s="154" t="str">
        <f>IF(D28="","",IF($H$3="BE",LOOKUP(IF(E28="",D28+0.01,D28*$H$30/E28+0.5),NB!$X$325:$X$340,NB!$Y$325:$Y$340),D28))</f>
        <v/>
      </c>
      <c r="D28" s="4"/>
      <c r="E28" s="104"/>
      <c r="F28" s="15"/>
      <c r="G28" s="15"/>
      <c r="H28" s="15"/>
      <c r="I28" s="1"/>
      <c r="J28" s="67" t="str">
        <f t="shared" si="0"/>
        <v/>
      </c>
      <c r="K28" s="1"/>
      <c r="L28" s="15"/>
    </row>
    <row r="29" spans="1:12" ht="13.5" thickBot="1" x14ac:dyDescent="0.25">
      <c r="A29" s="382">
        <v>26</v>
      </c>
      <c r="B29" s="145" t="str">
        <f>IF(Notenbogen!B29&lt;&gt;"", Notenbogen!B29, "")</f>
        <v/>
      </c>
      <c r="C29" s="154" t="str">
        <f>IF(D29="","",IF($H$3="BE",LOOKUP(IF(E29="",D29+0.01,D29*$H$30/E29+0.5),NB!$X$325:$X$340,NB!$Y$325:$Y$340),D29))</f>
        <v/>
      </c>
      <c r="D29" s="4"/>
      <c r="E29" s="104"/>
      <c r="F29" s="52" t="s">
        <v>20</v>
      </c>
      <c r="G29" s="15"/>
      <c r="I29" s="1"/>
      <c r="J29" s="68" t="str">
        <f t="shared" si="0"/>
        <v/>
      </c>
      <c r="K29" s="1"/>
      <c r="L29" s="15"/>
    </row>
    <row r="30" spans="1:12" ht="13.5" thickBot="1" x14ac:dyDescent="0.25">
      <c r="A30" s="382">
        <v>27</v>
      </c>
      <c r="B30" s="145" t="str">
        <f>IF(Notenbogen!B30&lt;&gt;"", Notenbogen!B30, "")</f>
        <v/>
      </c>
      <c r="C30" s="154" t="str">
        <f>IF(D30="","",IF($H$3="BE",LOOKUP(IF(E30="",D30+0.01,D30*$H$30/E30+0.5),NB!$X$325:$X$340,NB!$Y$325:$Y$340),D30))</f>
        <v/>
      </c>
      <c r="D30" s="4"/>
      <c r="E30" s="104"/>
      <c r="F30" s="15"/>
      <c r="G30" s="15"/>
      <c r="H30" s="13">
        <v>20</v>
      </c>
      <c r="I30" s="1"/>
      <c r="J30" s="68" t="str">
        <f t="shared" si="0"/>
        <v/>
      </c>
      <c r="K30" s="1"/>
      <c r="L30" s="15"/>
    </row>
    <row r="31" spans="1:12" ht="13.5" thickBot="1" x14ac:dyDescent="0.25">
      <c r="A31" s="382">
        <v>28</v>
      </c>
      <c r="B31" s="145" t="str">
        <f>IF(Notenbogen!B31&lt;&gt;"", Notenbogen!B31, "")</f>
        <v/>
      </c>
      <c r="C31" s="154" t="str">
        <f>IF(D31="","",IF($H$3="BE",LOOKUP(IF(E31="",D31+0.01,D31*$H$30/E31+0.5),NB!$X$325:$X$340,NB!$Y$325:$Y$340),D31))</f>
        <v/>
      </c>
      <c r="D31" s="4"/>
      <c r="E31" s="104"/>
      <c r="J31" s="68" t="str">
        <f t="shared" si="0"/>
        <v/>
      </c>
      <c r="K31" s="1"/>
      <c r="L31" s="15"/>
    </row>
    <row r="32" spans="1:12" ht="13.5" thickBot="1" x14ac:dyDescent="0.25">
      <c r="A32" s="382">
        <v>29</v>
      </c>
      <c r="B32" s="145" t="str">
        <f>IF(Notenbogen!B32&lt;&gt;"", Notenbogen!B32, "")</f>
        <v/>
      </c>
      <c r="C32" s="154" t="str">
        <f>IF(D32="","",IF($H$3="BE",LOOKUP(IF(E32="",D32+0.01,D32*$H$30/E32+0.5),NB!$X$325:$X$340,NB!$Y$325:$Y$340),D32))</f>
        <v/>
      </c>
      <c r="D32" s="4"/>
      <c r="E32" s="104"/>
      <c r="F32" s="53" t="s">
        <v>39</v>
      </c>
      <c r="G32" s="15"/>
      <c r="H32" s="81" t="s">
        <v>143</v>
      </c>
      <c r="J32" s="68" t="str">
        <f t="shared" si="0"/>
        <v/>
      </c>
      <c r="K32" s="1"/>
      <c r="L32" s="15"/>
    </row>
    <row r="33" spans="1:49" x14ac:dyDescent="0.2">
      <c r="A33" s="382">
        <v>30</v>
      </c>
      <c r="B33" s="145" t="str">
        <f>IF(Notenbogen!B33&lt;&gt;"", Notenbogen!B33, "")</f>
        <v/>
      </c>
      <c r="C33" s="154" t="str">
        <f>IF(D33="","",IF($H$3="BE",LOOKUP(IF(E33="",D33+0.01,D33*$H$30/E33+0.5),NB!$X$325:$X$340,NB!$Y$325:$Y$340),D33))</f>
        <v/>
      </c>
      <c r="D33" s="4"/>
      <c r="E33" s="104"/>
      <c r="F33" s="53" t="s">
        <v>21</v>
      </c>
      <c r="G33" s="15"/>
      <c r="H33" s="65"/>
      <c r="I33" s="53"/>
      <c r="J33" s="68" t="str">
        <f t="shared" si="0"/>
        <v/>
      </c>
      <c r="K33" s="1"/>
      <c r="L33" s="15"/>
    </row>
    <row r="34" spans="1:49" x14ac:dyDescent="0.2">
      <c r="A34" s="382">
        <v>31</v>
      </c>
      <c r="B34" s="145" t="str">
        <f>IF(Notenbogen!B34&lt;&gt;"", Notenbogen!B34, "")</f>
        <v/>
      </c>
      <c r="C34" s="154" t="str">
        <f>IF(D34="","",IF($H$3="BE",LOOKUP(IF(E34="",D34+0.01,D34*$H$30/E34+0.5),NB!$X$325:$X$340,NB!$Y$325:$Y$340),D34))</f>
        <v/>
      </c>
      <c r="D34" s="4"/>
      <c r="E34" s="104"/>
      <c r="F34" s="52" t="s">
        <v>22</v>
      </c>
      <c r="G34" s="53"/>
      <c r="H34" s="14">
        <v>34</v>
      </c>
      <c r="I34" s="64" t="s">
        <v>23</v>
      </c>
      <c r="J34" s="68" t="str">
        <f t="shared" si="0"/>
        <v/>
      </c>
      <c r="K34" s="1"/>
      <c r="L34" s="15"/>
    </row>
    <row r="35" spans="1:49" x14ac:dyDescent="0.2">
      <c r="A35" s="382">
        <v>32</v>
      </c>
      <c r="B35" s="145" t="str">
        <f>IF(Notenbogen!B35&lt;&gt;"", Notenbogen!B35, "")</f>
        <v/>
      </c>
      <c r="C35" s="154" t="str">
        <f>IF(D35="","",IF($H$3="BE",LOOKUP(IF(E35="",D35+0.01,D35*$H$30/E35+0.5),NB!$X$325:$X$340,NB!$Y$325:$Y$340),D35))</f>
        <v/>
      </c>
      <c r="D35" s="4"/>
      <c r="E35" s="104"/>
      <c r="F35" s="52" t="s">
        <v>24</v>
      </c>
      <c r="G35" s="53"/>
      <c r="H35" s="14">
        <v>49</v>
      </c>
      <c r="I35" s="64" t="s">
        <v>23</v>
      </c>
      <c r="J35" s="68" t="str">
        <f t="shared" si="0"/>
        <v/>
      </c>
      <c r="K35" s="1"/>
      <c r="L35" s="15"/>
    </row>
    <row r="36" spans="1:49" x14ac:dyDescent="0.2">
      <c r="A36" s="382">
        <v>33</v>
      </c>
      <c r="B36" s="145" t="str">
        <f>IF(Notenbogen!B36&lt;&gt;"", Notenbogen!B36, "")</f>
        <v/>
      </c>
      <c r="C36" s="154" t="str">
        <f>IF(D36="","",IF($H$3="BE",LOOKUP(IF(E36="",D36+0.01,D36*$H$30/E36+0.5),NB!$X$325:$X$340,NB!$Y$325:$Y$340),D36))</f>
        <v/>
      </c>
      <c r="D36" s="4"/>
      <c r="E36" s="104"/>
      <c r="F36" s="53"/>
      <c r="G36" s="15"/>
      <c r="H36" s="15"/>
      <c r="I36" s="1"/>
      <c r="J36" s="68" t="str">
        <f t="shared" si="0"/>
        <v/>
      </c>
      <c r="K36" s="1"/>
      <c r="L36" s="15"/>
    </row>
    <row r="37" spans="1:49" x14ac:dyDescent="0.2">
      <c r="A37" s="382">
        <v>34</v>
      </c>
      <c r="B37" s="145" t="str">
        <f>IF(Notenbogen!B37&lt;&gt;"", Notenbogen!B37, "")</f>
        <v/>
      </c>
      <c r="C37" s="154"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2">
        <v>35</v>
      </c>
      <c r="B38" s="145" t="str">
        <f>IF(Notenbogen!B38&lt;&gt;"", Notenbogen!B38, "")</f>
        <v/>
      </c>
      <c r="C38" s="154"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39" t="s">
        <v>87</v>
      </c>
      <c r="B40" s="216" t="s">
        <v>84</v>
      </c>
      <c r="C40" s="528" t="s">
        <v>81</v>
      </c>
      <c r="D40" s="529"/>
      <c r="E40" s="530" t="str">
        <f>+NB!Z2</f>
        <v>Kontrolle</v>
      </c>
      <c r="F40" s="530"/>
      <c r="G40" s="531"/>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40"/>
      <c r="B41" s="114" t="s">
        <v>82</v>
      </c>
      <c r="C41" s="532" t="s">
        <v>83</v>
      </c>
      <c r="D41" s="533"/>
      <c r="E41" s="534" t="str">
        <f>+NB!Z3</f>
        <v>"Alarm" bei Abweichung</v>
      </c>
      <c r="F41" s="534"/>
      <c r="G41" s="535"/>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41"/>
      <c r="B42" s="114"/>
      <c r="C42" s="380" t="s">
        <v>32</v>
      </c>
      <c r="D42" s="381" t="s">
        <v>33</v>
      </c>
      <c r="E42" s="534" t="str">
        <f>+NB!Z4</f>
        <v>um mehr als 1 BE</v>
      </c>
      <c r="F42" s="534"/>
      <c r="G42" s="535"/>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TEXT(NB!V307,"#0")&amp;"                      "&amp;TEXT(NB!Y307,"#0")&amp;"   "</f>
        <v xml:space="preserve">2                      15   </v>
      </c>
      <c r="C43" s="258">
        <f>+NB!W307</f>
        <v>20</v>
      </c>
      <c r="D43" s="243">
        <f>+NB!X307</f>
        <v>19</v>
      </c>
      <c r="E43" s="211" t="str">
        <f>+NB!Z307</f>
        <v xml:space="preserve"> </v>
      </c>
      <c r="F43" s="211"/>
      <c r="G43" s="214"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TEXT(NB!V308,"#0")&amp;"                      "&amp;TEXT(NB!Y308,"#0")&amp;"   "</f>
        <v xml:space="preserve">1                      14   </v>
      </c>
      <c r="C44" s="259">
        <f>+NB!W308</f>
        <v>18.5</v>
      </c>
      <c r="D44" s="244">
        <f>+NB!X308</f>
        <v>18</v>
      </c>
      <c r="E44" s="114" t="str">
        <f>+NB!Z308</f>
        <v xml:space="preserve"> </v>
      </c>
      <c r="F44" s="114"/>
      <c r="G44" s="206"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TEXT(NB!V309,"#0")&amp;"                      "&amp;TEXT(NB!Y309,"#0")&amp;"   "</f>
        <v xml:space="preserve">1                      13   </v>
      </c>
      <c r="C45" s="260">
        <f>+NB!W309</f>
        <v>17.5</v>
      </c>
      <c r="D45" s="245">
        <f>+NB!X309</f>
        <v>17</v>
      </c>
      <c r="E45" s="213" t="str">
        <f>+NB!Z309</f>
        <v xml:space="preserve"> </v>
      </c>
      <c r="F45" s="213"/>
      <c r="G45" s="215"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TEXT(NB!V310,"#0")&amp;"                      "&amp;TEXT(NB!Y310,"#0")&amp;"   "</f>
        <v xml:space="preserve">1                      12   </v>
      </c>
      <c r="C46" s="259">
        <f>+NB!W310</f>
        <v>16.5</v>
      </c>
      <c r="D46" s="244">
        <f>+NB!X310</f>
        <v>16</v>
      </c>
      <c r="E46" s="114" t="str">
        <f>+NB!Z310</f>
        <v xml:space="preserve"> </v>
      </c>
      <c r="F46" s="114"/>
      <c r="G46" s="206"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TEXT(NB!V311,"#0")&amp;"                      "&amp;TEXT(NB!Y311,"#0")&amp;"   "</f>
        <v xml:space="preserve">1                      11   </v>
      </c>
      <c r="C47" s="259">
        <f>+NB!W311</f>
        <v>15.5</v>
      </c>
      <c r="D47" s="244">
        <f>+NB!X311</f>
        <v>15</v>
      </c>
      <c r="E47" s="114" t="str">
        <f>+NB!Z311</f>
        <v xml:space="preserve"> </v>
      </c>
      <c r="F47" s="114"/>
      <c r="G47" s="206"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TEXT(NB!V312,"#0")&amp;"                      "&amp;TEXT(NB!Y312,"#0")&amp;"   "</f>
        <v xml:space="preserve">1                      10   </v>
      </c>
      <c r="C48" s="259">
        <f>+NB!W312</f>
        <v>14.5</v>
      </c>
      <c r="D48" s="244">
        <f>+NB!X312</f>
        <v>14</v>
      </c>
      <c r="E48" s="114" t="str">
        <f>+NB!Z312</f>
        <v xml:space="preserve"> </v>
      </c>
      <c r="F48" s="114"/>
      <c r="G48" s="206"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TEXT(NB!V313,"#0")&amp;"                        "&amp;TEXT(NB!Y313,"#0")&amp;"   "</f>
        <v xml:space="preserve">1                        9   </v>
      </c>
      <c r="C49" s="258">
        <f>+NB!W313</f>
        <v>13.5</v>
      </c>
      <c r="D49" s="243">
        <f>+NB!X313</f>
        <v>13.5</v>
      </c>
      <c r="E49" s="211" t="str">
        <f>+NB!Z313</f>
        <v xml:space="preserve"> </v>
      </c>
      <c r="F49" s="211"/>
      <c r="G49" s="214"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TEXT(NB!V314,"#0")&amp;"                        "&amp;TEXT(NB!Y314,"#0")&amp;"   "</f>
        <v xml:space="preserve">1                        8   </v>
      </c>
      <c r="C50" s="259">
        <f>+NB!W314</f>
        <v>13</v>
      </c>
      <c r="D50" s="244">
        <f>+NB!X314</f>
        <v>13</v>
      </c>
      <c r="E50" s="114" t="str">
        <f>+NB!Z314</f>
        <v xml:space="preserve"> </v>
      </c>
      <c r="F50" s="114"/>
      <c r="G50" s="206"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TEXT(NB!V315,"#0")&amp;"                        "&amp;TEXT(NB!Y315,"#0")&amp;"   "</f>
        <v xml:space="preserve">1                        7   </v>
      </c>
      <c r="C51" s="260">
        <f>+NB!W315</f>
        <v>12.5</v>
      </c>
      <c r="D51" s="245">
        <f>+NB!X315</f>
        <v>12</v>
      </c>
      <c r="E51" s="213" t="str">
        <f>+NB!Z315</f>
        <v xml:space="preserve"> </v>
      </c>
      <c r="F51" s="213"/>
      <c r="G51" s="215"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TEXT(NB!V316,"#0")&amp;"                        "&amp;TEXT(NB!Y316,"#0")&amp;"   "</f>
        <v xml:space="preserve">1                        6   </v>
      </c>
      <c r="C52" s="259">
        <f>+NB!W316</f>
        <v>11.5</v>
      </c>
      <c r="D52" s="244">
        <f>+NB!X316</f>
        <v>11.5</v>
      </c>
      <c r="E52" s="114" t="str">
        <f>+NB!Z316</f>
        <v xml:space="preserve"> </v>
      </c>
      <c r="F52" s="114"/>
      <c r="G52" s="206"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TEXT(NB!V317,"#0")&amp;"                        "&amp;TEXT(NB!Y317,"#0")&amp;"   "</f>
        <v xml:space="preserve">1                        5   </v>
      </c>
      <c r="C53" s="259">
        <f>+NB!W317</f>
        <v>11</v>
      </c>
      <c r="D53" s="244">
        <f>+NB!X317</f>
        <v>10.5</v>
      </c>
      <c r="E53" s="114" t="str">
        <f>+NB!Z317</f>
        <v xml:space="preserve"> </v>
      </c>
      <c r="F53" s="114"/>
      <c r="G53" s="206"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TEXT(NB!V318,"#0")&amp;"                        "&amp;TEXT(NB!Y318,"#0")&amp;"   "</f>
        <v xml:space="preserve">1                        4   </v>
      </c>
      <c r="C54" s="259">
        <f>+NB!W318</f>
        <v>10</v>
      </c>
      <c r="D54" s="244">
        <f>+NB!X318</f>
        <v>10</v>
      </c>
      <c r="E54" s="114" t="str">
        <f>+NB!Z318</f>
        <v xml:space="preserve"> </v>
      </c>
      <c r="F54" s="114"/>
      <c r="G54" s="206"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TEXT(NB!V319,"#0")&amp;"                        "&amp;TEXT(NB!Y319,"#0")&amp;"   "</f>
        <v xml:space="preserve">1                        3   </v>
      </c>
      <c r="C55" s="258">
        <f>+NB!W319</f>
        <v>9.5</v>
      </c>
      <c r="D55" s="243">
        <f>+NB!X319</f>
        <v>9</v>
      </c>
      <c r="E55" s="211" t="str">
        <f>+NB!Z319</f>
        <v xml:space="preserve"> </v>
      </c>
      <c r="F55" s="211"/>
      <c r="G55" s="214"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TEXT(NB!V320,"#0")&amp;"                        "&amp;TEXT(NB!Y320,"#0")&amp;"   "</f>
        <v xml:space="preserve">1                        2   </v>
      </c>
      <c r="C56" s="259">
        <f>+NB!W320</f>
        <v>8.5</v>
      </c>
      <c r="D56" s="244">
        <f>+NB!X320</f>
        <v>8</v>
      </c>
      <c r="E56" s="114" t="str">
        <f>+NB!Z320</f>
        <v xml:space="preserve"> </v>
      </c>
      <c r="F56" s="114"/>
      <c r="G56" s="206"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TEXT(NB!V321,"#0")&amp;"                        "&amp;TEXT(NB!Y321,"#0")&amp;"   "</f>
        <v xml:space="preserve">1                        1   </v>
      </c>
      <c r="C57" s="260">
        <f>+NB!W321</f>
        <v>7.5</v>
      </c>
      <c r="D57" s="245">
        <f>+NB!X321</f>
        <v>7.0000000000000009</v>
      </c>
      <c r="E57" s="213" t="str">
        <f>+NB!Z321</f>
        <v xml:space="preserve"> </v>
      </c>
      <c r="F57" s="213"/>
      <c r="G57" s="215"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TEXT(NB!V322,"#0")&amp;"                        "&amp;TEXT(NB!Y322,"#0")&amp;"   "</f>
        <v xml:space="preserve">0                        0   </v>
      </c>
      <c r="C58" s="261">
        <f>+NB!W322</f>
        <v>6.5000000000000009</v>
      </c>
      <c r="D58" s="246">
        <f>+NB!X322</f>
        <v>0</v>
      </c>
      <c r="E58" s="208" t="str">
        <f>+NB!Z322</f>
        <v xml:space="preserve"> </v>
      </c>
      <c r="F58" s="208"/>
      <c r="G58" s="209"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8"/>
      <c r="AN82" s="378"/>
      <c r="AO82" s="378"/>
      <c r="AP82" s="377"/>
      <c r="AQ82" s="377"/>
      <c r="AR82" s="20"/>
      <c r="AS82" s="15"/>
      <c r="AT82" s="15"/>
      <c r="AU82" s="15"/>
      <c r="AV82" s="15"/>
      <c r="AW82" s="15"/>
      <c r="AX82" s="15"/>
    </row>
    <row r="83" spans="10:50" x14ac:dyDescent="0.2">
      <c r="J83" s="15"/>
      <c r="K83" s="15"/>
      <c r="L83" s="15"/>
      <c r="M83" s="15"/>
      <c r="N83" s="15"/>
      <c r="O83" s="15"/>
      <c r="P83" s="15"/>
      <c r="Q83" s="15"/>
      <c r="AL83" s="378"/>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45</v>
      </c>
      <c r="C1" s="379" t="str">
        <f>IF(Notenbogen!E1="","",Notenbogen!E1)</f>
        <v/>
      </c>
      <c r="D1" s="187"/>
      <c r="E1" s="158"/>
      <c r="F1" s="160" t="s">
        <v>13</v>
      </c>
      <c r="G1" s="536"/>
      <c r="H1" s="542"/>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IF(D4="","",IF($H$3="BE",LOOKUP(IF(E4="",D4+0.01,D4*$H$30/E4+0.5),NB!$X$396:$X$411,NB!$Y$396:$Y$411),D4))</f>
        <v/>
      </c>
      <c r="D4" s="4"/>
      <c r="E4" s="198"/>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IF(D5="","",IF($H$3="BE",LOOKUP(IF(E5="",D5+0.01,D5*$H$30/E5+0.5),NB!$X$396:$X$411,NB!$Y$396:$Y$411),D5))</f>
        <v/>
      </c>
      <c r="D5" s="4"/>
      <c r="E5" s="104"/>
      <c r="F5" s="523" t="s">
        <v>12</v>
      </c>
      <c r="G5" s="524"/>
      <c r="H5" s="524"/>
      <c r="I5" s="158"/>
      <c r="J5" s="168" t="str">
        <f t="shared" si="0"/>
        <v/>
      </c>
      <c r="K5" s="173"/>
      <c r="L5" s="110"/>
      <c r="M5" s="110"/>
      <c r="N5" s="114"/>
    </row>
    <row r="6" spans="1:14" x14ac:dyDescent="0.2">
      <c r="A6" s="9">
        <v>3</v>
      </c>
      <c r="B6" s="145" t="str">
        <f>IF(Notenbogen!B6&lt;&gt;"", Notenbogen!B6, "")</f>
        <v/>
      </c>
      <c r="C6" s="154" t="str">
        <f>IF(D6="","",IF($H$3="BE",LOOKUP(IF(E6="",D6+0.01,D6*$H$30/E6+0.5),NB!$X$396:$X$411,NB!$Y$396:$Y$411),D6))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IF(D7="","",IF($H$3="BE",LOOKUP(IF(E7="",D7+0.01,D7*$H$30/E7+0.5),NB!$X$396:$X$411,NB!$Y$396:$Y$411),D7))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IF(D8="","",IF($H$3="BE",LOOKUP(IF(E8="",D8+0.01,D8*$H$30/E8+0.5),NB!$X$396:$X$411,NB!$Y$396:$Y$411),D8))</f>
        <v/>
      </c>
      <c r="D8" s="4"/>
      <c r="E8" s="104"/>
      <c r="F8" s="171">
        <v>14</v>
      </c>
      <c r="G8" s="84">
        <f t="shared" si="1"/>
        <v>0</v>
      </c>
      <c r="H8" s="101" t="e">
        <f t="shared" si="2"/>
        <v>#DIV/0!</v>
      </c>
      <c r="I8" s="195" t="e">
        <f>+H7+H8+H9</f>
        <v>#DIV/0!</v>
      </c>
      <c r="J8" s="168" t="str">
        <f t="shared" si="0"/>
        <v/>
      </c>
      <c r="K8" s="173"/>
      <c r="L8" s="110"/>
      <c r="M8" s="110"/>
      <c r="N8" s="114"/>
    </row>
    <row r="9" spans="1:14" x14ac:dyDescent="0.2">
      <c r="A9" s="9">
        <v>6</v>
      </c>
      <c r="B9" s="145" t="str">
        <f>IF(Notenbogen!B9&lt;&gt;"", Notenbogen!B9, "")</f>
        <v/>
      </c>
      <c r="C9" s="154" t="str">
        <f>IF(D9="","",IF($H$3="BE",LOOKUP(IF(E9="",D9+0.01,D9*$H$30/E9+0.5),NB!$X$396:$X$411,NB!$Y$396:$Y$411),D9))</f>
        <v/>
      </c>
      <c r="D9" s="4"/>
      <c r="E9" s="104"/>
      <c r="F9" s="172">
        <v>13</v>
      </c>
      <c r="G9" s="93">
        <f t="shared" si="1"/>
        <v>0</v>
      </c>
      <c r="H9" s="102" t="e">
        <f t="shared" si="2"/>
        <v>#DIV/0!</v>
      </c>
      <c r="I9" s="199">
        <f>+G7+G8+G9</f>
        <v>0</v>
      </c>
      <c r="J9" s="168" t="str">
        <f t="shared" si="0"/>
        <v/>
      </c>
      <c r="K9" s="173"/>
      <c r="L9" s="110"/>
      <c r="M9" s="110"/>
      <c r="N9" s="114"/>
    </row>
    <row r="10" spans="1:14" x14ac:dyDescent="0.2">
      <c r="A10" s="9">
        <v>7</v>
      </c>
      <c r="B10" s="145" t="str">
        <f>IF(Notenbogen!B10&lt;&gt;"", Notenbogen!B10, "")</f>
        <v/>
      </c>
      <c r="C10" s="154" t="str">
        <f>IF(D10="","",IF($H$3="BE",LOOKUP(IF(E10="",D10+0.01,D10*$H$30/E10+0.5),NB!$X$396:$X$411,NB!$Y$396:$Y$411),D10))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IF(D11="","",IF($H$3="BE",LOOKUP(IF(E11="",D11+0.01,D11*$H$30/E11+0.5),NB!$X$396:$X$411,NB!$Y$396:$Y$411),D11))</f>
        <v/>
      </c>
      <c r="D11" s="4"/>
      <c r="E11" s="104"/>
      <c r="F11" s="171">
        <v>11</v>
      </c>
      <c r="G11" s="84">
        <f t="shared" si="1"/>
        <v>0</v>
      </c>
      <c r="H11" s="101" t="e">
        <f t="shared" si="2"/>
        <v>#DIV/0!</v>
      </c>
      <c r="I11" s="19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IF(D12="","",IF($H$3="BE",LOOKUP(IF(E12="",D12+0.01,D12*$H$30/E12+0.5),NB!$X$396:$X$411,NB!$Y$396:$Y$411),D12))</f>
        <v/>
      </c>
      <c r="D12" s="4"/>
      <c r="E12" s="104"/>
      <c r="F12" s="172">
        <v>10</v>
      </c>
      <c r="G12" s="93">
        <f t="shared" si="1"/>
        <v>0</v>
      </c>
      <c r="H12" s="102" t="e">
        <f t="shared" si="2"/>
        <v>#DIV/0!</v>
      </c>
      <c r="I12" s="199">
        <f>+G10+G11+G12</f>
        <v>0</v>
      </c>
      <c r="J12" s="168" t="str">
        <f t="shared" si="0"/>
        <v/>
      </c>
      <c r="K12" s="173"/>
      <c r="L12" s="114"/>
      <c r="M12" s="114"/>
      <c r="N12" s="114"/>
    </row>
    <row r="13" spans="1:14" x14ac:dyDescent="0.2">
      <c r="A13" s="9">
        <v>10</v>
      </c>
      <c r="B13" s="145" t="str">
        <f>IF(Notenbogen!B13&lt;&gt;"", Notenbogen!B13, "")</f>
        <v/>
      </c>
      <c r="C13" s="154" t="str">
        <f>IF(D13="","",IF($H$3="BE",LOOKUP(IF(E13="",D13+0.01,D13*$H$30/E13+0.5),NB!$X$396:$X$411,NB!$Y$396:$Y$411),D13))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IF(D14="","",IF($H$3="BE",LOOKUP(IF(E14="",D14+0.01,D14*$H$30/E14+0.5),NB!$X$396:$X$411,NB!$Y$396:$Y$411),D14))</f>
        <v/>
      </c>
      <c r="D14" s="4"/>
      <c r="E14" s="104"/>
      <c r="F14" s="171">
        <v>8</v>
      </c>
      <c r="G14" s="84">
        <f t="shared" si="1"/>
        <v>0</v>
      </c>
      <c r="H14" s="101" t="e">
        <f t="shared" si="2"/>
        <v>#DIV/0!</v>
      </c>
      <c r="I14" s="19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IF(D15="","",IF($H$3="BE",LOOKUP(IF(E15="",D15+0.01,D15*$H$30/E15+0.5),NB!$X$396:$X$411,NB!$Y$396:$Y$411),D15))</f>
        <v/>
      </c>
      <c r="D15" s="4"/>
      <c r="E15" s="104"/>
      <c r="F15" s="96">
        <v>7</v>
      </c>
      <c r="G15" s="93">
        <f t="shared" si="1"/>
        <v>0</v>
      </c>
      <c r="H15" s="102" t="e">
        <f t="shared" si="2"/>
        <v>#DIV/0!</v>
      </c>
      <c r="I15" s="199">
        <f>+G13+G14+G15</f>
        <v>0</v>
      </c>
      <c r="J15" s="168" t="str">
        <f t="shared" si="0"/>
        <v/>
      </c>
      <c r="K15" s="173"/>
    </row>
    <row r="16" spans="1:14" x14ac:dyDescent="0.2">
      <c r="A16" s="9">
        <v>13</v>
      </c>
      <c r="B16" s="145" t="str">
        <f>IF(Notenbogen!B16&lt;&gt;"", Notenbogen!B16, "")</f>
        <v/>
      </c>
      <c r="C16" s="154" t="str">
        <f>IF(D16="","",IF($H$3="BE",LOOKUP(IF(E16="",D16+0.01,D16*$H$30/E16+0.5),NB!$X$396:$X$411,NB!$Y$396:$Y$411),D16))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IF(D17="","",IF($H$3="BE",LOOKUP(IF(E17="",D17+0.01,D17*$H$30/E17+0.5),NB!$X$396:$X$411,NB!$Y$396:$Y$411),D17))</f>
        <v/>
      </c>
      <c r="D17" s="4"/>
      <c r="E17" s="104"/>
      <c r="F17" s="98">
        <v>5</v>
      </c>
      <c r="G17" s="84">
        <f t="shared" si="1"/>
        <v>0</v>
      </c>
      <c r="H17" s="101" t="e">
        <f t="shared" si="2"/>
        <v>#DIV/0!</v>
      </c>
      <c r="I17" s="195" t="e">
        <f>+H16+H17+H18</f>
        <v>#DIV/0!</v>
      </c>
      <c r="J17" s="168" t="str">
        <f t="shared" si="0"/>
        <v/>
      </c>
      <c r="K17" s="173"/>
    </row>
    <row r="18" spans="1:12" x14ac:dyDescent="0.2">
      <c r="A18" s="9">
        <v>15</v>
      </c>
      <c r="B18" s="145" t="str">
        <f>IF(Notenbogen!B18&lt;&gt;"", Notenbogen!B18, "")</f>
        <v/>
      </c>
      <c r="C18" s="154" t="str">
        <f>IF(D18="","",IF($H$3="BE",LOOKUP(IF(E18="",D18+0.01,D18*$H$30/E18+0.5),NB!$X$396:$X$411,NB!$Y$396:$Y$411),D18))</f>
        <v/>
      </c>
      <c r="D18" s="4"/>
      <c r="E18" s="104"/>
      <c r="F18" s="172">
        <v>4</v>
      </c>
      <c r="G18" s="93">
        <f t="shared" si="1"/>
        <v>0</v>
      </c>
      <c r="H18" s="102" t="e">
        <f t="shared" si="2"/>
        <v>#DIV/0!</v>
      </c>
      <c r="I18" s="199">
        <f>+G16+G17+G18</f>
        <v>0</v>
      </c>
      <c r="J18" s="168" t="str">
        <f t="shared" si="0"/>
        <v/>
      </c>
      <c r="K18" s="158"/>
    </row>
    <row r="19" spans="1:12" x14ac:dyDescent="0.2">
      <c r="A19" s="9">
        <v>16</v>
      </c>
      <c r="B19" s="145" t="str">
        <f>IF(Notenbogen!B19&lt;&gt;"", Notenbogen!B19, "")</f>
        <v/>
      </c>
      <c r="C19" s="154" t="str">
        <f>IF(D19="","",IF($H$3="BE",LOOKUP(IF(E19="",D19+0.01,D19*$H$30/E19+0.5),NB!$X$396:$X$411,NB!$Y$396:$Y$411),D19))</f>
        <v/>
      </c>
      <c r="D19" s="4"/>
      <c r="E19" s="198"/>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IF(D20="","",IF($H$3="BE",LOOKUP(IF(E20="",D20+0.01,D20*$H$30/E20+0.5),NB!$X$396:$X$411,NB!$Y$396:$Y$411),D20))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IF(D21="","",IF($H$3="BE",LOOKUP(IF(E21="",D21+0.01,D21*$H$30/E21+0.5),NB!$X$396:$X$411,NB!$Y$396:$Y$411),D21))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IF(D22="","",IF($H$3="BE",LOOKUP(IF(E22="",D22+0.01,D22*$H$30/E22+0.5),NB!$X$396:$X$411,NB!$Y$396:$Y$411),D22))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IF(D23="","",IF($H$3="BE",LOOKUP(IF(E23="",D23+0.01,D23*$H$30/E23+0.5),NB!$X$396:$X$411,NB!$Y$396:$Y$411),D23))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IF(D24="","",IF($H$3="BE",LOOKUP(IF(E24="",D24+0.01,D24*$H$30/E24+0.5),NB!$X$396:$X$411,NB!$Y$396:$Y$411),D24))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IF(D25="","",IF($H$3="BE",LOOKUP(IF(E25="",D25+0.01,D25*$H$30/E25+0.5),NB!$X$396:$X$411,NB!$Y$396:$Y$411),D25))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IF(D26="","",IF($H$3="BE",LOOKUP(IF(E26="",D26+0.01,D26*$H$30/E26+0.5),NB!$X$396:$X$411,NB!$Y$396:$Y$411),D26))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IF(D27="","",IF($H$3="BE",LOOKUP(IF(E27="",D27+0.01,D27*$H$30/E27+0.5),NB!$X$396:$X$411,NB!$Y$396:$Y$411),D27))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IF(D28="","",IF($H$3="BE",LOOKUP(IF(E28="",D28+0.01,D28*$H$30/E28+0.5),NB!$X$396:$X$411,NB!$Y$396:$Y$411),D28))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IF(D29="","",IF($H$3="BE",LOOKUP(IF(E29="",D29+0.01,D29*$H$30/E29+0.5),NB!$X$396:$X$411,NB!$Y$396:$Y$411),D29))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IF(D30="","",IF($H$3="BE",LOOKUP(IF(E30="",D30+0.01,D30*$H$30/E30+0.5),NB!$X$396:$X$411,NB!$Y$396:$Y$411),D30))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IF(D31="","",IF($H$3="BE",LOOKUP(IF(E31="",D31+0.01,D31*$H$30/E31+0.5),NB!$X$396:$X$411,NB!$Y$396:$Y$411),D31))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IF(D32="","",IF($H$3="BE",LOOKUP(IF(E32="",D32+0.01,D32*$H$30/E32+0.5),NB!$X$396:$X$411,NB!$Y$396:$Y$411),D32))</f>
        <v/>
      </c>
      <c r="D32" s="4"/>
      <c r="E32" s="104"/>
      <c r="F32" s="182" t="s">
        <v>39</v>
      </c>
      <c r="G32" s="179"/>
      <c r="H32" s="81" t="s">
        <v>143</v>
      </c>
      <c r="J32" s="181" t="str">
        <f t="shared" si="0"/>
        <v/>
      </c>
      <c r="K32" s="158"/>
      <c r="L32" s="179"/>
    </row>
    <row r="33" spans="1:49" x14ac:dyDescent="0.2">
      <c r="A33" s="9">
        <v>30</v>
      </c>
      <c r="B33" s="145" t="str">
        <f>IF(Notenbogen!B33&lt;&gt;"", Notenbogen!B33, "")</f>
        <v/>
      </c>
      <c r="C33" s="154" t="str">
        <f>IF(D33="","",IF($H$3="BE",LOOKUP(IF(E33="",D33+0.01,D33*$H$30/E33+0.5),NB!$X$396:$X$411,NB!$Y$396:$Y$411),D33))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IF(D34="","",IF($H$3="BE",LOOKUP(IF(E34="",D34+0.01,D34*$H$30/E34+0.5),NB!$X$396:$X$411,NB!$Y$396:$Y$411),D34))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IF(D35="","",IF($H$3="BE",LOOKUP(IF(E35="",D35+0.01,D35*$H$30/E35+0.5),NB!$X$396:$X$411,NB!$Y$396:$Y$411),D35))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IF(D36="","",IF($H$3="BE",LOOKUP(IF(E36="",D36+0.01,D36*$H$30/E36+0.5),NB!$X$396:$X$411,NB!$Y$396:$Y$411),D36))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IF(D37="","",IF($H$3="BE",LOOKUP(IF(E37="",D37+0.01,D37*$H$30/E37+0.5),NB!$X$396:$X$411,NB!$Y$396:$Y$411),D37))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IF(D38="","",IF($H$3="BE",LOOKUP(IF(E38="",D38+0.01,D38*$H$30/E38+0.5),NB!$X$396:$X$411,NB!$Y$396:$Y$411),D38))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39" t="s">
        <v>87</v>
      </c>
      <c r="B40" s="216" t="s">
        <v>84</v>
      </c>
      <c r="C40" s="528" t="s">
        <v>81</v>
      </c>
      <c r="D40" s="529"/>
      <c r="E40" s="530" t="str">
        <f>+NB!Z2</f>
        <v>Kontrolle</v>
      </c>
      <c r="F40" s="530"/>
      <c r="G40" s="531"/>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40"/>
      <c r="B41" s="114" t="s">
        <v>82</v>
      </c>
      <c r="C41" s="532" t="s">
        <v>83</v>
      </c>
      <c r="D41" s="533"/>
      <c r="E41" s="534" t="str">
        <f>+NB!Z3</f>
        <v>"Alarm" bei Abweichung</v>
      </c>
      <c r="F41" s="534"/>
      <c r="G41" s="535"/>
      <c r="H41" s="179"/>
      <c r="I41" s="179"/>
      <c r="J41" s="179"/>
      <c r="K41" s="179"/>
      <c r="L41" s="179"/>
      <c r="M41" s="179"/>
      <c r="N41" s="179"/>
      <c r="O41" s="179"/>
      <c r="P41" s="179"/>
      <c r="Q41" s="179"/>
      <c r="AM41" s="179"/>
      <c r="AN41" s="179"/>
      <c r="AO41" s="179"/>
      <c r="AP41" s="179"/>
      <c r="AQ41" s="179"/>
      <c r="AR41" s="179"/>
      <c r="AS41" s="179"/>
      <c r="AT41" s="179"/>
      <c r="AU41" s="179"/>
      <c r="AV41" s="179"/>
      <c r="AW41" s="179"/>
    </row>
    <row r="42" spans="1:49" ht="12.75" customHeight="1" x14ac:dyDescent="0.2">
      <c r="A42" s="541"/>
      <c r="B42" s="114"/>
      <c r="C42" s="380" t="s">
        <v>32</v>
      </c>
      <c r="D42" s="381" t="s">
        <v>33</v>
      </c>
      <c r="E42" s="534" t="str">
        <f>+NB!Z4</f>
        <v>um mehr als 1 BE</v>
      </c>
      <c r="F42" s="534"/>
      <c r="G42" s="535"/>
      <c r="H42" s="179"/>
      <c r="I42" s="179"/>
      <c r="J42" s="179"/>
      <c r="K42" s="179"/>
      <c r="L42" s="179"/>
      <c r="M42" s="179"/>
      <c r="N42" s="179"/>
      <c r="O42" s="179"/>
      <c r="P42" s="179"/>
      <c r="Q42" s="179"/>
      <c r="AM42" s="179"/>
      <c r="AN42" s="179"/>
      <c r="AO42" s="179"/>
      <c r="AP42" s="179"/>
      <c r="AQ42" s="179"/>
      <c r="AR42" s="179"/>
      <c r="AS42" s="179"/>
      <c r="AT42" s="179"/>
      <c r="AU42" s="179"/>
      <c r="AV42" s="179"/>
      <c r="AW42" s="179"/>
    </row>
    <row r="43" spans="1:49" ht="12.75" customHeight="1" x14ac:dyDescent="0.2">
      <c r="A43" s="50"/>
      <c r="B43" s="210" t="str">
        <f>TEXT(NB!V378,"#0")&amp;"                      "&amp;TEXT(NB!Y378,"#0")&amp;"   "</f>
        <v xml:space="preserve">3                      15   </v>
      </c>
      <c r="C43" s="258">
        <f>+NB!W378</f>
        <v>40</v>
      </c>
      <c r="D43" s="243">
        <f>+NB!X378</f>
        <v>38</v>
      </c>
      <c r="E43" s="211" t="str">
        <f>+NB!Z378</f>
        <v xml:space="preserve"> </v>
      </c>
      <c r="F43" s="211"/>
      <c r="G43" s="214" t="str">
        <f>+NB!AA378</f>
        <v xml:space="preserve"> </v>
      </c>
      <c r="H43" s="179"/>
      <c r="I43" s="179"/>
      <c r="J43" s="179"/>
      <c r="K43" s="179"/>
      <c r="L43" s="179"/>
      <c r="M43" s="179"/>
      <c r="N43" s="179"/>
      <c r="O43" s="179"/>
      <c r="P43" s="179"/>
      <c r="Q43" s="179"/>
      <c r="AM43" s="179"/>
      <c r="AN43" s="179"/>
      <c r="AO43" s="179"/>
      <c r="AP43" s="179"/>
      <c r="AQ43" s="179"/>
      <c r="AR43" s="179"/>
      <c r="AS43" s="179"/>
      <c r="AT43" s="179"/>
      <c r="AU43" s="179"/>
      <c r="AV43" s="179"/>
      <c r="AW43" s="179"/>
    </row>
    <row r="44" spans="1:49" ht="12.75" customHeight="1" x14ac:dyDescent="0.2">
      <c r="A44" s="50"/>
      <c r="B44" s="205" t="str">
        <f>TEXT(NB!V379,"#0")&amp;"                      "&amp;TEXT(NB!Y379,"#0")&amp;"   "</f>
        <v xml:space="preserve">2                      14   </v>
      </c>
      <c r="C44" s="259">
        <f>+NB!W379</f>
        <v>37.5</v>
      </c>
      <c r="D44" s="244">
        <f>+NB!X379</f>
        <v>36</v>
      </c>
      <c r="E44" s="114" t="str">
        <f>+NB!Z379</f>
        <v xml:space="preserve"> </v>
      </c>
      <c r="F44" s="114"/>
      <c r="G44" s="206" t="str">
        <f>+NB!AA379</f>
        <v xml:space="preserve"> </v>
      </c>
      <c r="H44" s="179"/>
      <c r="I44" s="179"/>
      <c r="J44" s="179"/>
      <c r="K44" s="179"/>
      <c r="L44" s="179"/>
      <c r="M44" s="179"/>
      <c r="N44" s="179"/>
      <c r="O44" s="179"/>
      <c r="P44" s="179"/>
      <c r="Q44" s="179"/>
      <c r="AM44" s="179"/>
      <c r="AN44" s="179"/>
      <c r="AO44" s="179"/>
      <c r="AP44" s="179"/>
      <c r="AQ44" s="179"/>
      <c r="AR44" s="179"/>
      <c r="AS44" s="179"/>
      <c r="AT44" s="179"/>
      <c r="AU44" s="179"/>
      <c r="AV44" s="179"/>
      <c r="AW44" s="179"/>
    </row>
    <row r="45" spans="1:49" ht="12.75" customHeight="1" x14ac:dyDescent="0.2">
      <c r="A45" s="51"/>
      <c r="B45" s="212" t="str">
        <f>TEXT(NB!V380,"#0")&amp;"                      "&amp;TEXT(NB!Y380,"#0")&amp;"   "</f>
        <v xml:space="preserve">2                      13   </v>
      </c>
      <c r="C45" s="260">
        <f>+NB!W380</f>
        <v>35.5</v>
      </c>
      <c r="D45" s="245">
        <f>+NB!X380</f>
        <v>34</v>
      </c>
      <c r="E45" s="213" t="str">
        <f>+NB!Z380</f>
        <v xml:space="preserve"> </v>
      </c>
      <c r="F45" s="213"/>
      <c r="G45" s="215" t="str">
        <f>+NB!AA380</f>
        <v xml:space="preserve"> </v>
      </c>
      <c r="H45" s="179"/>
      <c r="I45" s="179"/>
      <c r="J45" s="179"/>
      <c r="K45" s="179"/>
      <c r="L45" s="179"/>
      <c r="M45" s="179"/>
      <c r="N45" s="179"/>
      <c r="O45" s="179"/>
      <c r="P45" s="179"/>
      <c r="Q45" s="179"/>
      <c r="AM45" s="179"/>
      <c r="AN45" s="179"/>
      <c r="AO45" s="179"/>
      <c r="AP45" s="179"/>
      <c r="AQ45" s="179"/>
      <c r="AR45" s="179"/>
      <c r="AS45" s="179"/>
      <c r="AT45" s="179"/>
      <c r="AU45" s="179"/>
      <c r="AV45" s="179"/>
      <c r="AW45" s="179"/>
    </row>
    <row r="46" spans="1:49" ht="12.75" customHeight="1" x14ac:dyDescent="0.2">
      <c r="A46" s="50"/>
      <c r="B46" s="205" t="str">
        <f>TEXT(NB!V381,"#0")&amp;"                      "&amp;TEXT(NB!Y381,"#0")&amp;"   "</f>
        <v xml:space="preserve">2                      12   </v>
      </c>
      <c r="C46" s="259">
        <f>+NB!W381</f>
        <v>33.5</v>
      </c>
      <c r="D46" s="244">
        <f>+NB!X381</f>
        <v>32</v>
      </c>
      <c r="E46" s="114" t="str">
        <f>+NB!Z381</f>
        <v xml:space="preserve"> </v>
      </c>
      <c r="F46" s="114"/>
      <c r="G46" s="206" t="str">
        <f>+NB!AA381</f>
        <v xml:space="preserve"> </v>
      </c>
      <c r="H46" s="179"/>
      <c r="I46" s="179"/>
      <c r="J46" s="179"/>
      <c r="K46" s="179"/>
      <c r="L46" s="179"/>
      <c r="M46" s="179"/>
      <c r="N46" s="179"/>
      <c r="O46" s="179"/>
      <c r="P46" s="179"/>
      <c r="Q46" s="179"/>
      <c r="AM46" s="179"/>
      <c r="AN46" s="179"/>
      <c r="AO46" s="179"/>
      <c r="AP46" s="179"/>
      <c r="AQ46" s="179"/>
      <c r="AR46" s="179"/>
      <c r="AS46" s="179"/>
      <c r="AT46" s="179"/>
      <c r="AU46" s="179"/>
      <c r="AV46" s="179"/>
      <c r="AW46" s="179"/>
    </row>
    <row r="47" spans="1:49" ht="12.75" customHeight="1" x14ac:dyDescent="0.2">
      <c r="A47" s="50"/>
      <c r="B47" s="205" t="str">
        <f>TEXT(NB!V382,"#0")&amp;"                      "&amp;TEXT(NB!Y382,"#0")&amp;"   "</f>
        <v xml:space="preserve">2                      11   </v>
      </c>
      <c r="C47" s="259">
        <f>+NB!W382</f>
        <v>31.5</v>
      </c>
      <c r="D47" s="244">
        <f>+NB!X382</f>
        <v>30</v>
      </c>
      <c r="E47" s="114" t="str">
        <f>+NB!Z382</f>
        <v xml:space="preserve"> </v>
      </c>
      <c r="F47" s="114"/>
      <c r="G47" s="206" t="str">
        <f>+NB!AA382</f>
        <v xml:space="preserve"> </v>
      </c>
      <c r="H47" s="179"/>
      <c r="I47" s="179"/>
      <c r="J47" s="179"/>
      <c r="K47" s="179"/>
      <c r="L47" s="179"/>
      <c r="M47" s="179"/>
      <c r="N47" s="179"/>
      <c r="O47" s="179"/>
      <c r="P47" s="179"/>
      <c r="Q47" s="179"/>
      <c r="AM47" s="179"/>
      <c r="AN47" s="179"/>
      <c r="AO47" s="179"/>
      <c r="AP47" s="179"/>
      <c r="AQ47" s="179"/>
      <c r="AR47" s="179"/>
      <c r="AS47" s="179"/>
      <c r="AT47" s="179"/>
      <c r="AU47" s="179"/>
      <c r="AV47" s="179"/>
      <c r="AW47" s="179"/>
    </row>
    <row r="48" spans="1:49" ht="12.75" customHeight="1" x14ac:dyDescent="0.2">
      <c r="A48" s="51"/>
      <c r="B48" s="205" t="str">
        <f>TEXT(NB!V383,"#0")&amp;"                      "&amp;TEXT(NB!Y383,"#0")&amp;"   "</f>
        <v xml:space="preserve">2                      10   </v>
      </c>
      <c r="C48" s="259">
        <f>+NB!W383</f>
        <v>29.5</v>
      </c>
      <c r="D48" s="244">
        <f>+NB!X383</f>
        <v>28</v>
      </c>
      <c r="E48" s="114" t="str">
        <f>+NB!Z383</f>
        <v xml:space="preserve"> </v>
      </c>
      <c r="F48" s="114"/>
      <c r="G48" s="206" t="str">
        <f>+NB!AA383</f>
        <v xml:space="preserve"> </v>
      </c>
      <c r="H48" s="179"/>
      <c r="I48" s="179"/>
      <c r="J48" s="179"/>
      <c r="K48" s="179"/>
      <c r="L48" s="179"/>
      <c r="M48" s="179"/>
      <c r="N48" s="179"/>
      <c r="O48" s="179"/>
      <c r="P48" s="179"/>
      <c r="Q48" s="179"/>
      <c r="AM48" s="179"/>
      <c r="AN48" s="179"/>
      <c r="AO48" s="179"/>
      <c r="AP48" s="179"/>
      <c r="AQ48" s="179"/>
      <c r="AR48" s="179"/>
      <c r="AS48" s="179"/>
      <c r="AT48" s="179"/>
      <c r="AU48" s="179"/>
      <c r="AV48" s="179"/>
      <c r="AW48" s="179"/>
    </row>
    <row r="49" spans="1:49" ht="12.75" customHeight="1" x14ac:dyDescent="0.2">
      <c r="A49" s="50"/>
      <c r="B49" s="210" t="str">
        <f>TEXT(NB!V384,"#0")&amp;"                        "&amp;TEXT(NB!Y384,"#0")&amp;"   "</f>
        <v xml:space="preserve">2                        9   </v>
      </c>
      <c r="C49" s="258">
        <f>+NB!W384</f>
        <v>27.5</v>
      </c>
      <c r="D49" s="243">
        <f>+NB!X384</f>
        <v>26.5</v>
      </c>
      <c r="E49" s="211" t="str">
        <f>+NB!Z384</f>
        <v xml:space="preserve"> </v>
      </c>
      <c r="F49" s="211"/>
      <c r="G49" s="214" t="str">
        <f>+NB!AA384</f>
        <v xml:space="preserve"> </v>
      </c>
      <c r="H49" s="179"/>
      <c r="I49" s="179"/>
      <c r="J49" s="179"/>
      <c r="K49" s="179"/>
      <c r="L49" s="179"/>
      <c r="M49" s="179"/>
      <c r="N49" s="179"/>
      <c r="O49" s="179"/>
      <c r="P49" s="179"/>
      <c r="Q49" s="179"/>
      <c r="AM49" s="179"/>
      <c r="AN49" s="179"/>
      <c r="AO49" s="179"/>
      <c r="AP49" s="179"/>
      <c r="AQ49" s="179"/>
      <c r="AR49" s="179"/>
      <c r="AS49" s="179"/>
      <c r="AT49" s="179"/>
      <c r="AU49" s="179"/>
      <c r="AV49" s="179"/>
      <c r="AW49" s="179"/>
    </row>
    <row r="50" spans="1:49" ht="12.75" customHeight="1" x14ac:dyDescent="0.2">
      <c r="A50" s="50"/>
      <c r="B50" s="205" t="str">
        <f>TEXT(NB!V385,"#0")&amp;"                        "&amp;TEXT(NB!Y385,"#0")&amp;"   "</f>
        <v xml:space="preserve">1                        8   </v>
      </c>
      <c r="C50" s="259">
        <f>+NB!W385</f>
        <v>26</v>
      </c>
      <c r="D50" s="244">
        <f>+NB!X385</f>
        <v>25.5</v>
      </c>
      <c r="E50" s="114" t="str">
        <f>+NB!Z385</f>
        <v xml:space="preserve"> </v>
      </c>
      <c r="F50" s="114"/>
      <c r="G50" s="206" t="str">
        <f>+NB!AA385</f>
        <v xml:space="preserve"> </v>
      </c>
      <c r="H50" s="179"/>
      <c r="I50" s="179"/>
      <c r="J50" s="179"/>
      <c r="K50" s="179"/>
      <c r="L50" s="179"/>
      <c r="M50" s="179"/>
      <c r="N50" s="179"/>
      <c r="O50" s="179"/>
      <c r="P50" s="179"/>
      <c r="Q50" s="179"/>
      <c r="AM50" s="179"/>
      <c r="AN50" s="179"/>
      <c r="AO50" s="179"/>
      <c r="AP50" s="179"/>
      <c r="AQ50" s="179"/>
      <c r="AR50" s="179"/>
      <c r="AS50" s="179"/>
      <c r="AT50" s="179"/>
      <c r="AU50" s="179"/>
      <c r="AV50" s="179"/>
      <c r="AW50" s="179"/>
    </row>
    <row r="51" spans="1:49" ht="12.75" customHeight="1" x14ac:dyDescent="0.2">
      <c r="A51" s="51"/>
      <c r="B51" s="212" t="str">
        <f>TEXT(NB!V386,"#0")&amp;"                        "&amp;TEXT(NB!Y386,"#0")&amp;"   "</f>
        <v xml:space="preserve">2                        7   </v>
      </c>
      <c r="C51" s="260">
        <f>+NB!W386</f>
        <v>25</v>
      </c>
      <c r="D51" s="245">
        <f>+NB!X386</f>
        <v>24</v>
      </c>
      <c r="E51" s="213" t="str">
        <f>+NB!Z386</f>
        <v xml:space="preserve"> </v>
      </c>
      <c r="F51" s="213"/>
      <c r="G51" s="215" t="str">
        <f>+NB!AA386</f>
        <v xml:space="preserve"> </v>
      </c>
      <c r="H51" s="179"/>
      <c r="I51" s="179"/>
      <c r="J51" s="179"/>
      <c r="K51" s="179"/>
      <c r="L51" s="179"/>
      <c r="M51" s="179"/>
      <c r="N51" s="179"/>
      <c r="O51" s="179"/>
      <c r="P51" s="179"/>
      <c r="Q51" s="179"/>
      <c r="AM51" s="179"/>
      <c r="AN51" s="179"/>
      <c r="AO51" s="179"/>
      <c r="AP51" s="179"/>
      <c r="AQ51" s="179"/>
      <c r="AR51" s="179"/>
      <c r="AS51" s="179"/>
      <c r="AT51" s="179"/>
      <c r="AU51" s="179"/>
      <c r="AV51" s="179"/>
      <c r="AW51" s="179"/>
    </row>
    <row r="52" spans="1:49" ht="12.75" customHeight="1" x14ac:dyDescent="0.2">
      <c r="A52" s="50"/>
      <c r="B52" s="205" t="str">
        <f>TEXT(NB!V387,"#0")&amp;"                        "&amp;TEXT(NB!Y387,"#0")&amp;"   "</f>
        <v xml:space="preserve">2                        6   </v>
      </c>
      <c r="C52" s="259">
        <f>+NB!W387</f>
        <v>23.5</v>
      </c>
      <c r="D52" s="244">
        <f>+NB!X387</f>
        <v>22.5</v>
      </c>
      <c r="E52" s="114" t="str">
        <f>+NB!Z387</f>
        <v xml:space="preserve"> </v>
      </c>
      <c r="F52" s="114"/>
      <c r="G52" s="206" t="str">
        <f>+NB!AA387</f>
        <v xml:space="preserve"> </v>
      </c>
      <c r="H52" s="179"/>
      <c r="I52" s="179"/>
      <c r="J52" s="179"/>
      <c r="K52" s="179"/>
      <c r="L52" s="179"/>
      <c r="M52" s="179"/>
      <c r="N52" s="179"/>
      <c r="O52" s="179"/>
      <c r="P52" s="179"/>
      <c r="Q52" s="179"/>
      <c r="AM52" s="179"/>
      <c r="AN52" s="179"/>
      <c r="AO52" s="179"/>
      <c r="AP52" s="179"/>
      <c r="AQ52" s="179"/>
      <c r="AR52" s="179"/>
      <c r="AS52" s="179"/>
      <c r="AT52" s="179"/>
      <c r="AU52" s="179"/>
      <c r="AV52" s="179"/>
      <c r="AW52" s="179"/>
    </row>
    <row r="53" spans="1:49" ht="12.75" customHeight="1" x14ac:dyDescent="0.2">
      <c r="A53" s="50"/>
      <c r="B53" s="205" t="str">
        <f>TEXT(NB!V388,"#0")&amp;"                        "&amp;TEXT(NB!Y388,"#0")&amp;"   "</f>
        <v xml:space="preserve">2                        5   </v>
      </c>
      <c r="C53" s="259">
        <f>+NB!W388</f>
        <v>22</v>
      </c>
      <c r="D53" s="244">
        <f>+NB!X388</f>
        <v>21</v>
      </c>
      <c r="E53" s="114" t="str">
        <f>+NB!Z388</f>
        <v xml:space="preserve"> </v>
      </c>
      <c r="F53" s="114"/>
      <c r="G53" s="206" t="str">
        <f>+NB!AA388</f>
        <v xml:space="preserve"> </v>
      </c>
      <c r="H53" s="179"/>
      <c r="I53" s="179"/>
      <c r="J53" s="179"/>
      <c r="K53" s="179"/>
      <c r="L53" s="179"/>
      <c r="M53" s="179"/>
      <c r="N53" s="179"/>
      <c r="O53" s="179"/>
      <c r="P53" s="179"/>
      <c r="Q53" s="179"/>
      <c r="AM53" s="179"/>
      <c r="AN53" s="179"/>
      <c r="AO53" s="179"/>
      <c r="AP53" s="179"/>
      <c r="AQ53" s="179"/>
      <c r="AR53" s="179"/>
      <c r="AS53" s="179"/>
      <c r="AT53" s="179"/>
      <c r="AU53" s="179"/>
      <c r="AV53" s="179"/>
      <c r="AW53" s="179"/>
    </row>
    <row r="54" spans="1:49" ht="12.75" customHeight="1" x14ac:dyDescent="0.2">
      <c r="A54" s="51"/>
      <c r="B54" s="205" t="str">
        <f>TEXT(NB!V389,"#0")&amp;"                        "&amp;TEXT(NB!Y389,"#0")&amp;"   "</f>
        <v xml:space="preserve">1                        4   </v>
      </c>
      <c r="C54" s="259">
        <f>+NB!W389</f>
        <v>20.5</v>
      </c>
      <c r="D54" s="244">
        <f>+NB!X389</f>
        <v>20</v>
      </c>
      <c r="E54" s="114" t="str">
        <f>+NB!Z389</f>
        <v xml:space="preserve"> </v>
      </c>
      <c r="F54" s="114"/>
      <c r="G54" s="206" t="str">
        <f>+NB!AA389</f>
        <v xml:space="preserve"> </v>
      </c>
      <c r="H54" s="179"/>
      <c r="I54" s="179"/>
      <c r="J54" s="179"/>
      <c r="K54" s="179"/>
      <c r="L54" s="179"/>
      <c r="M54" s="179"/>
      <c r="N54" s="179"/>
      <c r="O54" s="179"/>
      <c r="P54" s="179"/>
      <c r="Q54" s="179"/>
      <c r="AM54" s="179"/>
      <c r="AN54" s="179"/>
      <c r="AO54" s="179"/>
      <c r="AP54" s="179"/>
      <c r="AQ54" s="179"/>
      <c r="AR54" s="179"/>
      <c r="AS54" s="179"/>
      <c r="AT54" s="179"/>
      <c r="AU54" s="179"/>
      <c r="AV54" s="179"/>
      <c r="AW54" s="179"/>
    </row>
    <row r="55" spans="1:49" ht="12.75" customHeight="1" x14ac:dyDescent="0.2">
      <c r="A55" s="50"/>
      <c r="B55" s="210" t="str">
        <f>TEXT(NB!V390,"#0")&amp;"                        "&amp;TEXT(NB!Y390,"#0")&amp;"   "</f>
        <v xml:space="preserve">2                        3   </v>
      </c>
      <c r="C55" s="258">
        <f>+NB!W390</f>
        <v>19.5</v>
      </c>
      <c r="D55" s="243">
        <f>+NB!X390</f>
        <v>18</v>
      </c>
      <c r="E55" s="211" t="str">
        <f>+NB!Z390</f>
        <v xml:space="preserve"> </v>
      </c>
      <c r="F55" s="211"/>
      <c r="G55" s="214" t="str">
        <f>+NB!AA390</f>
        <v xml:space="preserve"> </v>
      </c>
      <c r="H55" s="179"/>
      <c r="I55" s="179"/>
      <c r="J55" s="179"/>
      <c r="K55" s="179"/>
      <c r="L55" s="179"/>
      <c r="M55" s="179"/>
      <c r="N55" s="179"/>
      <c r="O55" s="179"/>
      <c r="P55" s="179"/>
      <c r="Q55" s="179"/>
      <c r="AM55" s="179"/>
      <c r="AN55" s="179"/>
      <c r="AO55" s="179"/>
      <c r="AP55" s="179"/>
      <c r="AQ55" s="179"/>
      <c r="AR55" s="179"/>
      <c r="AS55" s="179"/>
      <c r="AT55" s="179"/>
      <c r="AU55" s="179"/>
      <c r="AV55" s="179"/>
      <c r="AW55" s="179"/>
    </row>
    <row r="56" spans="1:49" ht="12.75" customHeight="1" x14ac:dyDescent="0.2">
      <c r="A56" s="50"/>
      <c r="B56" s="205" t="str">
        <f>TEXT(NB!V391,"#0")&amp;"                        "&amp;TEXT(NB!Y391,"#0")&amp;"   "</f>
        <v xml:space="preserve">2                        2   </v>
      </c>
      <c r="C56" s="259">
        <f>+NB!W391</f>
        <v>17.5</v>
      </c>
      <c r="D56" s="244">
        <f>+NB!X391</f>
        <v>16</v>
      </c>
      <c r="E56" s="114" t="str">
        <f>+NB!Z391</f>
        <v xml:space="preserve"> </v>
      </c>
      <c r="F56" s="114"/>
      <c r="G56" s="206" t="str">
        <f>+NB!AA391</f>
        <v xml:space="preserve"> </v>
      </c>
      <c r="H56" s="179"/>
      <c r="I56" s="179"/>
      <c r="J56" s="179"/>
      <c r="K56" s="179"/>
      <c r="L56" s="179"/>
      <c r="M56" s="179"/>
      <c r="N56" s="179"/>
      <c r="O56" s="179"/>
      <c r="P56" s="179"/>
      <c r="Q56" s="179"/>
      <c r="AM56" s="179"/>
      <c r="AN56" s="179"/>
      <c r="AO56" s="179"/>
      <c r="AP56" s="179"/>
      <c r="AQ56" s="179"/>
      <c r="AR56" s="179"/>
      <c r="AS56" s="179"/>
      <c r="AT56" s="179"/>
      <c r="AU56" s="179"/>
      <c r="AV56" s="179"/>
      <c r="AW56" s="179"/>
    </row>
    <row r="57" spans="1:49" ht="12.75" customHeight="1" x14ac:dyDescent="0.2">
      <c r="A57" s="51"/>
      <c r="B57" s="212" t="str">
        <f>TEXT(NB!V392,"#0")&amp;"                        "&amp;TEXT(NB!Y392,"#0")&amp;"   "</f>
        <v xml:space="preserve">2                        1   </v>
      </c>
      <c r="C57" s="260">
        <f>+NB!W392</f>
        <v>15.5</v>
      </c>
      <c r="D57" s="245">
        <f>+NB!X392</f>
        <v>14.000000000000002</v>
      </c>
      <c r="E57" s="213" t="str">
        <f>+NB!Z392</f>
        <v xml:space="preserve"> </v>
      </c>
      <c r="F57" s="213"/>
      <c r="G57" s="215" t="str">
        <f>+NB!AA392</f>
        <v xml:space="preserve"> </v>
      </c>
      <c r="H57" s="179"/>
      <c r="I57" s="179"/>
      <c r="J57" s="179"/>
      <c r="K57" s="179"/>
      <c r="L57" s="179"/>
      <c r="M57" s="179"/>
      <c r="N57" s="179"/>
      <c r="O57" s="179"/>
      <c r="P57" s="179"/>
      <c r="Q57" s="179"/>
      <c r="AM57" s="179"/>
      <c r="AN57" s="179"/>
      <c r="AO57" s="179"/>
      <c r="AP57" s="179"/>
      <c r="AQ57" s="179"/>
      <c r="AR57" s="179"/>
      <c r="AS57" s="179"/>
      <c r="AT57" s="179"/>
      <c r="AU57" s="179"/>
      <c r="AV57" s="179"/>
      <c r="AW57" s="179"/>
    </row>
    <row r="58" spans="1:49" ht="13.5" thickBot="1" x14ac:dyDescent="0.25">
      <c r="A58" s="111"/>
      <c r="B58" s="207" t="str">
        <f>TEXT(NB!V393,"#0")&amp;"                        "&amp;TEXT(NB!Y393,"#0")&amp;"   "</f>
        <v xml:space="preserve">0                        0   </v>
      </c>
      <c r="C58" s="261">
        <f>+NB!W393</f>
        <v>13.500000000000002</v>
      </c>
      <c r="D58" s="246">
        <f>+NB!X393</f>
        <v>0</v>
      </c>
      <c r="E58" s="208" t="str">
        <f>+NB!Z393</f>
        <v xml:space="preserve"> </v>
      </c>
      <c r="F58" s="208"/>
      <c r="G58" s="209" t="str">
        <f>+NB!AA393</f>
        <v xml:space="preserve"> </v>
      </c>
      <c r="J58" s="179"/>
      <c r="K58" s="179"/>
      <c r="L58" s="179"/>
      <c r="M58" s="179"/>
      <c r="N58" s="179"/>
      <c r="O58" s="179"/>
      <c r="P58" s="179"/>
      <c r="Q58" s="179"/>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2017-01-11T20:58:56Z</dcterms:modified>
</cp:coreProperties>
</file>