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90" yWindow="60" windowWidth="17010" windowHeight="10365" tabRatio="873" activeTab="1"/>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usdruck SAP" sheetId="36" r:id="rId18"/>
    <sheet name="Ausdruck MAP" sheetId="53" r:id="rId19"/>
    <sheet name="APRohpunkte" sheetId="32"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8">'Ausdruck MAP'!$A$1:$G$61</definedName>
    <definedName name="_xlnm.Print_Area" localSheetId="17">'Ausdruck SAP'!$A$1:$G$68</definedName>
    <definedName name="_xlnm.Print_Titles" localSheetId="20">'Eingabe Abitur'!$1:$10</definedName>
  </definedNames>
  <calcPr calcId="145621"/>
</workbook>
</file>

<file path=xl/calcChain.xml><?xml version="1.0" encoding="utf-8"?>
<calcChain xmlns="http://schemas.openxmlformats.org/spreadsheetml/2006/main">
  <c r="M5" i="49" l="1"/>
  <c r="M6" i="49"/>
  <c r="M7" i="49"/>
  <c r="M8" i="49"/>
  <c r="M9" i="49"/>
  <c r="M10" i="49"/>
  <c r="M11" i="49"/>
  <c r="M12" i="49"/>
  <c r="M13" i="49"/>
  <c r="M14" i="49"/>
  <c r="M15" i="49"/>
  <c r="M16" i="49"/>
  <c r="M17" i="49"/>
  <c r="M18" i="49"/>
  <c r="M19" i="49"/>
  <c r="M20" i="49"/>
  <c r="M21" i="49"/>
  <c r="M22" i="49"/>
  <c r="M23" i="49"/>
  <c r="M24" i="49"/>
  <c r="M25" i="49"/>
  <c r="M26" i="49"/>
  <c r="M27" i="49"/>
  <c r="M28" i="49"/>
  <c r="M29" i="49"/>
  <c r="M30" i="49"/>
  <c r="M31" i="49"/>
  <c r="M32" i="49"/>
  <c r="M33" i="49"/>
  <c r="M34" i="49"/>
  <c r="M35" i="49"/>
  <c r="M36" i="49"/>
  <c r="M37" i="49"/>
  <c r="M38" i="49"/>
  <c r="M4" i="49"/>
  <c r="M5" i="48"/>
  <c r="M6" i="48"/>
  <c r="M7" i="48"/>
  <c r="M8" i="48"/>
  <c r="M9" i="48"/>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4" i="48"/>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38" i="47"/>
  <c r="M4" i="47"/>
  <c r="M5" i="46"/>
  <c r="M6" i="46"/>
  <c r="M7" i="46"/>
  <c r="M8" i="46"/>
  <c r="M9" i="46"/>
  <c r="M10" i="46"/>
  <c r="M11" i="46"/>
  <c r="M12" i="46"/>
  <c r="M13" i="46"/>
  <c r="M14" i="46"/>
  <c r="M15" i="46"/>
  <c r="M16" i="46"/>
  <c r="M17" i="46"/>
  <c r="M18" i="46"/>
  <c r="M19" i="46"/>
  <c r="M20" i="46"/>
  <c r="M21" i="46"/>
  <c r="M22" i="46"/>
  <c r="M23" i="46"/>
  <c r="M24" i="46"/>
  <c r="M25" i="46"/>
  <c r="M26" i="46"/>
  <c r="M27" i="46"/>
  <c r="M28" i="46"/>
  <c r="M29" i="46"/>
  <c r="M30" i="46"/>
  <c r="M31" i="46"/>
  <c r="M32" i="46"/>
  <c r="M33" i="46"/>
  <c r="M34" i="46"/>
  <c r="M35" i="46"/>
  <c r="M36" i="46"/>
  <c r="M37" i="46"/>
  <c r="M38" i="46"/>
  <c r="M4" i="46"/>
  <c r="M5" i="45"/>
  <c r="M6" i="45"/>
  <c r="M7" i="45"/>
  <c r="M8" i="45"/>
  <c r="M9" i="45"/>
  <c r="M10" i="45"/>
  <c r="M11" i="45"/>
  <c r="M12" i="45"/>
  <c r="M13" i="45"/>
  <c r="M14" i="45"/>
  <c r="M15" i="45"/>
  <c r="M16" i="45"/>
  <c r="M17" i="45"/>
  <c r="M18" i="45"/>
  <c r="M19" i="45"/>
  <c r="M20" i="45"/>
  <c r="M21" i="45"/>
  <c r="M22" i="45"/>
  <c r="M23" i="45"/>
  <c r="M24" i="45"/>
  <c r="M25" i="45"/>
  <c r="M26" i="45"/>
  <c r="M27" i="45"/>
  <c r="M28" i="45"/>
  <c r="M29" i="45"/>
  <c r="M30" i="45"/>
  <c r="M31" i="45"/>
  <c r="M32" i="45"/>
  <c r="M33" i="45"/>
  <c r="M34" i="45"/>
  <c r="M35" i="45"/>
  <c r="M36" i="45"/>
  <c r="M37" i="45"/>
  <c r="M38" i="45"/>
  <c r="M4" i="45"/>
  <c r="M5" i="44"/>
  <c r="M6" i="44"/>
  <c r="M7" i="44"/>
  <c r="M8" i="44"/>
  <c r="M9" i="44"/>
  <c r="M10" i="44"/>
  <c r="M11" i="44"/>
  <c r="M12" i="44"/>
  <c r="M13" i="44"/>
  <c r="M14" i="44"/>
  <c r="M15" i="44"/>
  <c r="M16" i="44"/>
  <c r="M17" i="44"/>
  <c r="M18" i="44"/>
  <c r="M19" i="44"/>
  <c r="M20" i="44"/>
  <c r="M21" i="44"/>
  <c r="M22" i="44"/>
  <c r="M23" i="44"/>
  <c r="M24" i="44"/>
  <c r="M25" i="44"/>
  <c r="M26" i="44"/>
  <c r="M27" i="44"/>
  <c r="M28" i="44"/>
  <c r="M29" i="44"/>
  <c r="M30" i="44"/>
  <c r="M31" i="44"/>
  <c r="M32" i="44"/>
  <c r="M33" i="44"/>
  <c r="M34" i="44"/>
  <c r="M35" i="44"/>
  <c r="M36" i="44"/>
  <c r="M37" i="44"/>
  <c r="M38" i="44"/>
  <c r="M4" i="44"/>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4" i="43"/>
  <c r="M5" i="42"/>
  <c r="M6" i="42"/>
  <c r="M7" i="42"/>
  <c r="M8" i="42"/>
  <c r="M9" i="42"/>
  <c r="M10" i="42"/>
  <c r="M11" i="42"/>
  <c r="M12" i="42"/>
  <c r="M13" i="42"/>
  <c r="M14" i="42"/>
  <c r="M15" i="42"/>
  <c r="M16" i="42"/>
  <c r="M17" i="42"/>
  <c r="M18" i="42"/>
  <c r="M19" i="42"/>
  <c r="M20" i="42"/>
  <c r="M21" i="42"/>
  <c r="M22" i="42"/>
  <c r="M23" i="42"/>
  <c r="M24" i="42"/>
  <c r="M25" i="42"/>
  <c r="M26" i="42"/>
  <c r="M27" i="42"/>
  <c r="M28" i="42"/>
  <c r="M29" i="42"/>
  <c r="M30" i="42"/>
  <c r="M31" i="42"/>
  <c r="M32" i="42"/>
  <c r="M33" i="42"/>
  <c r="M34" i="42"/>
  <c r="M35" i="42"/>
  <c r="M36" i="42"/>
  <c r="M37" i="42"/>
  <c r="M38" i="42"/>
  <c r="M4" i="42"/>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4" i="41"/>
  <c r="M5" i="40"/>
  <c r="M6" i="40"/>
  <c r="M7" i="40"/>
  <c r="M8" i="40"/>
  <c r="M9" i="40"/>
  <c r="M10" i="40"/>
  <c r="M11" i="40"/>
  <c r="M12" i="40"/>
  <c r="M13" i="40"/>
  <c r="M14" i="40"/>
  <c r="M15" i="40"/>
  <c r="M16" i="40"/>
  <c r="M17" i="40"/>
  <c r="M18" i="40"/>
  <c r="M19" i="40"/>
  <c r="M20" i="40"/>
  <c r="M21" i="40"/>
  <c r="M22" i="40"/>
  <c r="M23" i="40"/>
  <c r="M24" i="40"/>
  <c r="M25" i="40"/>
  <c r="M26" i="40"/>
  <c r="M27" i="40"/>
  <c r="M28" i="40"/>
  <c r="M29" i="40"/>
  <c r="M30" i="40"/>
  <c r="M31" i="40"/>
  <c r="M32" i="40"/>
  <c r="M33" i="40"/>
  <c r="M34" i="40"/>
  <c r="M35" i="40"/>
  <c r="M36" i="40"/>
  <c r="M37" i="40"/>
  <c r="M38" i="40"/>
  <c r="M4" i="40"/>
  <c r="M5" i="39"/>
  <c r="M6" i="39"/>
  <c r="M7" i="39"/>
  <c r="M8" i="39"/>
  <c r="M9" i="39"/>
  <c r="M10" i="39"/>
  <c r="M11" i="39"/>
  <c r="M12" i="39"/>
  <c r="M13" i="39"/>
  <c r="M14" i="39"/>
  <c r="M15" i="39"/>
  <c r="M16" i="39"/>
  <c r="M17" i="39"/>
  <c r="M18" i="39"/>
  <c r="M19" i="39"/>
  <c r="M20" i="39"/>
  <c r="M21" i="39"/>
  <c r="M22" i="39"/>
  <c r="M23" i="39"/>
  <c r="M24" i="39"/>
  <c r="M25" i="39"/>
  <c r="M26" i="39"/>
  <c r="M27" i="39"/>
  <c r="M28" i="39"/>
  <c r="M29" i="39"/>
  <c r="M30" i="39"/>
  <c r="M31" i="39"/>
  <c r="M32" i="39"/>
  <c r="M33" i="39"/>
  <c r="M34" i="39"/>
  <c r="M35" i="39"/>
  <c r="M36" i="39"/>
  <c r="M37" i="39"/>
  <c r="M38" i="39"/>
  <c r="M4" i="39"/>
  <c r="M5" i="38"/>
  <c r="M6" i="38"/>
  <c r="M7" i="38"/>
  <c r="M8" i="38"/>
  <c r="M9" i="38"/>
  <c r="M10" i="38"/>
  <c r="M11" i="38"/>
  <c r="M12"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4" i="38"/>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4" i="37"/>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M7" i="27" l="1"/>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E1" i="51" l="1"/>
  <c r="B1" i="51"/>
  <c r="F13" i="36" l="1"/>
  <c r="F12" i="36"/>
  <c r="F23" i="36"/>
  <c r="D45" i="36" l="1"/>
  <c r="D44" i="36"/>
  <c r="D43" i="36"/>
  <c r="D42" i="36"/>
  <c r="D41" i="36"/>
  <c r="D40" i="36"/>
  <c r="D39" i="36"/>
  <c r="D38" i="36"/>
  <c r="D37" i="36"/>
  <c r="D36" i="36"/>
  <c r="D35" i="36"/>
  <c r="D34" i="36"/>
  <c r="D33" i="36"/>
  <c r="D32" i="36"/>
  <c r="D31" i="36"/>
  <c r="D30" i="36"/>
  <c r="D29" i="36"/>
  <c r="D28" i="36"/>
  <c r="D27" i="36"/>
  <c r="D26" i="36"/>
  <c r="D25" i="36"/>
  <c r="C45" i="36"/>
  <c r="C44" i="36"/>
  <c r="C43" i="36"/>
  <c r="C42" i="36"/>
  <c r="C41" i="36"/>
  <c r="C40" i="36"/>
  <c r="C39" i="36"/>
  <c r="C38" i="36"/>
  <c r="C37" i="36"/>
  <c r="C36" i="36"/>
  <c r="C35" i="36"/>
  <c r="C34" i="36"/>
  <c r="C33" i="36"/>
  <c r="C32" i="36"/>
  <c r="C31" i="36"/>
  <c r="C30" i="36"/>
  <c r="C29" i="36"/>
  <c r="C28" i="36"/>
  <c r="C27" i="36"/>
  <c r="C26" i="36"/>
  <c r="C25" i="36"/>
  <c r="R80" i="52"/>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25" i="36"/>
  <c r="F26" i="36"/>
  <c r="F27" i="36"/>
  <c r="F28" i="36"/>
  <c r="F29" i="36"/>
  <c r="F30" i="36"/>
  <c r="F31" i="36"/>
  <c r="F32" i="36"/>
  <c r="F33" i="36"/>
  <c r="F34" i="36"/>
  <c r="F35" i="36"/>
  <c r="F36" i="36"/>
  <c r="F37" i="36"/>
  <c r="F38" i="36"/>
  <c r="F39" i="36"/>
  <c r="F40" i="36"/>
  <c r="F41" i="36"/>
  <c r="F42" i="36"/>
  <c r="F43" i="36"/>
  <c r="F44" i="36"/>
  <c r="F45" i="36"/>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F40" i="27" l="1"/>
  <c r="F39" i="27"/>
  <c r="F38" i="27"/>
  <c r="F37" i="27"/>
  <c r="F36" i="27"/>
  <c r="F35" i="27"/>
  <c r="F34" i="27"/>
  <c r="F33" i="27"/>
  <c r="F32" i="27"/>
  <c r="F31" i="27"/>
  <c r="F30" i="27"/>
  <c r="F29" i="27"/>
  <c r="F28" i="27"/>
  <c r="F27" i="27"/>
  <c r="F26" i="27"/>
  <c r="F25" i="27"/>
  <c r="F24" i="27"/>
  <c r="F23" i="27"/>
  <c r="F22" i="27"/>
  <c r="F21" i="27"/>
  <c r="G21" i="27" l="1"/>
  <c r="I21" i="27" s="1"/>
  <c r="J21" i="27" s="1"/>
  <c r="K21" i="27" s="1"/>
  <c r="G29" i="27"/>
  <c r="I29" i="27" s="1"/>
  <c r="J29" i="27" s="1"/>
  <c r="K29" i="27" s="1"/>
  <c r="G22" i="27"/>
  <c r="I22" i="27" s="1"/>
  <c r="J22" i="27" s="1"/>
  <c r="K22" i="27" s="1"/>
  <c r="G30" i="27"/>
  <c r="I30" i="27" s="1"/>
  <c r="J30" i="27" s="1"/>
  <c r="K30" i="27" s="1"/>
  <c r="G38" i="27"/>
  <c r="I38" i="27" s="1"/>
  <c r="J38" i="27" s="1"/>
  <c r="K38" i="27" s="1"/>
  <c r="G23" i="27"/>
  <c r="I23" i="27" s="1"/>
  <c r="J23" i="27" s="1"/>
  <c r="K23" i="27" s="1"/>
  <c r="G27" i="27"/>
  <c r="I27" i="27" s="1"/>
  <c r="J27" i="27" s="1"/>
  <c r="K27" i="27" s="1"/>
  <c r="G31" i="27"/>
  <c r="I31" i="27" s="1"/>
  <c r="J31" i="27" s="1"/>
  <c r="K31" i="27" s="1"/>
  <c r="G35" i="27"/>
  <c r="I35" i="27" s="1"/>
  <c r="J35" i="27" s="1"/>
  <c r="K35" i="27" s="1"/>
  <c r="G39" i="27"/>
  <c r="I39" i="27" s="1"/>
  <c r="J39" i="27" s="1"/>
  <c r="K39" i="27" s="1"/>
  <c r="G25" i="27"/>
  <c r="I25" i="27" s="1"/>
  <c r="J25" i="27" s="1"/>
  <c r="K25" i="27" s="1"/>
  <c r="G33" i="27"/>
  <c r="I33" i="27" s="1"/>
  <c r="J33" i="27" s="1"/>
  <c r="K33" i="27" s="1"/>
  <c r="G37" i="27"/>
  <c r="I37" i="27" s="1"/>
  <c r="J37" i="27" s="1"/>
  <c r="K37" i="27" s="1"/>
  <c r="G26" i="27"/>
  <c r="I26" i="27" s="1"/>
  <c r="J26" i="27" s="1"/>
  <c r="K26" i="27" s="1"/>
  <c r="G34" i="27"/>
  <c r="I34" i="27" s="1"/>
  <c r="J34" i="27" s="1"/>
  <c r="K34" i="27" s="1"/>
  <c r="G24" i="27"/>
  <c r="I24" i="27" s="1"/>
  <c r="J24" i="27" s="1"/>
  <c r="K24" i="27" s="1"/>
  <c r="G28" i="27"/>
  <c r="I28" i="27" s="1"/>
  <c r="J28" i="27" s="1"/>
  <c r="K28" i="27" s="1"/>
  <c r="G32" i="27"/>
  <c r="I32" i="27" s="1"/>
  <c r="J32" i="27" s="1"/>
  <c r="K32" i="27" s="1"/>
  <c r="G36" i="27"/>
  <c r="I36" i="27" s="1"/>
  <c r="J36" i="27" s="1"/>
  <c r="K36" i="27" s="1"/>
  <c r="G40" i="27"/>
  <c r="I40" i="27" s="1"/>
  <c r="J40" i="27" s="1"/>
  <c r="K40" i="27" s="1"/>
  <c r="C44" i="53"/>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P12" i="52"/>
  <c r="W11" i="52"/>
  <c r="J11" i="52"/>
  <c r="V10" i="52"/>
  <c r="P10" i="52"/>
  <c r="J10" i="52"/>
  <c r="Q10" i="52" s="1"/>
  <c r="E3" i="27"/>
  <c r="E5" i="53" s="1"/>
  <c r="B3" i="27"/>
  <c r="B4" i="52" s="1"/>
  <c r="A5" i="36" l="1"/>
  <c r="J22" i="52"/>
  <c r="F13" i="27"/>
  <c r="C18" i="36"/>
  <c r="R25" i="52"/>
  <c r="F14" i="27"/>
  <c r="C19" i="36"/>
  <c r="R27" i="52"/>
  <c r="J29" i="52"/>
  <c r="P29" i="52"/>
  <c r="W35" i="52"/>
  <c r="P35" i="52"/>
  <c r="R38" i="52"/>
  <c r="D24" i="36"/>
  <c r="F24" i="36" s="1"/>
  <c r="A5" i="53"/>
  <c r="V39" i="52"/>
  <c r="X39" i="52"/>
  <c r="C24" i="53" s="1"/>
  <c r="Y40" i="52"/>
  <c r="Z39" i="52"/>
  <c r="Q30" i="52"/>
  <c r="W29" i="52"/>
  <c r="G14" i="27"/>
  <c r="I14" i="27" s="1"/>
  <c r="J14" i="27" s="1"/>
  <c r="K14" i="27" s="1"/>
  <c r="G13" i="27"/>
  <c r="I13" i="27" s="1"/>
  <c r="J13" i="27" s="1"/>
  <c r="K13" i="27" s="1"/>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C10" i="53" s="1"/>
  <c r="Q11" i="52"/>
  <c r="Q12" i="52"/>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C11" i="53" s="1"/>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1" i="52"/>
  <c r="R12" i="52"/>
  <c r="Y14" i="52" l="1"/>
  <c r="Z14" i="52" s="1"/>
  <c r="D12" i="36"/>
  <c r="R14" i="52"/>
  <c r="C12" i="36"/>
  <c r="R13" i="52"/>
  <c r="Y16" i="52"/>
  <c r="Z16" i="52" s="1"/>
  <c r="R16" i="52"/>
  <c r="D13" i="36"/>
  <c r="C13" i="36"/>
  <c r="R15" i="52"/>
  <c r="R17" i="52"/>
  <c r="C14" i="36"/>
  <c r="Y18" i="52"/>
  <c r="Z18" i="52" s="1"/>
  <c r="D14" i="36"/>
  <c r="R18" i="52"/>
  <c r="C15" i="36"/>
  <c r="R19" i="52"/>
  <c r="Y20" i="52"/>
  <c r="Z20" i="52" s="1"/>
  <c r="R20" i="52"/>
  <c r="D15" i="36"/>
  <c r="R21" i="52"/>
  <c r="C16" i="36"/>
  <c r="Y22" i="52"/>
  <c r="Z22" i="52" s="1"/>
  <c r="D16" i="36"/>
  <c r="R22" i="52"/>
  <c r="C17" i="36"/>
  <c r="R23" i="52"/>
  <c r="Y24" i="52"/>
  <c r="Z24" i="52" s="1"/>
  <c r="R24" i="52"/>
  <c r="D17" i="36"/>
  <c r="Y26" i="52"/>
  <c r="Z26" i="52" s="1"/>
  <c r="D18" i="36"/>
  <c r="F18" i="36" s="1"/>
  <c r="R26" i="52"/>
  <c r="R28" i="52"/>
  <c r="D19" i="36"/>
  <c r="F19" i="36" s="1"/>
  <c r="D20" i="36"/>
  <c r="F20" i="36" s="1"/>
  <c r="R30" i="52"/>
  <c r="C20" i="36"/>
  <c r="R29" i="52"/>
  <c r="C21" i="36"/>
  <c r="R31" i="52"/>
  <c r="Y32" i="52"/>
  <c r="Z32" i="52" s="1"/>
  <c r="R32" i="52"/>
  <c r="D21" i="36"/>
  <c r="F21" i="36" s="1"/>
  <c r="Y34" i="52"/>
  <c r="Z34" i="52" s="1"/>
  <c r="D22" i="36"/>
  <c r="F22" i="36" s="1"/>
  <c r="R34" i="52"/>
  <c r="C22" i="36"/>
  <c r="R33" i="52"/>
  <c r="R35" i="52"/>
  <c r="C23" i="36"/>
  <c r="Y36" i="52"/>
  <c r="Z36" i="52" s="1"/>
  <c r="D23" i="36"/>
  <c r="R36" i="52"/>
  <c r="C24" i="36"/>
  <c r="R37" i="52"/>
  <c r="Y12" i="52"/>
  <c r="Z12" i="52" s="1"/>
  <c r="F20" i="27"/>
  <c r="C23" i="53"/>
  <c r="G47" i="53" s="1"/>
  <c r="Y38" i="52"/>
  <c r="Z38" i="52" s="1"/>
  <c r="F19" i="27"/>
  <c r="Y37" i="52"/>
  <c r="Z37" i="52" s="1"/>
  <c r="F18" i="27"/>
  <c r="Y35" i="52"/>
  <c r="Z35" i="52" s="1"/>
  <c r="F17" i="27"/>
  <c r="Y33" i="52"/>
  <c r="Z33" i="52" s="1"/>
  <c r="F16" i="27"/>
  <c r="Y31" i="52"/>
  <c r="Z31" i="52" s="1"/>
  <c r="Y30" i="52"/>
  <c r="Z30" i="52" s="1"/>
  <c r="F15" i="27"/>
  <c r="Y29" i="52"/>
  <c r="Z29" i="52" s="1"/>
  <c r="C18" i="53"/>
  <c r="Y27" i="52"/>
  <c r="Z27" i="52" s="1"/>
  <c r="Y28" i="52"/>
  <c r="Z28" i="52" s="1"/>
  <c r="Y25" i="52"/>
  <c r="Z25" i="52" s="1"/>
  <c r="Y23" i="52"/>
  <c r="Z23" i="52" s="1"/>
  <c r="Y21" i="52"/>
  <c r="Z21" i="52" s="1"/>
  <c r="Y19" i="52"/>
  <c r="Z19" i="52" s="1"/>
  <c r="Y17" i="52"/>
  <c r="Z17" i="52" s="1"/>
  <c r="Y15" i="52"/>
  <c r="Z15" i="52" s="1"/>
  <c r="Y13" i="52"/>
  <c r="Z13" i="52" s="1"/>
  <c r="G54" i="53"/>
  <c r="E50" i="27"/>
  <c r="G20" i="27" l="1"/>
  <c r="I20" i="27" s="1"/>
  <c r="J20" i="27" s="1"/>
  <c r="K20" i="27" s="1"/>
  <c r="G48" i="53"/>
  <c r="E52" i="53"/>
  <c r="E47" i="53"/>
  <c r="G19" i="27"/>
  <c r="I19" i="27" s="1"/>
  <c r="J19" i="27" s="1"/>
  <c r="K19" i="27" s="1"/>
  <c r="G52" i="53"/>
  <c r="G18" i="27"/>
  <c r="I18" i="27" s="1"/>
  <c r="J18" i="27" s="1"/>
  <c r="K18" i="27" s="1"/>
  <c r="G17" i="27"/>
  <c r="I17" i="27" s="1"/>
  <c r="J17" i="27" s="1"/>
  <c r="K17" i="27" s="1"/>
  <c r="G16" i="27"/>
  <c r="I16" i="27" s="1"/>
  <c r="J16" i="27" s="1"/>
  <c r="K16" i="27" s="1"/>
  <c r="G15" i="27"/>
  <c r="I15" i="27" s="1"/>
  <c r="J15" i="27" s="1"/>
  <c r="K15" i="27" s="1"/>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B38" i="49"/>
  <c r="J38" i="49" s="1"/>
  <c r="C37" i="49"/>
  <c r="G37" i="51" s="1"/>
  <c r="B37" i="49"/>
  <c r="J37" i="49" s="1"/>
  <c r="C36" i="49"/>
  <c r="G36" i="51" s="1"/>
  <c r="B36" i="49"/>
  <c r="J36" i="49" s="1"/>
  <c r="C35" i="49"/>
  <c r="G35" i="51" s="1"/>
  <c r="B35" i="49"/>
  <c r="J35" i="49" s="1"/>
  <c r="C34" i="49"/>
  <c r="G34" i="51" s="1"/>
  <c r="B34" i="49"/>
  <c r="J34" i="49" s="1"/>
  <c r="C33" i="49"/>
  <c r="G33" i="51" s="1"/>
  <c r="B33" i="49"/>
  <c r="J33" i="49" s="1"/>
  <c r="C32" i="49"/>
  <c r="G32" i="51" s="1"/>
  <c r="B32" i="49"/>
  <c r="J32" i="49" s="1"/>
  <c r="C31" i="49"/>
  <c r="G31" i="51" s="1"/>
  <c r="B31" i="49"/>
  <c r="J31" i="49" s="1"/>
  <c r="C30" i="49"/>
  <c r="G30" i="51" s="1"/>
  <c r="B30" i="49"/>
  <c r="J30" i="49" s="1"/>
  <c r="C29" i="49"/>
  <c r="G29" i="51" s="1"/>
  <c r="B29" i="49"/>
  <c r="J29" i="49" s="1"/>
  <c r="C28" i="49"/>
  <c r="G28" i="51" s="1"/>
  <c r="B28" i="49"/>
  <c r="J28" i="49" s="1"/>
  <c r="C27" i="49"/>
  <c r="G27" i="51" s="1"/>
  <c r="B27" i="49"/>
  <c r="J27" i="49" s="1"/>
  <c r="C26" i="49"/>
  <c r="G26" i="51" s="1"/>
  <c r="B26" i="49"/>
  <c r="J26" i="49" s="1"/>
  <c r="G25" i="49"/>
  <c r="C25" i="49"/>
  <c r="G25" i="51" s="1"/>
  <c r="B25" i="49"/>
  <c r="J25" i="49" s="1"/>
  <c r="C24" i="49"/>
  <c r="G24" i="51" s="1"/>
  <c r="B24" i="49"/>
  <c r="J24" i="49" s="1"/>
  <c r="C23" i="49"/>
  <c r="G23" i="51" s="1"/>
  <c r="B23" i="49"/>
  <c r="J23" i="49" s="1"/>
  <c r="C22" i="49"/>
  <c r="G22" i="51" s="1"/>
  <c r="B22" i="49"/>
  <c r="J22" i="49" s="1"/>
  <c r="C21" i="49"/>
  <c r="G21" i="51" s="1"/>
  <c r="B21" i="49"/>
  <c r="J21" i="49" s="1"/>
  <c r="C20" i="49"/>
  <c r="G20" i="51" s="1"/>
  <c r="B20" i="49"/>
  <c r="J20" i="49" s="1"/>
  <c r="Q19" i="49"/>
  <c r="O19" i="49"/>
  <c r="C19" i="49"/>
  <c r="G19" i="51" s="1"/>
  <c r="B19" i="49"/>
  <c r="J19" i="49" s="1"/>
  <c r="Q18" i="49"/>
  <c r="C57" i="49" s="1"/>
  <c r="O18" i="49"/>
  <c r="C18" i="49"/>
  <c r="G18" i="51" s="1"/>
  <c r="B18" i="49"/>
  <c r="J18" i="49" s="1"/>
  <c r="O17" i="49"/>
  <c r="Q17" i="49" s="1"/>
  <c r="C17" i="49"/>
  <c r="G17" i="51" s="1"/>
  <c r="B17" i="49"/>
  <c r="J17" i="49" s="1"/>
  <c r="Q16" i="49"/>
  <c r="C55" i="49" s="1"/>
  <c r="O16" i="49"/>
  <c r="C16" i="49"/>
  <c r="G16" i="51" s="1"/>
  <c r="B16" i="49"/>
  <c r="J16" i="49" s="1"/>
  <c r="Q15" i="49"/>
  <c r="C54" i="49" s="1"/>
  <c r="O15" i="49"/>
  <c r="C15" i="49"/>
  <c r="G15" i="51" s="1"/>
  <c r="B15" i="49"/>
  <c r="J15" i="49" s="1"/>
  <c r="O14" i="49"/>
  <c r="Q14" i="49" s="1"/>
  <c r="C53" i="49" s="1"/>
  <c r="C14" i="49"/>
  <c r="G14" i="51" s="1"/>
  <c r="B14" i="49"/>
  <c r="J14" i="49" s="1"/>
  <c r="Q13" i="49"/>
  <c r="O13" i="49"/>
  <c r="C13" i="49"/>
  <c r="G13" i="51" s="1"/>
  <c r="B13" i="49"/>
  <c r="J13" i="49" s="1"/>
  <c r="Q12" i="49"/>
  <c r="C51" i="49" s="1"/>
  <c r="O12" i="49"/>
  <c r="C12" i="49"/>
  <c r="G12" i="51" s="1"/>
  <c r="B12" i="49"/>
  <c r="J12" i="49" s="1"/>
  <c r="O11" i="49"/>
  <c r="Q11" i="49" s="1"/>
  <c r="C11" i="49"/>
  <c r="G11" i="51" s="1"/>
  <c r="B11" i="49"/>
  <c r="J11" i="49" s="1"/>
  <c r="Q10" i="49"/>
  <c r="C49" i="49" s="1"/>
  <c r="O10" i="49"/>
  <c r="C10" i="49"/>
  <c r="G10" i="51" s="1"/>
  <c r="B10" i="49"/>
  <c r="J10" i="49" s="1"/>
  <c r="Q9" i="49"/>
  <c r="O9" i="49"/>
  <c r="C9" i="49"/>
  <c r="G9" i="51" s="1"/>
  <c r="B9" i="49"/>
  <c r="J9" i="49" s="1"/>
  <c r="O8" i="49"/>
  <c r="Q8" i="49" s="1"/>
  <c r="C47" i="49" s="1"/>
  <c r="C8" i="49"/>
  <c r="G8" i="51" s="1"/>
  <c r="B8" i="49"/>
  <c r="J8" i="49" s="1"/>
  <c r="Q7" i="49"/>
  <c r="O7" i="49"/>
  <c r="C7" i="49"/>
  <c r="G7" i="51" s="1"/>
  <c r="B7" i="49"/>
  <c r="J7" i="49" s="1"/>
  <c r="Q6" i="49"/>
  <c r="C45" i="49" s="1"/>
  <c r="O6" i="49"/>
  <c r="C6" i="49"/>
  <c r="G6" i="51" s="1"/>
  <c r="B6" i="49"/>
  <c r="J6" i="49" s="1"/>
  <c r="Q5" i="49"/>
  <c r="O5" i="49"/>
  <c r="C5" i="49"/>
  <c r="G5" i="51" s="1"/>
  <c r="B5" i="49"/>
  <c r="J5" i="49" s="1"/>
  <c r="O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C38" i="48"/>
  <c r="F38" i="51" s="1"/>
  <c r="B38" i="48"/>
  <c r="J38" i="48" s="1"/>
  <c r="C37" i="48"/>
  <c r="F37" i="51" s="1"/>
  <c r="B37" i="48"/>
  <c r="J37" i="48" s="1"/>
  <c r="C36" i="48"/>
  <c r="F36" i="51" s="1"/>
  <c r="B36" i="48"/>
  <c r="J36" i="48" s="1"/>
  <c r="C35" i="48"/>
  <c r="F35" i="51" s="1"/>
  <c r="B35" i="48"/>
  <c r="J35" i="48" s="1"/>
  <c r="C34" i="48"/>
  <c r="F34" i="51" s="1"/>
  <c r="B34" i="48"/>
  <c r="J34" i="48" s="1"/>
  <c r="C33" i="48"/>
  <c r="F33" i="51" s="1"/>
  <c r="B33" i="48"/>
  <c r="J33" i="48" s="1"/>
  <c r="C32" i="48"/>
  <c r="F32" i="51" s="1"/>
  <c r="B32" i="48"/>
  <c r="J32" i="48" s="1"/>
  <c r="C31" i="48"/>
  <c r="F31" i="51" s="1"/>
  <c r="B31" i="48"/>
  <c r="J31" i="48" s="1"/>
  <c r="C30" i="48"/>
  <c r="F30" i="51" s="1"/>
  <c r="B30" i="48"/>
  <c r="J30" i="48" s="1"/>
  <c r="C29" i="48"/>
  <c r="F29" i="51" s="1"/>
  <c r="B29" i="48"/>
  <c r="J29" i="48" s="1"/>
  <c r="C28" i="48"/>
  <c r="F28" i="51" s="1"/>
  <c r="B28" i="48"/>
  <c r="J28" i="48" s="1"/>
  <c r="C27" i="48"/>
  <c r="F27" i="51" s="1"/>
  <c r="B27" i="48"/>
  <c r="J27" i="48" s="1"/>
  <c r="C26" i="48"/>
  <c r="F26" i="51" s="1"/>
  <c r="B26" i="48"/>
  <c r="J26" i="48" s="1"/>
  <c r="G25" i="48"/>
  <c r="C25" i="48"/>
  <c r="F25" i="51" s="1"/>
  <c r="B25" i="48"/>
  <c r="J25" i="48" s="1"/>
  <c r="C24" i="48"/>
  <c r="F24" i="51" s="1"/>
  <c r="B24" i="48"/>
  <c r="J24" i="48" s="1"/>
  <c r="C23" i="48"/>
  <c r="F23" i="51" s="1"/>
  <c r="B23" i="48"/>
  <c r="J23" i="48" s="1"/>
  <c r="C22" i="48"/>
  <c r="F22" i="51" s="1"/>
  <c r="B22" i="48"/>
  <c r="J22" i="48" s="1"/>
  <c r="C21" i="48"/>
  <c r="F21" i="51" s="1"/>
  <c r="B21" i="48"/>
  <c r="J21" i="48" s="1"/>
  <c r="C20" i="48"/>
  <c r="F20" i="51" s="1"/>
  <c r="B20" i="48"/>
  <c r="J20" i="48" s="1"/>
  <c r="Q19" i="48"/>
  <c r="O19" i="48"/>
  <c r="C19" i="48"/>
  <c r="F19" i="51" s="1"/>
  <c r="B19" i="48"/>
  <c r="J19" i="48" s="1"/>
  <c r="Q18" i="48"/>
  <c r="C57" i="48" s="1"/>
  <c r="O18" i="48"/>
  <c r="C18" i="48"/>
  <c r="F18" i="51" s="1"/>
  <c r="B18" i="48"/>
  <c r="J18" i="48" s="1"/>
  <c r="O17" i="48"/>
  <c r="Q17" i="48" s="1"/>
  <c r="C56" i="48" s="1"/>
  <c r="C17" i="48"/>
  <c r="F17" i="51" s="1"/>
  <c r="B17" i="48"/>
  <c r="J17" i="48" s="1"/>
  <c r="Q16" i="48"/>
  <c r="O16" i="48"/>
  <c r="C16" i="48"/>
  <c r="F16" i="51" s="1"/>
  <c r="B16" i="48"/>
  <c r="J16" i="48" s="1"/>
  <c r="Q15" i="48"/>
  <c r="C54" i="48" s="1"/>
  <c r="O15" i="48"/>
  <c r="C15" i="48"/>
  <c r="F15" i="51" s="1"/>
  <c r="B15" i="48"/>
  <c r="J15" i="48" s="1"/>
  <c r="O14" i="48"/>
  <c r="Q14" i="48" s="1"/>
  <c r="C14" i="48"/>
  <c r="F14" i="51" s="1"/>
  <c r="B14" i="48"/>
  <c r="J14" i="48" s="1"/>
  <c r="Q13" i="48"/>
  <c r="C52" i="48" s="1"/>
  <c r="O13" i="48"/>
  <c r="C13" i="48"/>
  <c r="F13" i="51" s="1"/>
  <c r="B13" i="48"/>
  <c r="J13" i="48" s="1"/>
  <c r="Q12" i="48"/>
  <c r="O12" i="48"/>
  <c r="C12" i="48"/>
  <c r="F12" i="51" s="1"/>
  <c r="B12" i="48"/>
  <c r="J12" i="48" s="1"/>
  <c r="O11" i="48"/>
  <c r="Q11" i="48" s="1"/>
  <c r="C50" i="48" s="1"/>
  <c r="C11" i="48"/>
  <c r="F11" i="51" s="1"/>
  <c r="B11" i="48"/>
  <c r="J11" i="48" s="1"/>
  <c r="Q10" i="48"/>
  <c r="O10" i="48"/>
  <c r="C10" i="48"/>
  <c r="F10" i="51" s="1"/>
  <c r="B10" i="48"/>
  <c r="J10" i="48" s="1"/>
  <c r="Q9" i="48"/>
  <c r="C48" i="48" s="1"/>
  <c r="O9" i="48"/>
  <c r="C9" i="48"/>
  <c r="F9" i="51" s="1"/>
  <c r="B9" i="48"/>
  <c r="J9" i="48" s="1"/>
  <c r="O8" i="48"/>
  <c r="Q8" i="48" s="1"/>
  <c r="C8" i="48"/>
  <c r="F8" i="51" s="1"/>
  <c r="B8" i="48"/>
  <c r="J8" i="48" s="1"/>
  <c r="Q7" i="48"/>
  <c r="C46" i="48" s="1"/>
  <c r="O7" i="48"/>
  <c r="C7" i="48"/>
  <c r="F7" i="51" s="1"/>
  <c r="B7" i="48"/>
  <c r="J7" i="48" s="1"/>
  <c r="Q6" i="48"/>
  <c r="C45" i="48" s="1"/>
  <c r="O6" i="48"/>
  <c r="C6" i="48"/>
  <c r="F6" i="51" s="1"/>
  <c r="B6" i="48"/>
  <c r="J6" i="48" s="1"/>
  <c r="Q5" i="48"/>
  <c r="C44" i="48" s="1"/>
  <c r="O5" i="48"/>
  <c r="C5" i="48"/>
  <c r="F5" i="51" s="1"/>
  <c r="B5" i="48"/>
  <c r="J5" i="48" s="1"/>
  <c r="O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C38" i="47"/>
  <c r="E38" i="51" s="1"/>
  <c r="B38" i="47"/>
  <c r="J38" i="47" s="1"/>
  <c r="C37" i="47"/>
  <c r="E37" i="51" s="1"/>
  <c r="B37" i="47"/>
  <c r="J37" i="47" s="1"/>
  <c r="C36" i="47"/>
  <c r="E36" i="51" s="1"/>
  <c r="B36" i="47"/>
  <c r="J36" i="47" s="1"/>
  <c r="C35" i="47"/>
  <c r="E35" i="51" s="1"/>
  <c r="B35" i="47"/>
  <c r="J35" i="47" s="1"/>
  <c r="C34" i="47"/>
  <c r="E34" i="51" s="1"/>
  <c r="B34" i="47"/>
  <c r="J34" i="47" s="1"/>
  <c r="C33" i="47"/>
  <c r="E33" i="51" s="1"/>
  <c r="B33" i="47"/>
  <c r="J33" i="47" s="1"/>
  <c r="C32" i="47"/>
  <c r="E32" i="51" s="1"/>
  <c r="B32" i="47"/>
  <c r="J32" i="47" s="1"/>
  <c r="C31" i="47"/>
  <c r="E31" i="51" s="1"/>
  <c r="B31" i="47"/>
  <c r="J31" i="47" s="1"/>
  <c r="C30" i="47"/>
  <c r="E30" i="51" s="1"/>
  <c r="B30" i="47"/>
  <c r="J30" i="47" s="1"/>
  <c r="C29" i="47"/>
  <c r="E29" i="51" s="1"/>
  <c r="B29" i="47"/>
  <c r="J29" i="47" s="1"/>
  <c r="C28" i="47"/>
  <c r="E28" i="51" s="1"/>
  <c r="B28" i="47"/>
  <c r="J28" i="47" s="1"/>
  <c r="C27" i="47"/>
  <c r="E27" i="51" s="1"/>
  <c r="B27" i="47"/>
  <c r="J27" i="47" s="1"/>
  <c r="C26" i="47"/>
  <c r="E26" i="51" s="1"/>
  <c r="B26" i="47"/>
  <c r="J26" i="47" s="1"/>
  <c r="G25" i="47"/>
  <c r="C25" i="47"/>
  <c r="E25" i="51" s="1"/>
  <c r="B25" i="47"/>
  <c r="J25" i="47" s="1"/>
  <c r="C24" i="47"/>
  <c r="E24" i="51" s="1"/>
  <c r="B24" i="47"/>
  <c r="J24" i="47" s="1"/>
  <c r="C23" i="47"/>
  <c r="E23" i="51" s="1"/>
  <c r="B23" i="47"/>
  <c r="J23" i="47" s="1"/>
  <c r="C22" i="47"/>
  <c r="E22" i="51" s="1"/>
  <c r="B22" i="47"/>
  <c r="J22" i="47" s="1"/>
  <c r="C21" i="47"/>
  <c r="E21" i="51" s="1"/>
  <c r="B21" i="47"/>
  <c r="J21" i="47" s="1"/>
  <c r="C20" i="47"/>
  <c r="E20" i="51" s="1"/>
  <c r="B20" i="47"/>
  <c r="J20" i="47" s="1"/>
  <c r="O19" i="47"/>
  <c r="Q19" i="47" s="1"/>
  <c r="C19" i="47"/>
  <c r="E19" i="51" s="1"/>
  <c r="B19" i="47"/>
  <c r="J19" i="47" s="1"/>
  <c r="O18" i="47"/>
  <c r="Q18" i="47" s="1"/>
  <c r="C57" i="47" s="1"/>
  <c r="C18" i="47"/>
  <c r="E18" i="51" s="1"/>
  <c r="B18" i="47"/>
  <c r="J18" i="47" s="1"/>
  <c r="Q17" i="47"/>
  <c r="C56" i="47" s="1"/>
  <c r="D55" i="47" s="1"/>
  <c r="O17" i="47"/>
  <c r="C17" i="47"/>
  <c r="E17" i="51" s="1"/>
  <c r="B17" i="47"/>
  <c r="J17" i="47" s="1"/>
  <c r="O16" i="47"/>
  <c r="Q16" i="47" s="1"/>
  <c r="C55" i="47" s="1"/>
  <c r="C16" i="47"/>
  <c r="E16" i="51" s="1"/>
  <c r="B16" i="47"/>
  <c r="J16" i="47" s="1"/>
  <c r="O15" i="47"/>
  <c r="Q15" i="47" s="1"/>
  <c r="C15" i="47"/>
  <c r="E15" i="51" s="1"/>
  <c r="B15" i="47"/>
  <c r="J15" i="47" s="1"/>
  <c r="Q14" i="47"/>
  <c r="C53" i="47" s="1"/>
  <c r="O14" i="47"/>
  <c r="C14" i="47"/>
  <c r="E14" i="51" s="1"/>
  <c r="B14" i="47"/>
  <c r="J14" i="47" s="1"/>
  <c r="Q13" i="47"/>
  <c r="C52" i="47" s="1"/>
  <c r="O13" i="47"/>
  <c r="C13" i="47"/>
  <c r="E13" i="51" s="1"/>
  <c r="B13" i="47"/>
  <c r="J13" i="47" s="1"/>
  <c r="Q12" i="47"/>
  <c r="C51" i="47" s="1"/>
  <c r="O12" i="47"/>
  <c r="C12" i="47"/>
  <c r="E12" i="51" s="1"/>
  <c r="B12" i="47"/>
  <c r="J12" i="47" s="1"/>
  <c r="Q11" i="47"/>
  <c r="C50" i="47" s="1"/>
  <c r="O11" i="47"/>
  <c r="C11" i="47"/>
  <c r="E11" i="51" s="1"/>
  <c r="B11" i="47"/>
  <c r="J11" i="47" s="1"/>
  <c r="O10" i="47"/>
  <c r="Q10" i="47" s="1"/>
  <c r="C49" i="47" s="1"/>
  <c r="C10" i="47"/>
  <c r="E10" i="51" s="1"/>
  <c r="B10" i="47"/>
  <c r="J10" i="47" s="1"/>
  <c r="O9" i="47"/>
  <c r="Q9" i="47" s="1"/>
  <c r="C48" i="47" s="1"/>
  <c r="C9" i="47"/>
  <c r="E9" i="51" s="1"/>
  <c r="B9" i="47"/>
  <c r="J9" i="47" s="1"/>
  <c r="O8" i="47"/>
  <c r="Q8" i="47" s="1"/>
  <c r="C47" i="47" s="1"/>
  <c r="C8" i="47"/>
  <c r="E8" i="51" s="1"/>
  <c r="B8" i="47"/>
  <c r="J8" i="47" s="1"/>
  <c r="O7" i="47"/>
  <c r="Q7" i="47" s="1"/>
  <c r="C46" i="47" s="1"/>
  <c r="C7" i="47"/>
  <c r="E7" i="51" s="1"/>
  <c r="B7" i="47"/>
  <c r="J7" i="47" s="1"/>
  <c r="O6" i="47"/>
  <c r="Q6" i="47" s="1"/>
  <c r="C45" i="47" s="1"/>
  <c r="C6" i="47"/>
  <c r="E6" i="51" s="1"/>
  <c r="B6" i="47"/>
  <c r="J6" i="47" s="1"/>
  <c r="O5" i="47"/>
  <c r="Q5" i="47" s="1"/>
  <c r="C5" i="47"/>
  <c r="E5" i="51" s="1"/>
  <c r="B5" i="47"/>
  <c r="J5" i="47" s="1"/>
  <c r="O4" i="47"/>
  <c r="B4" i="47"/>
  <c r="J4" i="47" s="1"/>
  <c r="C2" i="47"/>
  <c r="C1" i="47"/>
  <c r="F58" i="46"/>
  <c r="F57" i="46"/>
  <c r="D57" i="46"/>
  <c r="C58" i="46" s="1"/>
  <c r="B58" i="46" s="1"/>
  <c r="F56" i="46"/>
  <c r="F55" i="46"/>
  <c r="F54" i="46"/>
  <c r="F53" i="46"/>
  <c r="F52" i="46"/>
  <c r="F51" i="46"/>
  <c r="F50" i="46"/>
  <c r="F49" i="46"/>
  <c r="F48" i="46"/>
  <c r="F47" i="46"/>
  <c r="F46" i="46"/>
  <c r="F45" i="46"/>
  <c r="F44" i="46"/>
  <c r="F43" i="46"/>
  <c r="C43" i="46"/>
  <c r="C38" i="46"/>
  <c r="D38" i="51" s="1"/>
  <c r="B38" i="46"/>
  <c r="J38" i="46" s="1"/>
  <c r="C37" i="46"/>
  <c r="D37" i="51" s="1"/>
  <c r="B37" i="46"/>
  <c r="J37" i="46" s="1"/>
  <c r="C36" i="46"/>
  <c r="D36" i="51" s="1"/>
  <c r="B36" i="46"/>
  <c r="J36" i="46" s="1"/>
  <c r="C35" i="46"/>
  <c r="D35" i="51" s="1"/>
  <c r="B35" i="46"/>
  <c r="J35" i="46" s="1"/>
  <c r="C34" i="46"/>
  <c r="D34" i="51" s="1"/>
  <c r="B34" i="46"/>
  <c r="J34" i="46" s="1"/>
  <c r="C33" i="46"/>
  <c r="D33" i="51" s="1"/>
  <c r="B33" i="46"/>
  <c r="J33" i="46" s="1"/>
  <c r="C32" i="46"/>
  <c r="D32" i="51" s="1"/>
  <c r="B32" i="46"/>
  <c r="J32" i="46" s="1"/>
  <c r="C31" i="46"/>
  <c r="D31" i="51" s="1"/>
  <c r="B31" i="46"/>
  <c r="J31" i="46" s="1"/>
  <c r="C30" i="46"/>
  <c r="D30" i="51" s="1"/>
  <c r="B30" i="46"/>
  <c r="J30" i="46" s="1"/>
  <c r="C29" i="46"/>
  <c r="D29" i="51" s="1"/>
  <c r="B29" i="46"/>
  <c r="J29" i="46" s="1"/>
  <c r="C28" i="46"/>
  <c r="D28" i="51" s="1"/>
  <c r="B28" i="46"/>
  <c r="J28" i="46" s="1"/>
  <c r="C27" i="46"/>
  <c r="D27" i="51" s="1"/>
  <c r="B27" i="46"/>
  <c r="J27" i="46" s="1"/>
  <c r="C26" i="46"/>
  <c r="D26" i="51" s="1"/>
  <c r="B26" i="46"/>
  <c r="J26" i="46" s="1"/>
  <c r="G25" i="46"/>
  <c r="C25" i="46"/>
  <c r="D25" i="51" s="1"/>
  <c r="B25" i="46"/>
  <c r="J25" i="46" s="1"/>
  <c r="C24" i="46"/>
  <c r="D24" i="51" s="1"/>
  <c r="B24" i="46"/>
  <c r="J24" i="46" s="1"/>
  <c r="C23" i="46"/>
  <c r="D23" i="51" s="1"/>
  <c r="B23" i="46"/>
  <c r="J23" i="46" s="1"/>
  <c r="C22" i="46"/>
  <c r="D22" i="51" s="1"/>
  <c r="B22" i="46"/>
  <c r="J22" i="46" s="1"/>
  <c r="C21" i="46"/>
  <c r="D21" i="51" s="1"/>
  <c r="B21" i="46"/>
  <c r="J21" i="46" s="1"/>
  <c r="C20" i="46"/>
  <c r="D20" i="51" s="1"/>
  <c r="B20" i="46"/>
  <c r="J20" i="46" s="1"/>
  <c r="O19" i="46"/>
  <c r="Q19" i="46" s="1"/>
  <c r="C19" i="46"/>
  <c r="D19" i="51" s="1"/>
  <c r="B19" i="46"/>
  <c r="J19" i="46" s="1"/>
  <c r="O18" i="46"/>
  <c r="Q18" i="46" s="1"/>
  <c r="C57" i="46" s="1"/>
  <c r="C18" i="46"/>
  <c r="D18" i="51" s="1"/>
  <c r="B18" i="46"/>
  <c r="J18" i="46" s="1"/>
  <c r="Q17" i="46"/>
  <c r="C56" i="46" s="1"/>
  <c r="O17" i="46"/>
  <c r="C17" i="46"/>
  <c r="D17" i="51" s="1"/>
  <c r="B17" i="46"/>
  <c r="J17" i="46" s="1"/>
  <c r="O16" i="46"/>
  <c r="Q16" i="46" s="1"/>
  <c r="C55" i="46" s="1"/>
  <c r="C16" i="46"/>
  <c r="D16" i="51" s="1"/>
  <c r="B16" i="46"/>
  <c r="J16" i="46" s="1"/>
  <c r="O15" i="46"/>
  <c r="Q15" i="46" s="1"/>
  <c r="C54" i="46" s="1"/>
  <c r="C15" i="46"/>
  <c r="D15" i="51" s="1"/>
  <c r="B15" i="46"/>
  <c r="J15" i="46" s="1"/>
  <c r="Q14" i="46"/>
  <c r="C53" i="46" s="1"/>
  <c r="O14" i="46"/>
  <c r="C14" i="46"/>
  <c r="D14" i="51" s="1"/>
  <c r="B14" i="46"/>
  <c r="J14" i="46" s="1"/>
  <c r="O13" i="46"/>
  <c r="Q13" i="46" s="1"/>
  <c r="C52" i="46" s="1"/>
  <c r="C13" i="46"/>
  <c r="D13" i="51" s="1"/>
  <c r="B13" i="46"/>
  <c r="J13" i="46" s="1"/>
  <c r="O12" i="46"/>
  <c r="Q12" i="46" s="1"/>
  <c r="C51" i="46" s="1"/>
  <c r="C12" i="46"/>
  <c r="D12" i="51" s="1"/>
  <c r="B12" i="46"/>
  <c r="J12" i="46" s="1"/>
  <c r="Q11" i="46"/>
  <c r="C50" i="46" s="1"/>
  <c r="O11" i="46"/>
  <c r="C11" i="46"/>
  <c r="D11" i="51" s="1"/>
  <c r="B11" i="46"/>
  <c r="J11" i="46" s="1"/>
  <c r="O10" i="46"/>
  <c r="Q10" i="46" s="1"/>
  <c r="C49" i="46" s="1"/>
  <c r="D48" i="46" s="1"/>
  <c r="C10" i="46"/>
  <c r="D10" i="51" s="1"/>
  <c r="B10" i="46"/>
  <c r="J10" i="46" s="1"/>
  <c r="O9" i="46"/>
  <c r="Q9" i="46" s="1"/>
  <c r="C48" i="46" s="1"/>
  <c r="C9" i="46"/>
  <c r="D9" i="51" s="1"/>
  <c r="B9" i="46"/>
  <c r="J9" i="46" s="1"/>
  <c r="Q8" i="46"/>
  <c r="C47" i="46" s="1"/>
  <c r="O8" i="46"/>
  <c r="C8" i="46"/>
  <c r="D8" i="51" s="1"/>
  <c r="B8" i="46"/>
  <c r="J8" i="46" s="1"/>
  <c r="O7" i="46"/>
  <c r="Q7" i="46" s="1"/>
  <c r="C46" i="46" s="1"/>
  <c r="C7" i="46"/>
  <c r="D7" i="51" s="1"/>
  <c r="B7" i="46"/>
  <c r="J7" i="46" s="1"/>
  <c r="O6" i="46"/>
  <c r="Q6" i="46" s="1"/>
  <c r="C45" i="46" s="1"/>
  <c r="C6" i="46"/>
  <c r="D6" i="51" s="1"/>
  <c r="B6" i="46"/>
  <c r="J6" i="46" s="1"/>
  <c r="O5" i="46"/>
  <c r="Q5" i="46" s="1"/>
  <c r="C44" i="46" s="1"/>
  <c r="C5" i="46"/>
  <c r="D5" i="51" s="1"/>
  <c r="B5" i="46"/>
  <c r="J5" i="46" s="1"/>
  <c r="O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C38" i="45"/>
  <c r="C38" i="51" s="1"/>
  <c r="B38" i="45"/>
  <c r="J38" i="45" s="1"/>
  <c r="C37" i="45"/>
  <c r="C37" i="51" s="1"/>
  <c r="B37" i="45"/>
  <c r="J37" i="45" s="1"/>
  <c r="C36" i="45"/>
  <c r="C36" i="51" s="1"/>
  <c r="B36" i="45"/>
  <c r="J36" i="45" s="1"/>
  <c r="C35" i="45"/>
  <c r="C35" i="51" s="1"/>
  <c r="B35" i="45"/>
  <c r="J35" i="45" s="1"/>
  <c r="C34" i="45"/>
  <c r="C34" i="51" s="1"/>
  <c r="B34" i="45"/>
  <c r="J34" i="45" s="1"/>
  <c r="C33" i="45"/>
  <c r="C33" i="51" s="1"/>
  <c r="B33" i="45"/>
  <c r="J33" i="45" s="1"/>
  <c r="C32" i="45"/>
  <c r="C32" i="51" s="1"/>
  <c r="B32" i="45"/>
  <c r="J32" i="45" s="1"/>
  <c r="C31" i="45"/>
  <c r="C31" i="51" s="1"/>
  <c r="B31" i="45"/>
  <c r="J31" i="45" s="1"/>
  <c r="C30" i="45"/>
  <c r="C30" i="51" s="1"/>
  <c r="B30" i="45"/>
  <c r="J30" i="45" s="1"/>
  <c r="C29" i="45"/>
  <c r="C29" i="51" s="1"/>
  <c r="B29" i="45"/>
  <c r="J29" i="45" s="1"/>
  <c r="C28" i="45"/>
  <c r="C28" i="51" s="1"/>
  <c r="B28" i="45"/>
  <c r="J28" i="45" s="1"/>
  <c r="C27" i="45"/>
  <c r="C27" i="51" s="1"/>
  <c r="B27" i="45"/>
  <c r="J27" i="45" s="1"/>
  <c r="C26" i="45"/>
  <c r="C26" i="51" s="1"/>
  <c r="B26" i="45"/>
  <c r="J26" i="45" s="1"/>
  <c r="G25" i="45"/>
  <c r="C25" i="45"/>
  <c r="C25" i="51" s="1"/>
  <c r="B25" i="45"/>
  <c r="J25" i="45" s="1"/>
  <c r="C24" i="45"/>
  <c r="C24" i="51" s="1"/>
  <c r="B24" i="45"/>
  <c r="J24" i="45" s="1"/>
  <c r="C23" i="45"/>
  <c r="C23" i="51" s="1"/>
  <c r="B23" i="45"/>
  <c r="J23" i="45" s="1"/>
  <c r="C22" i="45"/>
  <c r="C22" i="51" s="1"/>
  <c r="B22" i="45"/>
  <c r="J22" i="45" s="1"/>
  <c r="C21" i="45"/>
  <c r="C21" i="51" s="1"/>
  <c r="B21" i="45"/>
  <c r="J21" i="45" s="1"/>
  <c r="C20" i="45"/>
  <c r="C20" i="51" s="1"/>
  <c r="B20" i="45"/>
  <c r="J20" i="45" s="1"/>
  <c r="O19" i="45"/>
  <c r="Q19" i="45" s="1"/>
  <c r="C19" i="45"/>
  <c r="C19" i="51" s="1"/>
  <c r="B19" i="45"/>
  <c r="J19" i="45" s="1"/>
  <c r="O18" i="45"/>
  <c r="Q18" i="45" s="1"/>
  <c r="C57" i="45" s="1"/>
  <c r="B57" i="45" s="1"/>
  <c r="C18" i="45"/>
  <c r="C18" i="51" s="1"/>
  <c r="B18" i="45"/>
  <c r="J18" i="45" s="1"/>
  <c r="Q17" i="45"/>
  <c r="C56" i="45" s="1"/>
  <c r="D55" i="45" s="1"/>
  <c r="O17" i="45"/>
  <c r="C17" i="45"/>
  <c r="C17" i="51" s="1"/>
  <c r="B17" i="45"/>
  <c r="J17" i="45" s="1"/>
  <c r="O16" i="45"/>
  <c r="Q16" i="45" s="1"/>
  <c r="C55" i="45" s="1"/>
  <c r="D54" i="45" s="1"/>
  <c r="C16" i="45"/>
  <c r="C16" i="51" s="1"/>
  <c r="B16" i="45"/>
  <c r="J16" i="45" s="1"/>
  <c r="O15" i="45"/>
  <c r="Q15" i="45" s="1"/>
  <c r="C54" i="45" s="1"/>
  <c r="D53" i="45" s="1"/>
  <c r="C15" i="45"/>
  <c r="C15" i="51" s="1"/>
  <c r="B15" i="45"/>
  <c r="J15" i="45" s="1"/>
  <c r="Q14" i="45"/>
  <c r="C53" i="45" s="1"/>
  <c r="O14" i="45"/>
  <c r="C14" i="45"/>
  <c r="C14" i="51" s="1"/>
  <c r="B14" i="45"/>
  <c r="J14" i="45" s="1"/>
  <c r="O13" i="45"/>
  <c r="Q13" i="45" s="1"/>
  <c r="C52" i="45" s="1"/>
  <c r="D51" i="45" s="1"/>
  <c r="B51" i="45" s="1"/>
  <c r="C13" i="45"/>
  <c r="C13" i="51" s="1"/>
  <c r="B13" i="45"/>
  <c r="J13" i="45" s="1"/>
  <c r="O12" i="45"/>
  <c r="Q12" i="45" s="1"/>
  <c r="C51" i="45" s="1"/>
  <c r="D50" i="45" s="1"/>
  <c r="C12" i="45"/>
  <c r="C12" i="51" s="1"/>
  <c r="B12" i="45"/>
  <c r="J12" i="45" s="1"/>
  <c r="Q11" i="45"/>
  <c r="C50" i="45" s="1"/>
  <c r="D49" i="45" s="1"/>
  <c r="O11" i="45"/>
  <c r="C11" i="45"/>
  <c r="C11" i="51" s="1"/>
  <c r="B11" i="45"/>
  <c r="J11" i="45" s="1"/>
  <c r="O10" i="45"/>
  <c r="Q10" i="45" s="1"/>
  <c r="C49" i="45" s="1"/>
  <c r="C10" i="45"/>
  <c r="C10" i="51" s="1"/>
  <c r="B10" i="45"/>
  <c r="J10" i="45" s="1"/>
  <c r="O9" i="45"/>
  <c r="Q9" i="45" s="1"/>
  <c r="C48" i="45" s="1"/>
  <c r="D47" i="45" s="1"/>
  <c r="C9" i="45"/>
  <c r="C9" i="51" s="1"/>
  <c r="B9" i="45"/>
  <c r="J9" i="45" s="1"/>
  <c r="Q8" i="45"/>
  <c r="C47" i="45" s="1"/>
  <c r="D46" i="45" s="1"/>
  <c r="O8" i="45"/>
  <c r="C8" i="45"/>
  <c r="C8" i="51" s="1"/>
  <c r="B8" i="45"/>
  <c r="J8" i="45" s="1"/>
  <c r="O7" i="45"/>
  <c r="Q7" i="45" s="1"/>
  <c r="C46" i="45" s="1"/>
  <c r="D45" i="45" s="1"/>
  <c r="C7" i="45"/>
  <c r="C7" i="51" s="1"/>
  <c r="B7" i="45"/>
  <c r="J7" i="45" s="1"/>
  <c r="O6" i="45"/>
  <c r="Q6" i="45" s="1"/>
  <c r="C45" i="45" s="1"/>
  <c r="C6" i="45"/>
  <c r="C6" i="51" s="1"/>
  <c r="B6" i="45"/>
  <c r="J6" i="45" s="1"/>
  <c r="O5" i="45"/>
  <c r="Q5" i="45" s="1"/>
  <c r="C44" i="45" s="1"/>
  <c r="D43" i="45" s="1"/>
  <c r="B43" i="45" s="1"/>
  <c r="C5" i="45"/>
  <c r="C5" i="51" s="1"/>
  <c r="B5" i="45"/>
  <c r="J5" i="45" s="1"/>
  <c r="O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C38" i="44"/>
  <c r="M38" i="51" s="1"/>
  <c r="B38" i="44"/>
  <c r="J38" i="44" s="1"/>
  <c r="C37" i="44"/>
  <c r="M37" i="51" s="1"/>
  <c r="B37" i="44"/>
  <c r="J37" i="44" s="1"/>
  <c r="C36" i="44"/>
  <c r="M36" i="51" s="1"/>
  <c r="B36" i="44"/>
  <c r="J36" i="44" s="1"/>
  <c r="C35" i="44"/>
  <c r="M35" i="51" s="1"/>
  <c r="B35" i="44"/>
  <c r="J35" i="44" s="1"/>
  <c r="C34" i="44"/>
  <c r="M34" i="51" s="1"/>
  <c r="B34" i="44"/>
  <c r="J34" i="44" s="1"/>
  <c r="C33" i="44"/>
  <c r="M33" i="51" s="1"/>
  <c r="B33" i="44"/>
  <c r="J33" i="44" s="1"/>
  <c r="C32" i="44"/>
  <c r="M32" i="51" s="1"/>
  <c r="B32" i="44"/>
  <c r="J32" i="44" s="1"/>
  <c r="C31" i="44"/>
  <c r="M31" i="51" s="1"/>
  <c r="B31" i="44"/>
  <c r="J31" i="44" s="1"/>
  <c r="C30" i="44"/>
  <c r="M30" i="51" s="1"/>
  <c r="B30" i="44"/>
  <c r="J30" i="44" s="1"/>
  <c r="C29" i="44"/>
  <c r="M29" i="51" s="1"/>
  <c r="B29" i="44"/>
  <c r="J29" i="44" s="1"/>
  <c r="C28" i="44"/>
  <c r="M28" i="51" s="1"/>
  <c r="B28" i="44"/>
  <c r="J28" i="44" s="1"/>
  <c r="C27" i="44"/>
  <c r="M27" i="51" s="1"/>
  <c r="B27" i="44"/>
  <c r="J27" i="44" s="1"/>
  <c r="C26" i="44"/>
  <c r="M26" i="51" s="1"/>
  <c r="B26" i="44"/>
  <c r="J26" i="44" s="1"/>
  <c r="G25" i="44"/>
  <c r="C25" i="44"/>
  <c r="M25" i="51" s="1"/>
  <c r="B25" i="44"/>
  <c r="J25" i="44" s="1"/>
  <c r="C24" i="44"/>
  <c r="M24" i="51" s="1"/>
  <c r="B24" i="44"/>
  <c r="J24" i="44" s="1"/>
  <c r="C23" i="44"/>
  <c r="M23" i="51" s="1"/>
  <c r="B23" i="44"/>
  <c r="J23" i="44" s="1"/>
  <c r="C22" i="44"/>
  <c r="M22" i="51" s="1"/>
  <c r="B22" i="44"/>
  <c r="J22" i="44" s="1"/>
  <c r="C21" i="44"/>
  <c r="M21" i="51" s="1"/>
  <c r="B21" i="44"/>
  <c r="J21" i="44" s="1"/>
  <c r="C20" i="44"/>
  <c r="M20" i="51" s="1"/>
  <c r="B20" i="44"/>
  <c r="J20" i="44" s="1"/>
  <c r="O19" i="44"/>
  <c r="Q19" i="44" s="1"/>
  <c r="C19" i="44"/>
  <c r="M19" i="51" s="1"/>
  <c r="B19" i="44"/>
  <c r="J19" i="44" s="1"/>
  <c r="O18" i="44"/>
  <c r="Q18" i="44" s="1"/>
  <c r="C57" i="44" s="1"/>
  <c r="B57" i="44" s="1"/>
  <c r="C18" i="44"/>
  <c r="M18" i="51" s="1"/>
  <c r="B18" i="44"/>
  <c r="J18" i="44" s="1"/>
  <c r="Q17" i="44"/>
  <c r="C56" i="44" s="1"/>
  <c r="D55" i="44" s="1"/>
  <c r="O17" i="44"/>
  <c r="C17" i="44"/>
  <c r="M17" i="51" s="1"/>
  <c r="B17" i="44"/>
  <c r="J17" i="44" s="1"/>
  <c r="O16" i="44"/>
  <c r="Q16" i="44" s="1"/>
  <c r="C55" i="44" s="1"/>
  <c r="D54" i="44" s="1"/>
  <c r="B54" i="44" s="1"/>
  <c r="C16" i="44"/>
  <c r="M16" i="51" s="1"/>
  <c r="B16" i="44"/>
  <c r="J16" i="44" s="1"/>
  <c r="O15" i="44"/>
  <c r="Q15" i="44" s="1"/>
  <c r="C54" i="44" s="1"/>
  <c r="D53" i="44" s="1"/>
  <c r="C15" i="44"/>
  <c r="M15" i="51" s="1"/>
  <c r="B15" i="44"/>
  <c r="J15" i="44" s="1"/>
  <c r="Q14" i="44"/>
  <c r="C53" i="44" s="1"/>
  <c r="O14" i="44"/>
  <c r="C14" i="44"/>
  <c r="M14" i="51" s="1"/>
  <c r="B14" i="44"/>
  <c r="J14" i="44" s="1"/>
  <c r="O13" i="44"/>
  <c r="Q13" i="44" s="1"/>
  <c r="C52" i="44" s="1"/>
  <c r="D51" i="44" s="1"/>
  <c r="C13" i="44"/>
  <c r="M13" i="51" s="1"/>
  <c r="B13" i="44"/>
  <c r="J13" i="44" s="1"/>
  <c r="O12" i="44"/>
  <c r="Q12" i="44" s="1"/>
  <c r="C51" i="44" s="1"/>
  <c r="D50" i="44" s="1"/>
  <c r="C12" i="44"/>
  <c r="M12" i="51" s="1"/>
  <c r="B12" i="44"/>
  <c r="J12" i="44" s="1"/>
  <c r="Q11" i="44"/>
  <c r="C50" i="44" s="1"/>
  <c r="B50" i="44" s="1"/>
  <c r="O11" i="44"/>
  <c r="C11" i="44"/>
  <c r="M11" i="51" s="1"/>
  <c r="B11" i="44"/>
  <c r="J11" i="44" s="1"/>
  <c r="O10" i="44"/>
  <c r="Q10" i="44" s="1"/>
  <c r="C49" i="44" s="1"/>
  <c r="C10" i="44"/>
  <c r="M10" i="51" s="1"/>
  <c r="B10" i="44"/>
  <c r="J10" i="44" s="1"/>
  <c r="O9" i="44"/>
  <c r="Q9" i="44" s="1"/>
  <c r="C48" i="44" s="1"/>
  <c r="D47" i="44" s="1"/>
  <c r="C9" i="44"/>
  <c r="M9" i="51" s="1"/>
  <c r="B9" i="44"/>
  <c r="J9" i="44" s="1"/>
  <c r="Q8" i="44"/>
  <c r="C47" i="44" s="1"/>
  <c r="D46" i="44" s="1"/>
  <c r="O8" i="44"/>
  <c r="C8" i="44"/>
  <c r="M8" i="51" s="1"/>
  <c r="B8" i="44"/>
  <c r="J8" i="44" s="1"/>
  <c r="O7" i="44"/>
  <c r="Q7" i="44" s="1"/>
  <c r="C46" i="44" s="1"/>
  <c r="B46" i="44" s="1"/>
  <c r="C7" i="44"/>
  <c r="M7" i="51" s="1"/>
  <c r="B7" i="44"/>
  <c r="J7" i="44" s="1"/>
  <c r="O6" i="44"/>
  <c r="Q6" i="44" s="1"/>
  <c r="C45" i="44" s="1"/>
  <c r="C6" i="44"/>
  <c r="M6" i="51" s="1"/>
  <c r="B6" i="44"/>
  <c r="J6" i="44" s="1"/>
  <c r="O5" i="44"/>
  <c r="Q5" i="44" s="1"/>
  <c r="C44" i="44" s="1"/>
  <c r="D43" i="44" s="1"/>
  <c r="B43" i="44" s="1"/>
  <c r="C5" i="44"/>
  <c r="M5" i="51" s="1"/>
  <c r="B5" i="44"/>
  <c r="J5" i="44" s="1"/>
  <c r="O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C38" i="43"/>
  <c r="L38" i="51" s="1"/>
  <c r="B38" i="43"/>
  <c r="J38" i="43" s="1"/>
  <c r="C37" i="43"/>
  <c r="L37" i="51" s="1"/>
  <c r="B37" i="43"/>
  <c r="J37" i="43" s="1"/>
  <c r="C36" i="43"/>
  <c r="L36" i="51" s="1"/>
  <c r="B36" i="43"/>
  <c r="J36" i="43" s="1"/>
  <c r="C35" i="43"/>
  <c r="L35" i="51" s="1"/>
  <c r="B35" i="43"/>
  <c r="J35" i="43" s="1"/>
  <c r="C34" i="43"/>
  <c r="L34" i="51" s="1"/>
  <c r="B34" i="43"/>
  <c r="J34" i="43" s="1"/>
  <c r="C33" i="43"/>
  <c r="L33" i="51" s="1"/>
  <c r="B33" i="43"/>
  <c r="J33" i="43" s="1"/>
  <c r="C32" i="43"/>
  <c r="L32" i="51" s="1"/>
  <c r="B32" i="43"/>
  <c r="J32" i="43" s="1"/>
  <c r="C31" i="43"/>
  <c r="L31" i="51" s="1"/>
  <c r="B31" i="43"/>
  <c r="J31" i="43" s="1"/>
  <c r="C30" i="43"/>
  <c r="L30" i="51" s="1"/>
  <c r="B30" i="43"/>
  <c r="J30" i="43" s="1"/>
  <c r="C29" i="43"/>
  <c r="L29" i="51" s="1"/>
  <c r="B29" i="43"/>
  <c r="J29" i="43" s="1"/>
  <c r="C28" i="43"/>
  <c r="L28" i="51" s="1"/>
  <c r="B28" i="43"/>
  <c r="J28" i="43" s="1"/>
  <c r="C27" i="43"/>
  <c r="L27" i="51" s="1"/>
  <c r="B27" i="43"/>
  <c r="J27" i="43" s="1"/>
  <c r="C26" i="43"/>
  <c r="L26" i="51" s="1"/>
  <c r="B26" i="43"/>
  <c r="J26" i="43" s="1"/>
  <c r="G25" i="43"/>
  <c r="C25" i="43"/>
  <c r="L25" i="51" s="1"/>
  <c r="B25" i="43"/>
  <c r="J25" i="43" s="1"/>
  <c r="C24" i="43"/>
  <c r="L24" i="51" s="1"/>
  <c r="B24" i="43"/>
  <c r="J24" i="43" s="1"/>
  <c r="C23" i="43"/>
  <c r="L23" i="51" s="1"/>
  <c r="B23" i="43"/>
  <c r="J23" i="43" s="1"/>
  <c r="C22" i="43"/>
  <c r="L22" i="51" s="1"/>
  <c r="B22" i="43"/>
  <c r="J22" i="43" s="1"/>
  <c r="C21" i="43"/>
  <c r="L21" i="51" s="1"/>
  <c r="B21" i="43"/>
  <c r="J21" i="43" s="1"/>
  <c r="C20" i="43"/>
  <c r="L20" i="51" s="1"/>
  <c r="B20" i="43"/>
  <c r="J20" i="43" s="1"/>
  <c r="O19" i="43"/>
  <c r="Q19" i="43" s="1"/>
  <c r="C19" i="43"/>
  <c r="L19" i="51" s="1"/>
  <c r="B19" i="43"/>
  <c r="J19" i="43" s="1"/>
  <c r="O18" i="43"/>
  <c r="Q18" i="43" s="1"/>
  <c r="C57" i="43" s="1"/>
  <c r="B57" i="43" s="1"/>
  <c r="C18" i="43"/>
  <c r="L18" i="51" s="1"/>
  <c r="B18" i="43"/>
  <c r="J18" i="43" s="1"/>
  <c r="Q17" i="43"/>
  <c r="C56" i="43" s="1"/>
  <c r="D55" i="43" s="1"/>
  <c r="O17" i="43"/>
  <c r="C17" i="43"/>
  <c r="L17" i="51" s="1"/>
  <c r="B17" i="43"/>
  <c r="J17" i="43" s="1"/>
  <c r="O16" i="43"/>
  <c r="Q16" i="43" s="1"/>
  <c r="C55" i="43" s="1"/>
  <c r="C16" i="43"/>
  <c r="L16" i="51" s="1"/>
  <c r="B16" i="43"/>
  <c r="J16" i="43" s="1"/>
  <c r="O15" i="43"/>
  <c r="Q15" i="43" s="1"/>
  <c r="C54" i="43" s="1"/>
  <c r="C15" i="43"/>
  <c r="L15" i="51" s="1"/>
  <c r="B15" i="43"/>
  <c r="J15" i="43" s="1"/>
  <c r="Q14" i="43"/>
  <c r="C53" i="43" s="1"/>
  <c r="D52" i="43" s="1"/>
  <c r="O14" i="43"/>
  <c r="C14" i="43"/>
  <c r="L14" i="51" s="1"/>
  <c r="B14" i="43"/>
  <c r="J14" i="43" s="1"/>
  <c r="O13" i="43"/>
  <c r="Q13" i="43" s="1"/>
  <c r="C52" i="43" s="1"/>
  <c r="D51" i="43" s="1"/>
  <c r="C13" i="43"/>
  <c r="L13" i="51" s="1"/>
  <c r="B13" i="43"/>
  <c r="J13" i="43" s="1"/>
  <c r="O12" i="43"/>
  <c r="Q12" i="43" s="1"/>
  <c r="C51" i="43" s="1"/>
  <c r="D50" i="43" s="1"/>
  <c r="C12" i="43"/>
  <c r="L12" i="51" s="1"/>
  <c r="B12" i="43"/>
  <c r="J12" i="43" s="1"/>
  <c r="Q11" i="43"/>
  <c r="C50" i="43" s="1"/>
  <c r="O11" i="43"/>
  <c r="C11" i="43"/>
  <c r="L11" i="51" s="1"/>
  <c r="B11" i="43"/>
  <c r="J11" i="43" s="1"/>
  <c r="O10" i="43"/>
  <c r="Q10" i="43" s="1"/>
  <c r="C49" i="43" s="1"/>
  <c r="D48" i="43" s="1"/>
  <c r="C10" i="43"/>
  <c r="L10" i="51" s="1"/>
  <c r="B10" i="43"/>
  <c r="J10" i="43" s="1"/>
  <c r="O9" i="43"/>
  <c r="Q9" i="43" s="1"/>
  <c r="C48" i="43" s="1"/>
  <c r="D47" i="43" s="1"/>
  <c r="C9" i="43"/>
  <c r="L9" i="51" s="1"/>
  <c r="B9" i="43"/>
  <c r="J9" i="43" s="1"/>
  <c r="Q8" i="43"/>
  <c r="C47" i="43" s="1"/>
  <c r="B47" i="43" s="1"/>
  <c r="O8" i="43"/>
  <c r="C8" i="43"/>
  <c r="L8" i="51" s="1"/>
  <c r="B8" i="43"/>
  <c r="J8" i="43" s="1"/>
  <c r="O7" i="43"/>
  <c r="Q7" i="43" s="1"/>
  <c r="C46" i="43" s="1"/>
  <c r="C7" i="43"/>
  <c r="L7" i="51" s="1"/>
  <c r="B7" i="43"/>
  <c r="J7" i="43" s="1"/>
  <c r="O6" i="43"/>
  <c r="Q6" i="43" s="1"/>
  <c r="C45" i="43" s="1"/>
  <c r="D44" i="43" s="1"/>
  <c r="C6" i="43"/>
  <c r="L6" i="51" s="1"/>
  <c r="B6" i="43"/>
  <c r="J6" i="43" s="1"/>
  <c r="O5" i="43"/>
  <c r="Q5" i="43" s="1"/>
  <c r="C44" i="43" s="1"/>
  <c r="D43" i="43" s="1"/>
  <c r="B43" i="43" s="1"/>
  <c r="C5" i="43"/>
  <c r="L5" i="51" s="1"/>
  <c r="B5" i="43"/>
  <c r="J5" i="43" s="1"/>
  <c r="O4" i="43"/>
  <c r="B4" i="43"/>
  <c r="J4" i="43" s="1"/>
  <c r="C2" i="43"/>
  <c r="C1" i="43"/>
  <c r="F58" i="42"/>
  <c r="C58" i="42"/>
  <c r="B58" i="42" s="1"/>
  <c r="F57" i="42"/>
  <c r="D57" i="42"/>
  <c r="F56" i="42"/>
  <c r="F55" i="42"/>
  <c r="F54" i="42"/>
  <c r="F53" i="42"/>
  <c r="F52" i="42"/>
  <c r="F51" i="42"/>
  <c r="F50" i="42"/>
  <c r="F49" i="42"/>
  <c r="F48" i="42"/>
  <c r="F47" i="42"/>
  <c r="F46" i="42"/>
  <c r="F45" i="42"/>
  <c r="F44" i="42"/>
  <c r="F43" i="42"/>
  <c r="C43" i="42"/>
  <c r="C38" i="42"/>
  <c r="B38" i="42"/>
  <c r="J38" i="42" s="1"/>
  <c r="C37" i="42"/>
  <c r="B37" i="42"/>
  <c r="J37" i="42" s="1"/>
  <c r="C36" i="42"/>
  <c r="B36" i="42"/>
  <c r="J36" i="42" s="1"/>
  <c r="C35" i="42"/>
  <c r="B35" i="42"/>
  <c r="J35" i="42" s="1"/>
  <c r="C34" i="42"/>
  <c r="B34" i="42"/>
  <c r="J34" i="42" s="1"/>
  <c r="C33" i="42"/>
  <c r="B33" i="42"/>
  <c r="J33" i="42" s="1"/>
  <c r="C32" i="42"/>
  <c r="B32" i="42"/>
  <c r="J32" i="42" s="1"/>
  <c r="C31" i="42"/>
  <c r="B31" i="42"/>
  <c r="J31" i="42" s="1"/>
  <c r="C30" i="42"/>
  <c r="B30" i="42"/>
  <c r="J30" i="42" s="1"/>
  <c r="C29" i="42"/>
  <c r="B29" i="42"/>
  <c r="J29" i="42" s="1"/>
  <c r="C28" i="42"/>
  <c r="B28" i="42"/>
  <c r="J28" i="42" s="1"/>
  <c r="C27" i="42"/>
  <c r="B27" i="42"/>
  <c r="J27" i="42" s="1"/>
  <c r="C26" i="42"/>
  <c r="B26" i="42"/>
  <c r="J26" i="42" s="1"/>
  <c r="G25" i="42"/>
  <c r="C25" i="42"/>
  <c r="B25" i="42"/>
  <c r="J25" i="42" s="1"/>
  <c r="C24" i="42"/>
  <c r="B24" i="42"/>
  <c r="J24" i="42" s="1"/>
  <c r="C23" i="42"/>
  <c r="B23" i="42"/>
  <c r="J23" i="42" s="1"/>
  <c r="C22" i="42"/>
  <c r="B22" i="42"/>
  <c r="J22" i="42" s="1"/>
  <c r="C21" i="42"/>
  <c r="B21" i="42"/>
  <c r="J21" i="42" s="1"/>
  <c r="C20" i="42"/>
  <c r="B20" i="42"/>
  <c r="J20" i="42" s="1"/>
  <c r="Q19" i="42"/>
  <c r="O19" i="42"/>
  <c r="C19" i="42"/>
  <c r="B19" i="42"/>
  <c r="J19" i="42" s="1"/>
  <c r="Q18" i="42"/>
  <c r="C57" i="42" s="1"/>
  <c r="O18" i="42"/>
  <c r="C18" i="42"/>
  <c r="B18" i="42"/>
  <c r="J18" i="42" s="1"/>
  <c r="O17" i="42"/>
  <c r="Q17" i="42" s="1"/>
  <c r="C56" i="42" s="1"/>
  <c r="C17" i="42"/>
  <c r="B17" i="42"/>
  <c r="J17" i="42" s="1"/>
  <c r="Q16" i="42"/>
  <c r="C55" i="42" s="1"/>
  <c r="O16" i="42"/>
  <c r="C16" i="42"/>
  <c r="B16" i="42"/>
  <c r="J16" i="42" s="1"/>
  <c r="Q15" i="42"/>
  <c r="C54" i="42" s="1"/>
  <c r="O15" i="42"/>
  <c r="C15" i="42"/>
  <c r="B15" i="42"/>
  <c r="J15" i="42" s="1"/>
  <c r="O14" i="42"/>
  <c r="Q14" i="42" s="1"/>
  <c r="C53" i="42" s="1"/>
  <c r="C14" i="42"/>
  <c r="B14" i="42"/>
  <c r="J14" i="42" s="1"/>
  <c r="Q13" i="42"/>
  <c r="C52" i="42" s="1"/>
  <c r="O13" i="42"/>
  <c r="C13" i="42"/>
  <c r="G13" i="1" s="1"/>
  <c r="B13" i="42"/>
  <c r="J13" i="42" s="1"/>
  <c r="Q12" i="42"/>
  <c r="C51" i="42" s="1"/>
  <c r="O12" i="42"/>
  <c r="C12" i="42"/>
  <c r="B12" i="42"/>
  <c r="J12" i="42" s="1"/>
  <c r="O11" i="42"/>
  <c r="Q11" i="42" s="1"/>
  <c r="C50" i="42" s="1"/>
  <c r="C11" i="42"/>
  <c r="G11" i="1" s="1"/>
  <c r="B11" i="42"/>
  <c r="J11" i="42" s="1"/>
  <c r="Q10" i="42"/>
  <c r="C49" i="42" s="1"/>
  <c r="O10" i="42"/>
  <c r="C10" i="42"/>
  <c r="G10" i="1" s="1"/>
  <c r="B10" i="42"/>
  <c r="J10" i="42" s="1"/>
  <c r="Q9" i="42"/>
  <c r="C48" i="42" s="1"/>
  <c r="O9" i="42"/>
  <c r="C9" i="42"/>
  <c r="B9" i="42"/>
  <c r="J9" i="42" s="1"/>
  <c r="O8" i="42"/>
  <c r="Q8" i="42" s="1"/>
  <c r="C47" i="42" s="1"/>
  <c r="C8" i="42"/>
  <c r="G8" i="1" s="1"/>
  <c r="B8" i="42"/>
  <c r="J8" i="42" s="1"/>
  <c r="Q7" i="42"/>
  <c r="C46" i="42" s="1"/>
  <c r="O7" i="42"/>
  <c r="C7" i="42"/>
  <c r="G7" i="1" s="1"/>
  <c r="B7" i="42"/>
  <c r="J7" i="42" s="1"/>
  <c r="Q6" i="42"/>
  <c r="C45" i="42" s="1"/>
  <c r="O6" i="42"/>
  <c r="C6" i="42"/>
  <c r="G6" i="1" s="1"/>
  <c r="B6" i="42"/>
  <c r="J6" i="42" s="1"/>
  <c r="Q5" i="42"/>
  <c r="C44" i="42" s="1"/>
  <c r="O5" i="42"/>
  <c r="C5" i="42"/>
  <c r="B5" i="42"/>
  <c r="J5" i="42" s="1"/>
  <c r="O4" i="42"/>
  <c r="B4" i="42"/>
  <c r="J4" i="42" s="1"/>
  <c r="C2" i="42"/>
  <c r="C1" i="42"/>
  <c r="F58" i="41"/>
  <c r="F57" i="41"/>
  <c r="D57" i="41"/>
  <c r="C58" i="41" s="1"/>
  <c r="B58" i="41" s="1"/>
  <c r="F56" i="41"/>
  <c r="F55" i="41"/>
  <c r="F54" i="41"/>
  <c r="F53" i="41"/>
  <c r="F52" i="41"/>
  <c r="F51" i="41"/>
  <c r="F50" i="41"/>
  <c r="F49" i="41"/>
  <c r="F48" i="41"/>
  <c r="F47" i="41"/>
  <c r="F46" i="41"/>
  <c r="F45" i="41"/>
  <c r="F44" i="41"/>
  <c r="F43" i="41"/>
  <c r="C43" i="41"/>
  <c r="C38" i="41"/>
  <c r="B38" i="41"/>
  <c r="J38" i="41" s="1"/>
  <c r="C37" i="41"/>
  <c r="B37" i="41"/>
  <c r="J37" i="41" s="1"/>
  <c r="C36" i="41"/>
  <c r="B36" i="41"/>
  <c r="J36" i="41" s="1"/>
  <c r="C35" i="41"/>
  <c r="B35" i="41"/>
  <c r="J35" i="41" s="1"/>
  <c r="C34" i="41"/>
  <c r="B34" i="41"/>
  <c r="J34" i="41" s="1"/>
  <c r="C33" i="41"/>
  <c r="B33" i="41"/>
  <c r="J33" i="41" s="1"/>
  <c r="C32" i="41"/>
  <c r="B32" i="41"/>
  <c r="J32" i="41" s="1"/>
  <c r="C31" i="41"/>
  <c r="B31" i="41"/>
  <c r="J31" i="41" s="1"/>
  <c r="C30" i="41"/>
  <c r="B30" i="41"/>
  <c r="J30" i="41" s="1"/>
  <c r="C29" i="41"/>
  <c r="B29" i="41"/>
  <c r="J29" i="41" s="1"/>
  <c r="C28" i="41"/>
  <c r="B28" i="41"/>
  <c r="J28" i="41" s="1"/>
  <c r="C27" i="41"/>
  <c r="B27" i="41"/>
  <c r="J27" i="41" s="1"/>
  <c r="C26" i="41"/>
  <c r="B26" i="41"/>
  <c r="J26" i="41" s="1"/>
  <c r="G25" i="41"/>
  <c r="C25" i="41"/>
  <c r="B25" i="41"/>
  <c r="J25" i="41" s="1"/>
  <c r="C24" i="41"/>
  <c r="B24" i="41"/>
  <c r="J24" i="41" s="1"/>
  <c r="C23" i="41"/>
  <c r="B23" i="41"/>
  <c r="J23" i="41" s="1"/>
  <c r="C22" i="41"/>
  <c r="B22" i="41"/>
  <c r="J22" i="41" s="1"/>
  <c r="C21" i="41"/>
  <c r="B21" i="41"/>
  <c r="J21" i="41" s="1"/>
  <c r="C20" i="41"/>
  <c r="B20" i="41"/>
  <c r="J20" i="41" s="1"/>
  <c r="O19" i="41"/>
  <c r="Q19" i="41" s="1"/>
  <c r="C19" i="41"/>
  <c r="B19" i="41"/>
  <c r="J19" i="41" s="1"/>
  <c r="O18" i="41"/>
  <c r="Q18" i="41" s="1"/>
  <c r="C57" i="41" s="1"/>
  <c r="C18" i="41"/>
  <c r="B18" i="41"/>
  <c r="J18" i="41" s="1"/>
  <c r="O17" i="41"/>
  <c r="Q17" i="41" s="1"/>
  <c r="C56" i="41" s="1"/>
  <c r="C17" i="41"/>
  <c r="B17" i="41"/>
  <c r="J17" i="41" s="1"/>
  <c r="Q16" i="41"/>
  <c r="C55" i="41" s="1"/>
  <c r="O16" i="41"/>
  <c r="C16" i="41"/>
  <c r="B16" i="41"/>
  <c r="J16" i="41" s="1"/>
  <c r="Q15" i="41"/>
  <c r="C54" i="41" s="1"/>
  <c r="O15" i="41"/>
  <c r="C15" i="41"/>
  <c r="B15" i="41"/>
  <c r="J15" i="41" s="1"/>
  <c r="Q14" i="41"/>
  <c r="C53" i="41" s="1"/>
  <c r="O14" i="41"/>
  <c r="C14" i="41"/>
  <c r="B14" i="41"/>
  <c r="J14" i="41" s="1"/>
  <c r="O13" i="41"/>
  <c r="Q13" i="41" s="1"/>
  <c r="C52" i="41" s="1"/>
  <c r="C13" i="41"/>
  <c r="B13" i="41"/>
  <c r="J13" i="41" s="1"/>
  <c r="O12" i="41"/>
  <c r="Q12" i="41" s="1"/>
  <c r="C51" i="41" s="1"/>
  <c r="C12" i="41"/>
  <c r="F12" i="1" s="1"/>
  <c r="B12" i="41"/>
  <c r="J12" i="41" s="1"/>
  <c r="O11" i="41"/>
  <c r="Q11" i="41" s="1"/>
  <c r="C50" i="41" s="1"/>
  <c r="C11" i="41"/>
  <c r="B11" i="41"/>
  <c r="J11" i="41" s="1"/>
  <c r="Q10" i="41"/>
  <c r="C49" i="41" s="1"/>
  <c r="O10" i="41"/>
  <c r="C10" i="41"/>
  <c r="F10" i="1" s="1"/>
  <c r="B10" i="41"/>
  <c r="J10" i="41" s="1"/>
  <c r="Q9" i="41"/>
  <c r="C48" i="41" s="1"/>
  <c r="O9" i="41"/>
  <c r="C9" i="41"/>
  <c r="B9" i="41"/>
  <c r="J9" i="41" s="1"/>
  <c r="Q8" i="41"/>
  <c r="C47" i="41" s="1"/>
  <c r="O8" i="41"/>
  <c r="C8" i="41"/>
  <c r="B8" i="41"/>
  <c r="J8" i="41" s="1"/>
  <c r="O7" i="41"/>
  <c r="Q7" i="41" s="1"/>
  <c r="C46" i="41" s="1"/>
  <c r="C7" i="41"/>
  <c r="B7" i="41"/>
  <c r="J7" i="41" s="1"/>
  <c r="O6" i="41"/>
  <c r="Q6" i="41" s="1"/>
  <c r="C45" i="41" s="1"/>
  <c r="C6" i="41"/>
  <c r="F6" i="1" s="1"/>
  <c r="B6" i="41"/>
  <c r="J6" i="41" s="1"/>
  <c r="Q5" i="41"/>
  <c r="C44" i="41" s="1"/>
  <c r="O5" i="41"/>
  <c r="C5" i="41"/>
  <c r="B5" i="41"/>
  <c r="J5" i="41" s="1"/>
  <c r="O4" i="41"/>
  <c r="B4" i="41"/>
  <c r="J4" i="41" s="1"/>
  <c r="C2" i="41"/>
  <c r="C1" i="41"/>
  <c r="F58" i="40"/>
  <c r="F57" i="40"/>
  <c r="D57" i="40"/>
  <c r="C58" i="40" s="1"/>
  <c r="B58" i="40" s="1"/>
  <c r="F56" i="40"/>
  <c r="F55" i="40"/>
  <c r="F54" i="40"/>
  <c r="F53" i="40"/>
  <c r="F52" i="40"/>
  <c r="F51" i="40"/>
  <c r="F50" i="40"/>
  <c r="F49" i="40"/>
  <c r="F48" i="40"/>
  <c r="F47" i="40"/>
  <c r="F46" i="40"/>
  <c r="F45" i="40"/>
  <c r="F44" i="40"/>
  <c r="F43" i="40"/>
  <c r="C43" i="40"/>
  <c r="C38" i="40"/>
  <c r="E38" i="1" s="1"/>
  <c r="B38" i="40"/>
  <c r="J38" i="40" s="1"/>
  <c r="C37" i="40"/>
  <c r="B37" i="40"/>
  <c r="J37" i="40" s="1"/>
  <c r="C36" i="40"/>
  <c r="B36" i="40"/>
  <c r="J36" i="40" s="1"/>
  <c r="C35" i="40"/>
  <c r="B35" i="40"/>
  <c r="J35" i="40" s="1"/>
  <c r="C34" i="40"/>
  <c r="E34" i="1" s="1"/>
  <c r="B34" i="40"/>
  <c r="J34" i="40" s="1"/>
  <c r="C33" i="40"/>
  <c r="B33" i="40"/>
  <c r="J33" i="40" s="1"/>
  <c r="C32" i="40"/>
  <c r="E32" i="1" s="1"/>
  <c r="B32" i="40"/>
  <c r="J32" i="40" s="1"/>
  <c r="C31" i="40"/>
  <c r="B31" i="40"/>
  <c r="J31" i="40" s="1"/>
  <c r="C30" i="40"/>
  <c r="E30" i="1" s="1"/>
  <c r="B30" i="40"/>
  <c r="J30" i="40" s="1"/>
  <c r="C29" i="40"/>
  <c r="B29" i="40"/>
  <c r="J29" i="40" s="1"/>
  <c r="C28" i="40"/>
  <c r="B28" i="40"/>
  <c r="J28" i="40" s="1"/>
  <c r="C27" i="40"/>
  <c r="B27" i="40"/>
  <c r="J27" i="40" s="1"/>
  <c r="C26" i="40"/>
  <c r="E26" i="1" s="1"/>
  <c r="B26" i="40"/>
  <c r="J26" i="40" s="1"/>
  <c r="G25" i="40"/>
  <c r="C25" i="40"/>
  <c r="B25" i="40"/>
  <c r="J25" i="40" s="1"/>
  <c r="C24" i="40"/>
  <c r="B24" i="40"/>
  <c r="J24" i="40" s="1"/>
  <c r="C23" i="40"/>
  <c r="B23" i="40"/>
  <c r="J23" i="40" s="1"/>
  <c r="C22" i="40"/>
  <c r="E22" i="1" s="1"/>
  <c r="B22" i="40"/>
  <c r="J22" i="40" s="1"/>
  <c r="C21" i="40"/>
  <c r="B21" i="40"/>
  <c r="J21" i="40" s="1"/>
  <c r="C20" i="40"/>
  <c r="B20" i="40"/>
  <c r="J20" i="40" s="1"/>
  <c r="Q19" i="40"/>
  <c r="O19" i="40"/>
  <c r="C19" i="40"/>
  <c r="B19" i="40"/>
  <c r="J19" i="40" s="1"/>
  <c r="Q18" i="40"/>
  <c r="C57" i="40" s="1"/>
  <c r="O18" i="40"/>
  <c r="C18" i="40"/>
  <c r="B18" i="40"/>
  <c r="J18" i="40" s="1"/>
  <c r="O17" i="40"/>
  <c r="Q17" i="40" s="1"/>
  <c r="C56" i="40" s="1"/>
  <c r="C17" i="40"/>
  <c r="B17" i="40"/>
  <c r="J17" i="40" s="1"/>
  <c r="Q16" i="40"/>
  <c r="C55" i="40" s="1"/>
  <c r="O16" i="40"/>
  <c r="C16" i="40"/>
  <c r="E16" i="1" s="1"/>
  <c r="B16" i="40"/>
  <c r="J16" i="40" s="1"/>
  <c r="Q15" i="40"/>
  <c r="C54" i="40" s="1"/>
  <c r="O15" i="40"/>
  <c r="C15" i="40"/>
  <c r="B15" i="40"/>
  <c r="J15" i="40" s="1"/>
  <c r="O14" i="40"/>
  <c r="Q14" i="40" s="1"/>
  <c r="C53" i="40" s="1"/>
  <c r="C14" i="40"/>
  <c r="B14" i="40"/>
  <c r="J14" i="40" s="1"/>
  <c r="Q13" i="40"/>
  <c r="C52" i="40" s="1"/>
  <c r="O13" i="40"/>
  <c r="C13" i="40"/>
  <c r="B13" i="40"/>
  <c r="J13" i="40" s="1"/>
  <c r="Q12" i="40"/>
  <c r="C51" i="40" s="1"/>
  <c r="O12" i="40"/>
  <c r="C12" i="40"/>
  <c r="E12" i="1" s="1"/>
  <c r="B12" i="40"/>
  <c r="J12" i="40" s="1"/>
  <c r="O11" i="40"/>
  <c r="Q11" i="40" s="1"/>
  <c r="C50" i="40" s="1"/>
  <c r="C11" i="40"/>
  <c r="B11" i="40"/>
  <c r="J11" i="40" s="1"/>
  <c r="Q10" i="40"/>
  <c r="C49" i="40" s="1"/>
  <c r="O10" i="40"/>
  <c r="C10" i="40"/>
  <c r="B10" i="40"/>
  <c r="J10" i="40" s="1"/>
  <c r="Q9" i="40"/>
  <c r="C48" i="40" s="1"/>
  <c r="O9" i="40"/>
  <c r="C9" i="40"/>
  <c r="B9" i="40"/>
  <c r="J9" i="40" s="1"/>
  <c r="O8" i="40"/>
  <c r="Q8" i="40" s="1"/>
  <c r="C47" i="40" s="1"/>
  <c r="C8" i="40"/>
  <c r="B8" i="40"/>
  <c r="J8" i="40" s="1"/>
  <c r="Q7" i="40"/>
  <c r="C46" i="40" s="1"/>
  <c r="O7" i="40"/>
  <c r="C7" i="40"/>
  <c r="E7" i="1" s="1"/>
  <c r="B7" i="40"/>
  <c r="J7" i="40" s="1"/>
  <c r="Q6" i="40"/>
  <c r="C45" i="40" s="1"/>
  <c r="O6" i="40"/>
  <c r="C6" i="40"/>
  <c r="B6" i="40"/>
  <c r="J6" i="40" s="1"/>
  <c r="Q5" i="40"/>
  <c r="C44" i="40" s="1"/>
  <c r="O5" i="40"/>
  <c r="C5" i="40"/>
  <c r="E5" i="1" s="1"/>
  <c r="B5" i="40"/>
  <c r="J5" i="40" s="1"/>
  <c r="O4" i="40"/>
  <c r="B4" i="40"/>
  <c r="J4" i="40" s="1"/>
  <c r="C2" i="40"/>
  <c r="C1" i="40"/>
  <c r="F58" i="39"/>
  <c r="F57" i="39"/>
  <c r="D57" i="39"/>
  <c r="C58" i="39" s="1"/>
  <c r="B58" i="39" s="1"/>
  <c r="F56" i="39"/>
  <c r="F55" i="39"/>
  <c r="F54" i="39"/>
  <c r="F53" i="39"/>
  <c r="F52" i="39"/>
  <c r="F51" i="39"/>
  <c r="F50" i="39"/>
  <c r="F49" i="39"/>
  <c r="F48" i="39"/>
  <c r="F47" i="39"/>
  <c r="F46" i="39"/>
  <c r="F45" i="39"/>
  <c r="F44" i="39"/>
  <c r="F43" i="39"/>
  <c r="C43" i="39"/>
  <c r="B38" i="39"/>
  <c r="J38" i="39" s="1"/>
  <c r="C37" i="39"/>
  <c r="B37" i="39"/>
  <c r="J37" i="39" s="1"/>
  <c r="C36" i="39"/>
  <c r="B36" i="39"/>
  <c r="J36" i="39" s="1"/>
  <c r="C35" i="39"/>
  <c r="B35" i="39"/>
  <c r="J35" i="39" s="1"/>
  <c r="C34" i="39"/>
  <c r="B34" i="39"/>
  <c r="J34" i="39" s="1"/>
  <c r="C33" i="39"/>
  <c r="B33" i="39"/>
  <c r="J33" i="39" s="1"/>
  <c r="C32" i="39"/>
  <c r="B32" i="39"/>
  <c r="J32" i="39" s="1"/>
  <c r="C31" i="39"/>
  <c r="B31" i="39"/>
  <c r="J31" i="39" s="1"/>
  <c r="C30" i="39"/>
  <c r="B30" i="39"/>
  <c r="J30" i="39" s="1"/>
  <c r="C29" i="39"/>
  <c r="B29" i="39"/>
  <c r="J29" i="39" s="1"/>
  <c r="C28" i="39"/>
  <c r="B28" i="39"/>
  <c r="J28" i="39" s="1"/>
  <c r="C27" i="39"/>
  <c r="B27" i="39"/>
  <c r="J27" i="39" s="1"/>
  <c r="C26" i="39"/>
  <c r="B26" i="39"/>
  <c r="J26" i="39" s="1"/>
  <c r="G25" i="39"/>
  <c r="C25" i="39"/>
  <c r="D25" i="1" s="1"/>
  <c r="B25" i="39"/>
  <c r="J25" i="39" s="1"/>
  <c r="C24" i="39"/>
  <c r="B24" i="39"/>
  <c r="J24" i="39" s="1"/>
  <c r="C23" i="39"/>
  <c r="D23" i="1" s="1"/>
  <c r="B23" i="39"/>
  <c r="J23" i="39" s="1"/>
  <c r="C22" i="39"/>
  <c r="B22" i="39"/>
  <c r="J22" i="39" s="1"/>
  <c r="C21" i="39"/>
  <c r="B21" i="39"/>
  <c r="J21" i="39" s="1"/>
  <c r="C20" i="39"/>
  <c r="B20" i="39"/>
  <c r="J20" i="39" s="1"/>
  <c r="O19" i="39"/>
  <c r="Q19" i="39" s="1"/>
  <c r="C19" i="39"/>
  <c r="B19" i="39"/>
  <c r="J19" i="39" s="1"/>
  <c r="O18" i="39"/>
  <c r="Q18" i="39" s="1"/>
  <c r="C57" i="39" s="1"/>
  <c r="C18" i="39"/>
  <c r="B18" i="39"/>
  <c r="J18" i="39" s="1"/>
  <c r="Q17" i="39"/>
  <c r="C56" i="39" s="1"/>
  <c r="O17" i="39"/>
  <c r="C17" i="39"/>
  <c r="D17" i="1" s="1"/>
  <c r="B17" i="39"/>
  <c r="J17" i="39" s="1"/>
  <c r="Q16" i="39"/>
  <c r="C55" i="39" s="1"/>
  <c r="O16" i="39"/>
  <c r="C16" i="39"/>
  <c r="B16" i="39"/>
  <c r="J16" i="39" s="1"/>
  <c r="Q15" i="39"/>
  <c r="C54" i="39" s="1"/>
  <c r="O15" i="39"/>
  <c r="C15" i="39"/>
  <c r="D15" i="1" s="1"/>
  <c r="B15" i="39"/>
  <c r="J15" i="39" s="1"/>
  <c r="Q14" i="39"/>
  <c r="C53" i="39" s="1"/>
  <c r="O14" i="39"/>
  <c r="C14" i="39"/>
  <c r="B14" i="39"/>
  <c r="J14" i="39" s="1"/>
  <c r="O13" i="39"/>
  <c r="Q13" i="39" s="1"/>
  <c r="C52" i="39" s="1"/>
  <c r="C13" i="39"/>
  <c r="D13" i="1" s="1"/>
  <c r="B13" i="39"/>
  <c r="J13" i="39" s="1"/>
  <c r="O12" i="39"/>
  <c r="Q12" i="39" s="1"/>
  <c r="C51" i="39" s="1"/>
  <c r="C12" i="39"/>
  <c r="B12" i="39"/>
  <c r="J12" i="39" s="1"/>
  <c r="Q11" i="39"/>
  <c r="C50" i="39" s="1"/>
  <c r="O11" i="39"/>
  <c r="C11" i="39"/>
  <c r="D11" i="1" s="1"/>
  <c r="B11" i="39"/>
  <c r="J11" i="39" s="1"/>
  <c r="Q10" i="39"/>
  <c r="C49" i="39" s="1"/>
  <c r="O10" i="39"/>
  <c r="C10" i="39"/>
  <c r="B10" i="39"/>
  <c r="J10" i="39" s="1"/>
  <c r="Q9" i="39"/>
  <c r="C48" i="39" s="1"/>
  <c r="O9" i="39"/>
  <c r="C9" i="39"/>
  <c r="D9" i="1" s="1"/>
  <c r="B9" i="39"/>
  <c r="J9" i="39" s="1"/>
  <c r="Q8" i="39"/>
  <c r="C47" i="39" s="1"/>
  <c r="O8" i="39"/>
  <c r="C8" i="39"/>
  <c r="B8" i="39"/>
  <c r="J8" i="39" s="1"/>
  <c r="O7" i="39"/>
  <c r="Q7" i="39" s="1"/>
  <c r="C46" i="39" s="1"/>
  <c r="C7" i="39"/>
  <c r="D7" i="1" s="1"/>
  <c r="B7" i="39"/>
  <c r="J7" i="39" s="1"/>
  <c r="O6" i="39"/>
  <c r="Q6" i="39" s="1"/>
  <c r="C45" i="39" s="1"/>
  <c r="C6" i="39"/>
  <c r="B6" i="39"/>
  <c r="J6" i="39" s="1"/>
  <c r="Q5" i="39"/>
  <c r="C44" i="39" s="1"/>
  <c r="O5" i="39"/>
  <c r="C5" i="39"/>
  <c r="B5" i="39"/>
  <c r="J5" i="39" s="1"/>
  <c r="O4" i="39"/>
  <c r="B4" i="39"/>
  <c r="J4" i="39" s="1"/>
  <c r="C2" i="39"/>
  <c r="C1" i="39"/>
  <c r="F58" i="38"/>
  <c r="F57" i="38"/>
  <c r="D57" i="38"/>
  <c r="C58" i="38" s="1"/>
  <c r="B58" i="38" s="1"/>
  <c r="F56" i="38"/>
  <c r="F55" i="38"/>
  <c r="F54" i="38"/>
  <c r="F53" i="38"/>
  <c r="F52" i="38"/>
  <c r="F51" i="38"/>
  <c r="F50" i="38"/>
  <c r="F49" i="38"/>
  <c r="F48" i="38"/>
  <c r="F47" i="38"/>
  <c r="F46" i="38"/>
  <c r="F45" i="38"/>
  <c r="F44" i="38"/>
  <c r="F43" i="38"/>
  <c r="C43" i="38"/>
  <c r="C38" i="38"/>
  <c r="B38" i="38"/>
  <c r="J38" i="38" s="1"/>
  <c r="C37" i="38"/>
  <c r="B37" i="38"/>
  <c r="J37" i="38" s="1"/>
  <c r="C36" i="38"/>
  <c r="B36" i="38"/>
  <c r="J36" i="38" s="1"/>
  <c r="C35" i="38"/>
  <c r="B35" i="38"/>
  <c r="J35" i="38" s="1"/>
  <c r="C34" i="38"/>
  <c r="B34" i="38"/>
  <c r="J34" i="38" s="1"/>
  <c r="C33" i="38"/>
  <c r="B33" i="38"/>
  <c r="J33" i="38" s="1"/>
  <c r="C32" i="38"/>
  <c r="B32" i="38"/>
  <c r="J32" i="38" s="1"/>
  <c r="C31" i="38"/>
  <c r="B31" i="38"/>
  <c r="J31" i="38" s="1"/>
  <c r="C30" i="38"/>
  <c r="B30" i="38"/>
  <c r="J30" i="38" s="1"/>
  <c r="C29" i="38"/>
  <c r="B29" i="38"/>
  <c r="J29" i="38" s="1"/>
  <c r="C28" i="38"/>
  <c r="B28" i="38"/>
  <c r="J28" i="38" s="1"/>
  <c r="C27" i="38"/>
  <c r="B27" i="38"/>
  <c r="J27" i="38" s="1"/>
  <c r="C26" i="38"/>
  <c r="B26" i="38"/>
  <c r="J26" i="38" s="1"/>
  <c r="G25" i="38"/>
  <c r="C25" i="38"/>
  <c r="B25" i="38"/>
  <c r="J25" i="38" s="1"/>
  <c r="B24" i="38"/>
  <c r="J24" i="38" s="1"/>
  <c r="C23" i="38"/>
  <c r="B23" i="38"/>
  <c r="J23" i="38" s="1"/>
  <c r="C22" i="38"/>
  <c r="B22" i="38"/>
  <c r="J22" i="38" s="1"/>
  <c r="C21" i="38"/>
  <c r="B21" i="38"/>
  <c r="J21" i="38" s="1"/>
  <c r="C20" i="38"/>
  <c r="B20" i="38"/>
  <c r="J20" i="38" s="1"/>
  <c r="Q19" i="38"/>
  <c r="O19" i="38"/>
  <c r="C19" i="38"/>
  <c r="B19" i="38"/>
  <c r="J19" i="38" s="1"/>
  <c r="Q18" i="38"/>
  <c r="C57" i="38" s="1"/>
  <c r="O18" i="38"/>
  <c r="C18" i="38"/>
  <c r="B18" i="38"/>
  <c r="J18" i="38" s="1"/>
  <c r="O17" i="38"/>
  <c r="Q17" i="38" s="1"/>
  <c r="C56" i="38" s="1"/>
  <c r="B17" i="38"/>
  <c r="J17" i="38" s="1"/>
  <c r="O16" i="38"/>
  <c r="Q16" i="38" s="1"/>
  <c r="C55" i="38" s="1"/>
  <c r="B16" i="38"/>
  <c r="J16" i="38" s="1"/>
  <c r="O15" i="38"/>
  <c r="Q15" i="38" s="1"/>
  <c r="C54" i="38" s="1"/>
  <c r="B15" i="38"/>
  <c r="J15" i="38" s="1"/>
  <c r="Q14" i="38"/>
  <c r="C53" i="38" s="1"/>
  <c r="O14" i="38"/>
  <c r="B14" i="38"/>
  <c r="J14" i="38" s="1"/>
  <c r="Q13" i="38"/>
  <c r="C52" i="38" s="1"/>
  <c r="O13" i="38"/>
  <c r="B13" i="38"/>
  <c r="J13" i="38" s="1"/>
  <c r="Q12" i="38"/>
  <c r="C51" i="38" s="1"/>
  <c r="O12" i="38"/>
  <c r="B12" i="38"/>
  <c r="J12" i="38" s="1"/>
  <c r="O11" i="38"/>
  <c r="Q11" i="38" s="1"/>
  <c r="C50" i="38" s="1"/>
  <c r="B11" i="38"/>
  <c r="J11" i="38" s="1"/>
  <c r="O10" i="38"/>
  <c r="Q10" i="38" s="1"/>
  <c r="C49" i="38" s="1"/>
  <c r="B10" i="38"/>
  <c r="J10" i="38" s="1"/>
  <c r="O9" i="38"/>
  <c r="Q9" i="38" s="1"/>
  <c r="C48" i="38" s="1"/>
  <c r="B9" i="38"/>
  <c r="J9" i="38" s="1"/>
  <c r="Q8" i="38"/>
  <c r="C47" i="38" s="1"/>
  <c r="O8" i="38"/>
  <c r="B8" i="38"/>
  <c r="J8" i="38" s="1"/>
  <c r="Q7" i="38"/>
  <c r="C46" i="38" s="1"/>
  <c r="O7" i="38"/>
  <c r="B7" i="38"/>
  <c r="J7" i="38" s="1"/>
  <c r="Q6" i="38"/>
  <c r="C45" i="38" s="1"/>
  <c r="D44" i="38" s="1"/>
  <c r="O6" i="38"/>
  <c r="B6" i="38"/>
  <c r="J6" i="38" s="1"/>
  <c r="O5" i="38"/>
  <c r="Q5" i="38" s="1"/>
  <c r="C44" i="38" s="1"/>
  <c r="B5" i="38"/>
  <c r="J5" i="38" s="1"/>
  <c r="O4" i="38"/>
  <c r="B4" i="38"/>
  <c r="J4" i="38" s="1"/>
  <c r="C2" i="38"/>
  <c r="C1" i="38"/>
  <c r="F58" i="37"/>
  <c r="F57" i="37"/>
  <c r="D57" i="37"/>
  <c r="C58" i="37" s="1"/>
  <c r="B58" i="37" s="1"/>
  <c r="F56" i="37"/>
  <c r="F55" i="37"/>
  <c r="F54" i="37"/>
  <c r="F53" i="37"/>
  <c r="F52" i="37"/>
  <c r="F51" i="37"/>
  <c r="F50" i="37"/>
  <c r="F49" i="37"/>
  <c r="F48" i="37"/>
  <c r="F47" i="37"/>
  <c r="F46" i="37"/>
  <c r="F45" i="37"/>
  <c r="F44" i="37"/>
  <c r="F43" i="37"/>
  <c r="C43" i="37"/>
  <c r="C38" i="37"/>
  <c r="M38" i="1" s="1"/>
  <c r="B38" i="37"/>
  <c r="J38" i="37" s="1"/>
  <c r="C37" i="37"/>
  <c r="B37" i="37"/>
  <c r="J37" i="37" s="1"/>
  <c r="C36" i="37"/>
  <c r="M36" i="1" s="1"/>
  <c r="B36" i="37"/>
  <c r="J36" i="37" s="1"/>
  <c r="C35" i="37"/>
  <c r="B35" i="37"/>
  <c r="J35" i="37" s="1"/>
  <c r="C34" i="37"/>
  <c r="M34" i="1" s="1"/>
  <c r="B34" i="37"/>
  <c r="J34" i="37" s="1"/>
  <c r="C33" i="37"/>
  <c r="B33" i="37"/>
  <c r="J33" i="37" s="1"/>
  <c r="C32" i="37"/>
  <c r="M32" i="1" s="1"/>
  <c r="B32" i="37"/>
  <c r="J32" i="37" s="1"/>
  <c r="C31" i="37"/>
  <c r="B31" i="37"/>
  <c r="J31" i="37" s="1"/>
  <c r="C30" i="37"/>
  <c r="M30" i="1" s="1"/>
  <c r="B30" i="37"/>
  <c r="J30" i="37" s="1"/>
  <c r="C29" i="37"/>
  <c r="B29" i="37"/>
  <c r="J29" i="37" s="1"/>
  <c r="C28" i="37"/>
  <c r="M28" i="1" s="1"/>
  <c r="B28" i="37"/>
  <c r="J28" i="37" s="1"/>
  <c r="C27" i="37"/>
  <c r="B27" i="37"/>
  <c r="J27" i="37" s="1"/>
  <c r="C26" i="37"/>
  <c r="M26" i="1" s="1"/>
  <c r="B26" i="37"/>
  <c r="J26" i="37" s="1"/>
  <c r="G25" i="37"/>
  <c r="C25" i="37"/>
  <c r="B25" i="37"/>
  <c r="J25" i="37" s="1"/>
  <c r="C24" i="37"/>
  <c r="M24" i="1" s="1"/>
  <c r="B24" i="37"/>
  <c r="J24" i="37" s="1"/>
  <c r="C23" i="37"/>
  <c r="B23" i="37"/>
  <c r="J23" i="37" s="1"/>
  <c r="C22" i="37"/>
  <c r="B22" i="37"/>
  <c r="J22" i="37" s="1"/>
  <c r="C21" i="37"/>
  <c r="B21" i="37"/>
  <c r="J21" i="37" s="1"/>
  <c r="C20" i="37"/>
  <c r="M20" i="1" s="1"/>
  <c r="B20" i="37"/>
  <c r="J20" i="37" s="1"/>
  <c r="Q19" i="37"/>
  <c r="O19" i="37"/>
  <c r="C19" i="37"/>
  <c r="B19" i="37"/>
  <c r="J19" i="37" s="1"/>
  <c r="Q18" i="37"/>
  <c r="C57" i="37" s="1"/>
  <c r="O18" i="37"/>
  <c r="C18" i="37"/>
  <c r="B18" i="37"/>
  <c r="J18" i="37" s="1"/>
  <c r="O17" i="37"/>
  <c r="Q17" i="37" s="1"/>
  <c r="C56" i="37" s="1"/>
  <c r="B17" i="37"/>
  <c r="J17" i="37" s="1"/>
  <c r="O16" i="37"/>
  <c r="Q16" i="37" s="1"/>
  <c r="C55" i="37" s="1"/>
  <c r="B16" i="37"/>
  <c r="J16" i="37" s="1"/>
  <c r="Q15" i="37"/>
  <c r="C54" i="37" s="1"/>
  <c r="O15" i="37"/>
  <c r="B15" i="37"/>
  <c r="J15" i="37" s="1"/>
  <c r="O14" i="37"/>
  <c r="Q14" i="37" s="1"/>
  <c r="C53" i="37" s="1"/>
  <c r="B14" i="37"/>
  <c r="J14" i="37" s="1"/>
  <c r="O13" i="37"/>
  <c r="Q13" i="37" s="1"/>
  <c r="C52" i="37" s="1"/>
  <c r="B13" i="37"/>
  <c r="J13" i="37" s="1"/>
  <c r="O12" i="37"/>
  <c r="Q12" i="37" s="1"/>
  <c r="C51" i="37" s="1"/>
  <c r="B12" i="37"/>
  <c r="J12" i="37" s="1"/>
  <c r="O11" i="37"/>
  <c r="Q11" i="37" s="1"/>
  <c r="C50" i="37" s="1"/>
  <c r="B11" i="37"/>
  <c r="J11" i="37" s="1"/>
  <c r="O10" i="37"/>
  <c r="Q10" i="37" s="1"/>
  <c r="C49" i="37" s="1"/>
  <c r="B10" i="37"/>
  <c r="J10" i="37" s="1"/>
  <c r="O9" i="37"/>
  <c r="Q9" i="37" s="1"/>
  <c r="C48" i="37" s="1"/>
  <c r="B9" i="37"/>
  <c r="J9" i="37" s="1"/>
  <c r="O8" i="37"/>
  <c r="Q8" i="37" s="1"/>
  <c r="C47" i="37" s="1"/>
  <c r="B8" i="37"/>
  <c r="J8" i="37" s="1"/>
  <c r="O7" i="37"/>
  <c r="Q7" i="37" s="1"/>
  <c r="C46" i="37" s="1"/>
  <c r="B7" i="37"/>
  <c r="J7" i="37" s="1"/>
  <c r="Q6" i="37"/>
  <c r="C45" i="37" s="1"/>
  <c r="O6" i="37"/>
  <c r="B6" i="37"/>
  <c r="J6" i="37" s="1"/>
  <c r="Q5" i="37"/>
  <c r="C44" i="37" s="1"/>
  <c r="O5" i="37"/>
  <c r="B5" i="37"/>
  <c r="J5" i="37" s="1"/>
  <c r="O4" i="37"/>
  <c r="B4" i="37"/>
  <c r="J4" i="37" s="1"/>
  <c r="C2" i="37"/>
  <c r="C1" i="37"/>
  <c r="O15" i="5"/>
  <c r="O14" i="5"/>
  <c r="O13" i="5"/>
  <c r="O12" i="5"/>
  <c r="O11" i="5"/>
  <c r="O10" i="5"/>
  <c r="O9" i="5"/>
  <c r="O8" i="5"/>
  <c r="O7" i="5"/>
  <c r="O6" i="5"/>
  <c r="O5" i="5"/>
  <c r="O4" i="5"/>
  <c r="C4" i="48"/>
  <c r="C4" i="47"/>
  <c r="C4" i="44"/>
  <c r="C4" i="43"/>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38" i="49"/>
  <c r="C4" i="42"/>
  <c r="C38" i="39"/>
  <c r="C5" i="37"/>
  <c r="C4" i="37"/>
  <c r="G38" i="51" l="1"/>
  <c r="K38" i="51" s="1"/>
  <c r="D56" i="43"/>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2" i="39" s="1"/>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F44" i="5"/>
  <c r="F45" i="5"/>
  <c r="F46" i="5"/>
  <c r="F47" i="5"/>
  <c r="F48" i="5"/>
  <c r="F49" i="5"/>
  <c r="F50" i="5"/>
  <c r="F51" i="5"/>
  <c r="F52" i="5"/>
  <c r="F53" i="5"/>
  <c r="F54" i="5"/>
  <c r="F55" i="5"/>
  <c r="F56" i="5"/>
  <c r="F57" i="5"/>
  <c r="F58" i="5"/>
  <c r="F43" i="5"/>
  <c r="C43"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38" i="5"/>
  <c r="C5" i="5"/>
  <c r="C4" i="5"/>
  <c r="K7" i="1" l="1"/>
  <c r="N18" i="5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E26" i="32"/>
  <c r="N4" i="51" l="1"/>
  <c r="O4" i="51" s="1"/>
  <c r="N4" i="1"/>
  <c r="B2" i="27"/>
  <c r="A4" i="53" l="1"/>
  <c r="A4" i="36"/>
  <c r="E41" i="27"/>
  <c r="C1" i="5" l="1"/>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4"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AE2" i="32" l="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E5" i="32"/>
  <c r="AE6" i="32"/>
  <c r="AE7" i="32"/>
  <c r="AE8" i="32"/>
  <c r="AE9" i="32"/>
  <c r="AE10" i="32"/>
  <c r="AE11" i="32"/>
  <c r="AE12" i="32"/>
  <c r="AE13" i="32"/>
  <c r="AE14" i="32"/>
  <c r="AE15" i="32"/>
  <c r="AE16" i="32"/>
  <c r="AE17" i="32"/>
  <c r="AE18" i="32"/>
  <c r="AE19" i="32"/>
  <c r="AE20" i="32"/>
  <c r="AE21" i="32"/>
  <c r="AE22" i="32"/>
  <c r="AE23" i="32"/>
  <c r="AE24" i="32"/>
  <c r="AE25" i="32"/>
  <c r="AE27" i="32"/>
  <c r="AE28" i="32"/>
  <c r="AE29" i="32"/>
  <c r="AE30" i="32"/>
  <c r="AE31" i="32"/>
  <c r="AE32" i="32"/>
  <c r="AE33" i="32"/>
  <c r="AE34" i="32"/>
  <c r="AE35" i="32"/>
  <c r="AE36" i="32"/>
  <c r="AE37" i="32"/>
  <c r="AE38" i="32"/>
  <c r="AE4" i="32"/>
  <c r="D11" i="36" l="1"/>
  <c r="C11" i="36"/>
  <c r="F12" i="27"/>
  <c r="AG10" i="32"/>
  <c r="F11" i="27"/>
  <c r="AG9" i="32"/>
  <c r="F10" i="27"/>
  <c r="AG8" i="32"/>
  <c r="F9" i="27"/>
  <c r="AG7" i="32"/>
  <c r="F8" i="27"/>
  <c r="AG6" i="32"/>
  <c r="F7" i="27"/>
  <c r="AG5" i="32"/>
  <c r="AG4" i="32"/>
  <c r="F6" i="27"/>
  <c r="M6" i="27" s="1"/>
  <c r="AE39" i="32"/>
  <c r="AG38"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7" i="36"/>
  <c r="F16" i="36"/>
  <c r="F15" i="36"/>
  <c r="F14" i="36"/>
  <c r="F11" i="36"/>
  <c r="A40" i="27" l="1"/>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H41" i="27"/>
  <c r="AA39" i="32"/>
  <c r="AA40" i="32" s="1"/>
  <c r="AB39" i="32"/>
  <c r="AB40" i="32" s="1"/>
  <c r="AC39" i="32"/>
  <c r="AC40" i="32" s="1"/>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C39" i="32"/>
  <c r="C40" i="32" s="1"/>
  <c r="D39" i="32"/>
  <c r="D40" i="32" s="1"/>
  <c r="E39" i="32"/>
  <c r="E40" i="32" s="1"/>
  <c r="F39" i="32"/>
  <c r="F40" i="32" s="1"/>
  <c r="G39" i="32"/>
  <c r="G40" i="32" s="1"/>
  <c r="H39" i="32"/>
  <c r="H40" i="32" s="1"/>
  <c r="I39" i="32"/>
  <c r="I40" i="32" s="1"/>
  <c r="J39" i="32"/>
  <c r="J40" i="32" s="1"/>
  <c r="K39" i="32"/>
  <c r="K40" i="32" s="1"/>
  <c r="L39" i="32"/>
  <c r="L40" i="32" s="1"/>
  <c r="M39" i="32"/>
  <c r="M40" i="32" s="1"/>
  <c r="N39" i="32"/>
  <c r="N40" i="32" s="1"/>
  <c r="O39" i="32"/>
  <c r="O40" i="32" s="1"/>
  <c r="P39" i="32"/>
  <c r="P40" i="32" s="1"/>
  <c r="Q39" i="32"/>
  <c r="Q40" i="32" s="1"/>
  <c r="R39" i="32"/>
  <c r="R40" i="32" s="1"/>
  <c r="S39" i="32"/>
  <c r="S40" i="32" s="1"/>
  <c r="T39" i="32"/>
  <c r="T40" i="32" s="1"/>
  <c r="U39" i="32"/>
  <c r="U40" i="32" s="1"/>
  <c r="V39" i="32"/>
  <c r="V40" i="32" s="1"/>
  <c r="W39" i="32"/>
  <c r="W40" i="32" s="1"/>
  <c r="X39" i="32"/>
  <c r="X40" i="32" s="1"/>
  <c r="Y39" i="32"/>
  <c r="Y40" i="32" s="1"/>
  <c r="Z39" i="32"/>
  <c r="Z40" i="32" s="1"/>
  <c r="AD39" i="32"/>
  <c r="AD40" i="32" s="1"/>
  <c r="AF39" i="32"/>
  <c r="AF40" i="32" s="1"/>
  <c r="G25" i="5"/>
  <c r="G10" i="27"/>
  <c r="G11" i="27"/>
  <c r="G9" i="27"/>
  <c r="G7" i="27"/>
  <c r="G12" i="27"/>
  <c r="G8" i="27"/>
  <c r="G6" i="27"/>
  <c r="I8" i="27" l="1"/>
  <c r="J8" i="27" s="1"/>
  <c r="K8" i="27" s="1"/>
  <c r="I12" i="27"/>
  <c r="J12" i="27" s="1"/>
  <c r="K12" i="27" s="1"/>
  <c r="I7" i="27"/>
  <c r="J7" i="27" s="1"/>
  <c r="K7" i="27" s="1"/>
  <c r="I9" i="27"/>
  <c r="J9" i="27" s="1"/>
  <c r="K9" i="27" s="1"/>
  <c r="I11" i="27"/>
  <c r="J11" i="27" s="1"/>
  <c r="K11" i="27" s="1"/>
  <c r="I10" i="27"/>
  <c r="J10" i="27" s="1"/>
  <c r="K10" i="27" s="1"/>
  <c r="I6" i="27"/>
  <c r="J6" i="27" s="1"/>
  <c r="K6"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E40" i="32"/>
  <c r="H60" i="27" l="1"/>
  <c r="E16" i="36"/>
  <c r="G16" i="36" s="1"/>
  <c r="G11" i="36"/>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K57" i="27"/>
  <c r="I57" i="27"/>
  <c r="K60" i="27"/>
  <c r="I59" i="27"/>
  <c r="I62" i="27"/>
  <c r="K63" i="27"/>
  <c r="I52" i="27"/>
  <c r="I61" i="27"/>
  <c r="I50" i="27"/>
  <c r="K51" i="27"/>
  <c r="I64" i="27"/>
  <c r="J41" i="27"/>
  <c r="I54" i="27"/>
  <c r="I65" i="27"/>
  <c r="L65" i="27" s="1"/>
  <c r="K65" i="27"/>
  <c r="I53" i="27"/>
  <c r="K54" i="27"/>
  <c r="I63" i="27"/>
  <c r="L60" i="27" l="1"/>
  <c r="L63" i="27"/>
  <c r="C48" i="36"/>
  <c r="L57" i="27"/>
  <c r="L54" i="27"/>
  <c r="L51" i="27"/>
  <c r="C49" i="36" l="1"/>
  <c r="C50" i="36" l="1"/>
  <c r="C51" i="36" l="1"/>
  <c r="C52" i="36" l="1"/>
  <c r="C53" i="36" l="1"/>
  <c r="C54" i="36" l="1"/>
  <c r="C55" i="36" l="1"/>
  <c r="J16" i="5" l="1"/>
  <c r="B16" i="32"/>
  <c r="J14" i="5"/>
  <c r="J22" i="5"/>
  <c r="J17" i="5"/>
  <c r="B17" i="32"/>
  <c r="J25" i="5"/>
  <c r="B23" i="32"/>
  <c r="J23" i="5"/>
  <c r="J36" i="5"/>
  <c r="J26" i="5"/>
  <c r="B11" i="32"/>
  <c r="J11" i="5"/>
  <c r="J18" i="5"/>
  <c r="B18" i="32"/>
  <c r="B20" i="32"/>
  <c r="J20" i="5"/>
  <c r="B15" i="32"/>
  <c r="J15" i="5"/>
  <c r="J12" i="5"/>
  <c r="B31" i="32"/>
  <c r="J31" i="5"/>
  <c r="J38" i="5"/>
  <c r="J24" i="5"/>
  <c r="J35" i="5"/>
  <c r="J28" i="5"/>
  <c r="B28" i="32"/>
  <c r="J10" i="5"/>
  <c r="J4" i="5"/>
  <c r="B7" i="32"/>
  <c r="J7" i="5"/>
  <c r="B29" i="32"/>
  <c r="J29" i="5"/>
  <c r="J27" i="5"/>
  <c r="B27" i="32"/>
  <c r="J32" i="5"/>
  <c r="B21" i="32"/>
  <c r="J21" i="5"/>
  <c r="J34" i="5"/>
  <c r="J30" i="5"/>
  <c r="B33" i="32"/>
  <c r="J33" i="5"/>
  <c r="J8" i="5"/>
  <c r="B8" i="32"/>
  <c r="J6" i="5"/>
  <c r="B19" i="32"/>
  <c r="J19" i="5"/>
  <c r="J13" i="5"/>
  <c r="J9" i="5"/>
  <c r="J37" i="5"/>
  <c r="J5" i="5"/>
  <c r="F48" i="36"/>
  <c r="G27" i="5" l="1"/>
  <c r="G26" i="5" s="1"/>
  <c r="B25" i="32"/>
  <c r="B32" i="32"/>
  <c r="B14" i="32"/>
  <c r="B12" i="32"/>
  <c r="B35" i="32"/>
  <c r="B9" i="32"/>
  <c r="B13" i="32"/>
  <c r="B30" i="32"/>
  <c r="B6" i="32"/>
  <c r="B37" i="32"/>
  <c r="B5" i="32"/>
  <c r="B22" i="32"/>
  <c r="B34" i="32"/>
  <c r="B36" i="32"/>
  <c r="B24" i="32"/>
  <c r="B10" i="32"/>
  <c r="B38" i="32"/>
  <c r="B26"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<sst xmlns="http://schemas.openxmlformats.org/spreadsheetml/2006/main" count="745" uniqueCount="158">
  <si>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</si>
  <si>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</si>
  <si>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</si>
  <si>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</si>
  <si>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</si>
  <si>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</si>
  <si>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</si>
  <si>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</si>
  <si>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</si>
  <si>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</si>
  <si>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</si>
  <si>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</si>
  <si>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</si>
  <si>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</si>
  <si>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</si>
  <si>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</si>
  <si>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</si>
  <si>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</si>
  <si>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</si>
  <si>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</si>
  <si>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</si>
  <si>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</si>
  <si>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</si>
  <si>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</si>
  <si>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</si>
  <si>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</si>
  <si>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</si>
  <si>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</si>
  <si>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</si>
  <si>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</si>
  <si>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</si>
  <si>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</si>
  <si>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</si>
  <si>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SP</t>
  </si>
  <si>
    <t>MP</t>
  </si>
  <si>
    <t>Fach:</t>
  </si>
  <si>
    <t>Schlüssel:</t>
  </si>
  <si>
    <t>BE gesamt</t>
  </si>
  <si>
    <t>UG</t>
  </si>
  <si>
    <t>OG</t>
  </si>
  <si>
    <t>Grenzen für Note 5</t>
  </si>
  <si>
    <t>Schnitte:</t>
  </si>
  <si>
    <t>P</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</si>
  <si>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</si>
  <si>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</si>
  <si>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</si>
  <si>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</si>
  <si>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</si>
  <si>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</si>
  <si>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</si>
  <si>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</si>
  <si>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</si>
  <si>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</si>
  <si>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</si>
  <si>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</si>
  <si>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</si>
  <si>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</si>
  <si>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</si>
  <si>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</si>
  <si>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</si>
  <si>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</si>
  <si>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</si>
  <si>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</si>
  <si>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</si>
  <si>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</si>
  <si>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</si>
  <si>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</si>
  <si>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</si>
  <si>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</si>
  <si>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</si>
  <si>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</si>
  <si>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</si>
  <si>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</si>
  <si>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</si>
  <si>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</si>
  <si>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</si>
  <si>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Verbindung zur Schulverwaltung</t>
  </si>
  <si>
    <t xml:space="preserve"> +/-</t>
  </si>
  <si>
    <t>SID</t>
  </si>
  <si>
    <t>KursId:</t>
  </si>
  <si>
    <t>Zweitprüfer</t>
  </si>
  <si>
    <t>Erstprüfer</t>
  </si>
  <si>
    <t>Hiermit bestätigen wir, dass wir die Ergebnisse der schriftlichen Abschlussprüfung sowohl auf diesem Blatt als auch im Notenbogen gemeinsam eingetragen und überprüft haben.</t>
  </si>
  <si>
    <t>Durchschnitt</t>
  </si>
  <si>
    <t>Zahl der Schüler</t>
  </si>
  <si>
    <t>Bewertungs-einheiten</t>
  </si>
  <si>
    <t>2. Berichterstatter</t>
  </si>
  <si>
    <t>1. Berichterstatter</t>
  </si>
  <si>
    <t>Leistungsbewertung in Punkten</t>
  </si>
  <si>
    <t>Name, Vorname</t>
  </si>
  <si>
    <t>Schriftliche Abschlussprüfung</t>
  </si>
  <si>
    <t>Berufliche Oberschule Kempten</t>
  </si>
  <si>
    <t>Abweichung
Zweitkorrektor</t>
  </si>
  <si>
    <t>PUNKTE
1. Prüfer</t>
  </si>
  <si>
    <t>PUNKTE
2. Prüfer</t>
  </si>
  <si>
    <t>FOS/BOS Kempten</t>
  </si>
  <si>
    <t>Ø</t>
  </si>
  <si>
    <t>HJ</t>
  </si>
  <si>
    <t>HJZ</t>
  </si>
  <si>
    <t>mü</t>
  </si>
  <si>
    <t>Ex</t>
  </si>
  <si>
    <t>Schulordnung:</t>
  </si>
  <si>
    <t>Neue</t>
  </si>
  <si>
    <t>Zweitkorrektor</t>
  </si>
  <si>
    <t>Summe</t>
  </si>
  <si>
    <t>Halbjahresnoten</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</si>
  <si>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</si>
  <si>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</si>
  <si>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</si>
  <si>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</si>
  <si>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</si>
  <si>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</si>
  <si>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</si>
  <si>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</si>
  <si>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</si>
  <si>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</si>
  <si>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</si>
  <si>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</si>
  <si>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</si>
  <si>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</si>
  <si>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</si>
  <si>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</si>
  <si>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</si>
  <si>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</si>
  <si>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</si>
  <si>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</si>
  <si>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</si>
  <si>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</si>
  <si>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</si>
  <si>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</si>
  <si>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</si>
  <si>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</si>
  <si>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</si>
  <si>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</si>
  <si>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</si>
  <si>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</si>
  <si>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</si>
  <si>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</si>
  <si>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</si>
  <si>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</si>
  <si>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</si>
  <si>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</si>
  <si>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</si>
  <si>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</si>
  <si>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</si>
  <si>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</si>
  <si>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</si>
  <si>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</si>
  <si>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</si>
  <si>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</si>
  <si>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</si>
  <si>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</si>
  <si>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</si>
  <si>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</si>
  <si>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</si>
  <si>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</si>
  <si>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PK</t>
  </si>
  <si>
    <t>Regelung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</si>
</sst>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6"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2"/>
      <color indexed="17"/>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
      <b/>
      <sz val="14"/>
      <color rgb="FFFF0000"/>
      <name val="Arial"/>
      <family val="2"/>
    </font>
    <font>
      <b/>
      <sz val="10"/>
      <color indexed="17"/>
      <name val="Times New Roman"/>
      <family val="1"/>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right/>
      <top style="thin">
        <color theme="0" tint="-0.14999847407452621"/>
      </top>
      <bottom/>
      <diagonal/>
    </border>
    <border>
      <left style="thin">
        <color theme="0" tint="-0.14999847407452621"/>
      </left>
      <right/>
      <top/>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55">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11"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0" xfId="0"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0"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4" xfId="1" applyNumberFormat="1" applyFont="1" applyBorder="1" applyAlignment="1" applyProtection="1">
      <alignment horizontal="center"/>
      <protection hidden="1"/>
    </xf>
    <xf numFmtId="10" fontId="0" fillId="0" borderId="44"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24" xfId="0" applyFill="1" applyBorder="1" applyAlignment="1">
      <alignment horizontal="center"/>
    </xf>
    <xf numFmtId="0" fontId="0" fillId="0" borderId="6" xfId="0" applyFill="1" applyBorder="1" applyAlignment="1">
      <alignment vertical="center"/>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24" xfId="0" applyFont="1" applyFill="1" applyBorder="1" applyAlignment="1">
      <alignment horizontal="center"/>
    </xf>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5" fillId="0" borderId="54"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15" fillId="0" borderId="6" xfId="0" applyFont="1"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3" fillId="3" borderId="60"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1" fontId="6" fillId="2" borderId="61" xfId="0" applyNumberFormat="1" applyFont="1" applyFill="1" applyBorder="1" applyAlignment="1" applyProtection="1">
      <alignment vertical="center"/>
      <protection hidden="1"/>
    </xf>
    <xf numFmtId="0" fontId="6" fillId="2" borderId="58"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2"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2" xfId="0" applyFont="1" applyFill="1" applyBorder="1" applyProtection="1">
      <protection hidden="1"/>
    </xf>
    <xf numFmtId="0" fontId="6" fillId="2" borderId="63"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6" xfId="0" applyNumberFormat="1" applyFont="1" applyFill="1" applyBorder="1" applyAlignment="1" applyProtection="1">
      <alignment vertical="center"/>
      <protection hidden="1"/>
    </xf>
    <xf numFmtId="0" fontId="3" fillId="3" borderId="66" xfId="0" applyFont="1" applyFill="1" applyBorder="1" applyAlignment="1" applyProtection="1">
      <alignment horizontal="center" vertical="center"/>
      <protection locked="0" hidden="1"/>
    </xf>
    <xf numFmtId="0" fontId="3" fillId="3" borderId="65" xfId="0" applyFont="1" applyFill="1" applyBorder="1" applyAlignment="1" applyProtection="1">
      <alignment horizontal="center" vertical="center"/>
      <protection locked="0" hidden="1"/>
    </xf>
    <xf numFmtId="1" fontId="6" fillId="2" borderId="67"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1" fontId="6" fillId="2" borderId="69" xfId="0" applyNumberFormat="1" applyFont="1" applyFill="1" applyBorder="1" applyAlignment="1" applyProtection="1">
      <alignment vertical="center"/>
      <protection hidden="1"/>
    </xf>
    <xf numFmtId="0" fontId="6" fillId="2" borderId="55" xfId="0" applyFont="1" applyFill="1" applyBorder="1" applyAlignment="1" applyProtection="1">
      <alignment vertical="center" wrapText="1"/>
      <protection hidden="1"/>
    </xf>
    <xf numFmtId="0" fontId="6" fillId="2" borderId="70"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6"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15" fillId="0" borderId="12" xfId="0" applyFont="1" applyFill="1" applyBorder="1" applyAlignment="1">
      <alignment horizontal="center"/>
    </xf>
    <xf numFmtId="0" fontId="0" fillId="0" borderId="6" xfId="0" applyFill="1" applyBorder="1" applyAlignment="1" applyProtection="1">
      <alignment horizontal="center"/>
      <protection locked="0"/>
    </xf>
    <xf numFmtId="14" fontId="0" fillId="0" borderId="6" xfId="0" quotePrefix="1" applyNumberFormat="1" applyFill="1" applyBorder="1" applyAlignment="1" applyProtection="1">
      <alignment horizontal="center"/>
      <protection locked="0"/>
    </xf>
    <xf numFmtId="0" fontId="0" fillId="0" borderId="6" xfId="0" quotePrefix="1" applyFill="1" applyBorder="1" applyAlignment="1" applyProtection="1">
      <alignment horizontal="center"/>
      <protection locked="0"/>
    </xf>
    <xf numFmtId="0" fontId="15" fillId="0" borderId="13" xfId="0" applyFont="1" applyBorder="1"/>
    <xf numFmtId="0" fontId="15" fillId="0" borderId="12" xfId="0" applyFont="1" applyBorder="1"/>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3" xfId="0" applyFont="1" applyFill="1" applyBorder="1" applyProtection="1">
      <protection hidden="1"/>
    </xf>
    <xf numFmtId="0" fontId="6" fillId="2" borderId="73" xfId="0" applyFont="1" applyFill="1" applyBorder="1" applyAlignment="1" applyProtection="1">
      <alignment vertical="center"/>
      <protection hidden="1"/>
    </xf>
    <xf numFmtId="0" fontId="17" fillId="3" borderId="29" xfId="0" applyNumberFormat="1" applyFont="1" applyFill="1" applyBorder="1" applyAlignment="1" applyProtection="1">
      <alignment horizontal="center" vertical="center" textRotation="180"/>
      <protection locked="0"/>
    </xf>
    <xf numFmtId="0" fontId="6" fillId="2" borderId="74" xfId="0" applyFont="1" applyFill="1" applyBorder="1" applyProtection="1">
      <protection hidden="1"/>
    </xf>
    <xf numFmtId="0" fontId="16" fillId="2" borderId="74" xfId="0" applyFont="1" applyFill="1" applyBorder="1" applyAlignment="1" applyProtection="1">
      <alignment horizontal="center" vertical="center"/>
      <protection hidden="1"/>
    </xf>
    <xf numFmtId="0" fontId="6" fillId="2" borderId="75" xfId="0" applyFont="1" applyFill="1" applyBorder="1" applyProtection="1">
      <protection hidden="1"/>
    </xf>
    <xf numFmtId="1" fontId="18" fillId="8" borderId="41" xfId="0" applyNumberFormat="1" applyFont="1" applyFill="1" applyBorder="1" applyAlignment="1" applyProtection="1">
      <alignment horizontal="center" vertical="center"/>
      <protection hidden="1"/>
    </xf>
    <xf numFmtId="1" fontId="18" fillId="8" borderId="57" xfId="0" applyNumberFormat="1" applyFont="1" applyFill="1" applyBorder="1" applyAlignment="1" applyProtection="1">
      <alignment horizontal="center" vertical="center"/>
      <protection hidden="1"/>
    </xf>
    <xf numFmtId="1" fontId="18" fillId="8" borderId="58" xfId="0" applyNumberFormat="1" applyFont="1" applyFill="1" applyBorder="1" applyAlignment="1" applyProtection="1">
      <alignment horizontal="center" vertical="center"/>
      <protection hidden="1"/>
    </xf>
    <xf numFmtId="0" fontId="1" fillId="0" borderId="0" xfId="0" applyFont="1" applyFill="1"/>
    <xf numFmtId="0" fontId="19"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5"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4"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6" fillId="5" borderId="72" xfId="0" applyFont="1" applyFill="1" applyBorder="1" applyProtection="1">
      <protection locked="0"/>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5" xfId="0" applyFont="1" applyFill="1" applyBorder="1"/>
    <xf numFmtId="0" fontId="1" fillId="0" borderId="30" xfId="0" applyFont="1" applyFill="1" applyBorder="1" applyProtection="1"/>
    <xf numFmtId="0" fontId="17" fillId="3" borderId="28" xfId="0" applyNumberFormat="1" applyFont="1" applyFill="1" applyBorder="1" applyAlignment="1" applyProtection="1">
      <alignment horizontal="center" vertical="center" textRotation="180"/>
      <protection locked="0"/>
    </xf>
    <xf numFmtId="1" fontId="6" fillId="2" borderId="6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6" fillId="2" borderId="80" xfId="0" applyNumberFormat="1"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1" fontId="6" fillId="2" borderId="83" xfId="0" applyNumberFormat="1" applyFont="1" applyFill="1" applyBorder="1" applyAlignment="1" applyProtection="1">
      <alignment vertical="center"/>
      <protection hidden="1"/>
    </xf>
    <xf numFmtId="1" fontId="3" fillId="3" borderId="59" xfId="0" applyNumberFormat="1" applyFont="1" applyFill="1" applyBorder="1" applyAlignment="1" applyProtection="1">
      <alignment horizontal="center" vertical="center"/>
      <protection locked="0" hidden="1"/>
    </xf>
    <xf numFmtId="1" fontId="3" fillId="3" borderId="60"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6"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0" fontId="19"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5" xfId="0" applyNumberFormat="1" applyFont="1" applyFill="1" applyBorder="1" applyAlignment="1" applyProtection="1">
      <alignment vertical="center"/>
      <protection hidden="1"/>
    </xf>
    <xf numFmtId="1" fontId="6" fillId="2" borderId="86"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71" xfId="0" applyFont="1" applyFill="1" applyBorder="1" applyProtection="1">
      <protection hidden="1"/>
    </xf>
    <xf numFmtId="0" fontId="6" fillId="2" borderId="77" xfId="0" applyFont="1" applyFill="1" applyBorder="1" applyProtection="1">
      <protection hidden="1"/>
    </xf>
    <xf numFmtId="0" fontId="6" fillId="2" borderId="72" xfId="0" applyFont="1" applyFill="1" applyBorder="1" applyProtection="1">
      <protection hidden="1"/>
    </xf>
    <xf numFmtId="0" fontId="6" fillId="2" borderId="87" xfId="0" applyFont="1" applyFill="1" applyBorder="1" applyProtection="1">
      <protection hidden="1"/>
    </xf>
    <xf numFmtId="0" fontId="6" fillId="2" borderId="64" xfId="0" applyFont="1" applyFill="1" applyBorder="1" applyProtection="1">
      <protection hidden="1"/>
    </xf>
    <xf numFmtId="0" fontId="6" fillId="2" borderId="88" xfId="0" applyFont="1" applyFill="1" applyBorder="1" applyProtection="1">
      <protection hidden="1"/>
    </xf>
    <xf numFmtId="165" fontId="0" fillId="0" borderId="0" xfId="0" applyNumberFormat="1" applyAlignment="1" applyProtection="1">
      <alignment horizontal="left"/>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2" xfId="0" applyNumberFormat="1" applyFont="1" applyFill="1" applyBorder="1" applyAlignment="1" applyProtection="1">
      <alignment vertical="center"/>
      <protection hidden="1"/>
    </xf>
    <xf numFmtId="2" fontId="6" fillId="9" borderId="52"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6"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64" fontId="0" fillId="0" borderId="9" xfId="0" applyNumberFormat="1" applyFill="1" applyBorder="1" applyAlignment="1">
      <alignment horizontal="center"/>
    </xf>
    <xf numFmtId="164" fontId="0" fillId="0" borderId="1"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1"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90" xfId="3" applyFont="1" applyFill="1" applyBorder="1" applyAlignment="1" applyProtection="1">
      <alignment horizontal="center"/>
    </xf>
    <xf numFmtId="0" fontId="4" fillId="6" borderId="90" xfId="3" applyFont="1" applyFill="1" applyBorder="1" applyAlignment="1" applyProtection="1">
      <alignment horizontal="center"/>
    </xf>
    <xf numFmtId="0" fontId="1" fillId="0" borderId="91"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91" xfId="3" applyFont="1" applyBorder="1" applyAlignment="1" applyProtection="1">
      <alignment horizontal="center"/>
      <protection locked="0"/>
    </xf>
    <xf numFmtId="0" fontId="2" fillId="0" borderId="92" xfId="3" applyFont="1" applyBorder="1" applyAlignment="1" applyProtection="1">
      <alignment horizontal="center"/>
      <protection locked="0"/>
    </xf>
    <xf numFmtId="0" fontId="1" fillId="6" borderId="92"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93" xfId="3" applyNumberFormat="1" applyFill="1" applyBorder="1" applyAlignment="1" applyProtection="1">
      <alignment horizontal="center"/>
      <protection locked="0"/>
    </xf>
    <xf numFmtId="0" fontId="1" fillId="4" borderId="54" xfId="3" applyNumberFormat="1" applyFill="1" applyBorder="1" applyAlignment="1" applyProtection="1">
      <alignment horizontal="center"/>
      <protection locked="0"/>
    </xf>
    <xf numFmtId="0" fontId="1" fillId="6" borderId="94" xfId="3" applyFill="1" applyBorder="1" applyAlignment="1" applyProtection="1">
      <alignment horizontal="center"/>
    </xf>
    <xf numFmtId="0" fontId="1" fillId="4" borderId="95" xfId="3" applyFill="1" applyBorder="1" applyAlignment="1" applyProtection="1">
      <alignment horizontal="center"/>
      <protection locked="0"/>
    </xf>
    <xf numFmtId="0" fontId="1" fillId="4" borderId="96" xfId="3" applyFill="1" applyBorder="1" applyAlignment="1" applyProtection="1">
      <alignment horizontal="center"/>
      <protection locked="0"/>
    </xf>
    <xf numFmtId="0" fontId="1" fillId="4" borderId="93" xfId="3" applyFill="1" applyBorder="1" applyAlignment="1" applyProtection="1">
      <alignment horizontal="center"/>
      <protection locked="0"/>
    </xf>
    <xf numFmtId="0" fontId="1" fillId="6" borderId="97" xfId="3" applyFill="1" applyBorder="1" applyAlignment="1" applyProtection="1">
      <alignment horizontal="center"/>
    </xf>
    <xf numFmtId="0" fontId="1" fillId="4" borderId="98" xfId="3" applyFill="1" applyBorder="1" applyAlignment="1" applyProtection="1">
      <alignment horizontal="center"/>
    </xf>
    <xf numFmtId="0" fontId="1" fillId="6" borderId="99" xfId="3" applyNumberFormat="1"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169" fontId="1" fillId="0" borderId="0" xfId="3" applyNumberFormat="1" applyProtection="1"/>
    <xf numFmtId="0" fontId="1" fillId="0" borderId="53"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104" xfId="3" applyNumberFormat="1" applyBorder="1" applyAlignment="1" applyProtection="1">
      <alignment horizontal="center"/>
      <protection locked="0"/>
    </xf>
    <xf numFmtId="0" fontId="1" fillId="0" borderId="105" xfId="3" applyNumberFormat="1" applyBorder="1" applyAlignment="1" applyProtection="1">
      <alignment horizontal="center"/>
      <protection locked="0"/>
    </xf>
    <xf numFmtId="0" fontId="1" fillId="6" borderId="105" xfId="3" applyFill="1" applyBorder="1" applyAlignment="1" applyProtection="1">
      <alignment horizontal="center"/>
    </xf>
    <xf numFmtId="0" fontId="1" fillId="4" borderId="106" xfId="3" applyFill="1" applyBorder="1" applyAlignment="1" applyProtection="1">
      <alignment horizontal="center"/>
    </xf>
    <xf numFmtId="2" fontId="1" fillId="6" borderId="107" xfId="3" applyNumberFormat="1" applyFill="1" applyBorder="1" applyAlignment="1" applyProtection="1">
      <alignment horizontal="center"/>
    </xf>
    <xf numFmtId="0" fontId="1" fillId="6" borderId="108" xfId="3" applyNumberFormat="1" applyFill="1" applyBorder="1" applyAlignment="1" applyProtection="1">
      <alignment horizontal="center"/>
    </xf>
    <xf numFmtId="0" fontId="1" fillId="4" borderId="109" xfId="3" applyNumberFormat="1" applyFill="1" applyBorder="1" applyAlignment="1" applyProtection="1">
      <alignment horizontal="center"/>
      <protection locked="0"/>
    </xf>
    <xf numFmtId="0" fontId="1" fillId="6" borderId="100" xfId="3" applyFill="1" applyBorder="1" applyAlignment="1" applyProtection="1">
      <alignment horizontal="center"/>
    </xf>
    <xf numFmtId="169" fontId="1" fillId="0" borderId="0" xfId="3" applyNumberFormat="1" applyAlignment="1" applyProtection="1">
      <alignment horizontal="center"/>
    </xf>
    <xf numFmtId="0" fontId="1" fillId="0" borderId="110" xfId="3" applyNumberFormat="1" applyBorder="1" applyAlignment="1" applyProtection="1">
      <alignment horizontal="center"/>
      <protection locked="0"/>
    </xf>
    <xf numFmtId="0" fontId="1" fillId="6" borderId="106" xfId="3" applyFill="1" applyBorder="1" applyAlignment="1" applyProtection="1">
      <alignment horizontal="center"/>
    </xf>
    <xf numFmtId="0" fontId="1" fillId="0" borderId="111" xfId="3" applyNumberFormat="1" applyBorder="1" applyAlignment="1" applyProtection="1">
      <alignment horizontal="center"/>
      <protection locked="0"/>
    </xf>
    <xf numFmtId="0" fontId="1" fillId="0" borderId="112" xfId="3" applyNumberFormat="1" applyBorder="1" applyAlignment="1" applyProtection="1">
      <alignment horizontal="center"/>
      <protection locked="0"/>
    </xf>
    <xf numFmtId="0" fontId="1" fillId="6" borderId="98" xfId="3" applyFill="1" applyBorder="1" applyAlignment="1" applyProtection="1">
      <alignment horizontal="center"/>
    </xf>
    <xf numFmtId="0" fontId="1" fillId="0" borderId="113" xfId="3" applyNumberFormat="1" applyBorder="1" applyAlignment="1" applyProtection="1">
      <alignment horizontal="center"/>
      <protection locked="0"/>
    </xf>
    <xf numFmtId="0" fontId="1" fillId="0" borderId="114" xfId="3" applyNumberFormat="1" applyBorder="1" applyAlignment="1" applyProtection="1">
      <alignment horizontal="center"/>
      <protection locked="0"/>
    </xf>
    <xf numFmtId="0" fontId="1" fillId="6" borderId="115" xfId="3" applyNumberFormat="1" applyFill="1" applyBorder="1" applyAlignment="1" applyProtection="1">
      <alignment horizontal="center"/>
    </xf>
    <xf numFmtId="0" fontId="1" fillId="0" borderId="0" xfId="3" applyAlignment="1" applyProtection="1">
      <alignment horizontal="center"/>
    </xf>
    <xf numFmtId="2" fontId="1" fillId="6" borderId="116" xfId="3" applyNumberFormat="1" applyFill="1" applyBorder="1" applyAlignment="1" applyProtection="1">
      <alignment horizontal="center"/>
    </xf>
    <xf numFmtId="0" fontId="1" fillId="6" borderId="117"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8" xfId="3" applyBorder="1"/>
    <xf numFmtId="0" fontId="1" fillId="0" borderId="6" xfId="3" applyBorder="1" applyProtection="1">
      <protection hidden="1"/>
    </xf>
    <xf numFmtId="0" fontId="1" fillId="0" borderId="119"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3" xfId="3" applyBorder="1" applyAlignment="1">
      <alignment horizontal="center"/>
    </xf>
    <xf numFmtId="1" fontId="6" fillId="9" borderId="22" xfId="0" applyNumberFormat="1" applyFont="1" applyFill="1" applyBorder="1" applyAlignment="1" applyProtection="1">
      <alignment vertical="center"/>
      <protection hidden="1"/>
    </xf>
    <xf numFmtId="1" fontId="18" fillId="8" borderId="90" xfId="0" applyNumberFormat="1" applyFont="1" applyFill="1" applyBorder="1" applyAlignment="1" applyProtection="1">
      <alignment horizontal="center" vertical="center"/>
      <protection hidden="1"/>
    </xf>
    <xf numFmtId="0" fontId="6" fillId="2" borderId="101" xfId="0" applyFont="1" applyFill="1" applyBorder="1" applyAlignment="1" applyProtection="1">
      <alignment vertical="center" wrapText="1"/>
      <protection hidden="1"/>
    </xf>
    <xf numFmtId="0" fontId="6" fillId="2" borderId="58" xfId="0" applyFont="1" applyFill="1" applyBorder="1" applyAlignment="1" applyProtection="1">
      <alignment vertical="center" wrapText="1"/>
      <protection hidden="1"/>
    </xf>
    <xf numFmtId="0" fontId="6" fillId="2" borderId="90"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3" xfId="0" applyFont="1" applyFill="1" applyBorder="1" applyAlignment="1" applyProtection="1">
      <alignment horizontal="center"/>
      <protection hidden="1"/>
    </xf>
    <xf numFmtId="0" fontId="6" fillId="2" borderId="63" xfId="0" applyFont="1" applyFill="1" applyBorder="1" applyAlignment="1" applyProtection="1">
      <alignment horizontal="center"/>
      <protection hidden="1"/>
    </xf>
    <xf numFmtId="0" fontId="6" fillId="2" borderId="84"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4" fontId="0" fillId="0" borderId="91" xfId="0" applyNumberFormat="1" applyBorder="1" applyAlignment="1" applyProtection="1">
      <alignment horizontal="center"/>
      <protection hidden="1"/>
    </xf>
    <xf numFmtId="0" fontId="0" fillId="0" borderId="91" xfId="0" applyBorder="1" applyProtection="1">
      <protection hidden="1"/>
    </xf>
    <xf numFmtId="0" fontId="0" fillId="3" borderId="57" xfId="0" applyFill="1" applyBorder="1" applyAlignment="1" applyProtection="1">
      <alignment horizontal="center"/>
      <protection locked="0"/>
    </xf>
    <xf numFmtId="0" fontId="0" fillId="0" borderId="28" xfId="0" applyBorder="1" applyProtection="1">
      <protection hidden="1"/>
    </xf>
    <xf numFmtId="0" fontId="0" fillId="0" borderId="42"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2" xfId="0" applyBorder="1" applyAlignment="1" applyProtection="1">
      <alignment horizontal="center"/>
      <protection hidden="1"/>
    </xf>
    <xf numFmtId="0" fontId="0" fillId="0" borderId="52" xfId="0" applyFill="1" applyBorder="1" applyProtection="1">
      <protection hidden="1"/>
    </xf>
    <xf numFmtId="0" fontId="0" fillId="3" borderId="58" xfId="0" applyFill="1" applyBorder="1" applyAlignment="1" applyProtection="1">
      <alignment horizontal="center"/>
      <protection locked="0"/>
    </xf>
    <xf numFmtId="0" fontId="0" fillId="0" borderId="48" xfId="0" applyFill="1" applyBorder="1" applyProtection="1">
      <protection hidden="1"/>
    </xf>
    <xf numFmtId="0" fontId="0" fillId="0" borderId="64" xfId="0" applyFill="1" applyBorder="1" applyProtection="1">
      <protection hidden="1"/>
    </xf>
    <xf numFmtId="0" fontId="0" fillId="0" borderId="57" xfId="0" applyBorder="1" applyProtection="1">
      <protection hidden="1"/>
    </xf>
    <xf numFmtId="0" fontId="0" fillId="0" borderId="57" xfId="0" applyFill="1" applyBorder="1" applyProtection="1">
      <protection hidden="1"/>
    </xf>
    <xf numFmtId="0" fontId="0" fillId="0" borderId="58" xfId="0" applyFill="1" applyBorder="1" applyProtection="1">
      <protection hidden="1"/>
    </xf>
    <xf numFmtId="0" fontId="0" fillId="3" borderId="48" xfId="0" applyFill="1" applyBorder="1" applyAlignment="1" applyProtection="1">
      <alignment horizontal="center"/>
      <protection locked="0"/>
    </xf>
    <xf numFmtId="0" fontId="0" fillId="3" borderId="64" xfId="0" applyFill="1" applyBorder="1" applyAlignment="1" applyProtection="1">
      <alignment horizontal="center"/>
      <protection locked="0"/>
    </xf>
    <xf numFmtId="1" fontId="0" fillId="0" borderId="57" xfId="0" applyNumberFormat="1" applyBorder="1" applyAlignment="1" applyProtection="1">
      <alignment horizontal="center"/>
      <protection hidden="1"/>
    </xf>
    <xf numFmtId="1" fontId="0" fillId="0" borderId="58" xfId="0" applyNumberFormat="1" applyBorder="1" applyAlignment="1" applyProtection="1">
      <alignment horizontal="center"/>
      <protection hidden="1"/>
    </xf>
    <xf numFmtId="0" fontId="0" fillId="0" borderId="91"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0" fontId="0" fillId="0" borderId="74" xfId="0" applyBorder="1" applyAlignment="1" applyProtection="1">
      <alignment horizontal="center"/>
      <protection hidden="1"/>
    </xf>
    <xf numFmtId="2" fontId="0" fillId="0" borderId="121" xfId="0" applyNumberFormat="1" applyBorder="1" applyProtection="1">
      <protection hidden="1"/>
    </xf>
    <xf numFmtId="2" fontId="0" fillId="0" borderId="56" xfId="0" applyNumberFormat="1" applyBorder="1" applyProtection="1">
      <protection hidden="1"/>
    </xf>
    <xf numFmtId="2" fontId="0" fillId="0" borderId="43" xfId="0" applyNumberFormat="1" applyBorder="1" applyProtection="1">
      <protection hidden="1"/>
    </xf>
    <xf numFmtId="2" fontId="0" fillId="0" borderId="17"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0" borderId="120" xfId="0" applyFont="1" applyBorder="1" applyAlignment="1" applyProtection="1">
      <alignment horizontal="center"/>
      <protection hidden="1"/>
    </xf>
    <xf numFmtId="0" fontId="1" fillId="7" borderId="75" xfId="0" applyFont="1" applyFill="1" applyBorder="1" applyAlignment="1" applyProtection="1">
      <alignment horizontal="center"/>
      <protection hidden="1"/>
    </xf>
    <xf numFmtId="0" fontId="1" fillId="7" borderId="74" xfId="0" applyFont="1" applyFill="1" applyBorder="1" applyProtection="1">
      <protection hidden="1"/>
    </xf>
    <xf numFmtId="1" fontId="0" fillId="7" borderId="24" xfId="0" applyNumberFormat="1" applyFill="1" applyBorder="1" applyAlignment="1" applyProtection="1">
      <alignment horizontal="center"/>
      <protection hidden="1"/>
    </xf>
    <xf numFmtId="2" fontId="0" fillId="7" borderId="41" xfId="0" applyNumberFormat="1" applyFill="1" applyBorder="1" applyProtection="1">
      <protection hidden="1"/>
    </xf>
    <xf numFmtId="2" fontId="0" fillId="7" borderId="58" xfId="0" applyNumberFormat="1" applyFill="1" applyBorder="1" applyProtection="1">
      <protection hidden="1"/>
    </xf>
    <xf numFmtId="0" fontId="1" fillId="6" borderId="90" xfId="3" applyNumberFormat="1" applyFill="1" applyBorder="1" applyAlignment="1" applyProtection="1">
      <alignment horizontal="center"/>
    </xf>
    <xf numFmtId="0" fontId="13" fillId="0" borderId="32" xfId="2" applyFont="1" applyBorder="1" applyProtection="1">
      <protection locked="0"/>
    </xf>
    <xf numFmtId="0" fontId="1" fillId="0" borderId="6" xfId="2" applyFont="1" applyBorder="1" applyProtection="1"/>
    <xf numFmtId="0" fontId="5" fillId="0" borderId="6" xfId="2" applyBorder="1" applyProtection="1"/>
    <xf numFmtId="1" fontId="0" fillId="7" borderId="51" xfId="0" applyNumberFormat="1" applyFill="1" applyBorder="1" applyAlignment="1" applyProtection="1">
      <alignment horizontal="center"/>
      <protection hidden="1"/>
    </xf>
    <xf numFmtId="0" fontId="24" fillId="7" borderId="123" xfId="0" applyFont="1" applyFill="1" applyBorder="1" applyProtection="1">
      <protection locked="0" hidden="1"/>
    </xf>
    <xf numFmtId="0" fontId="0" fillId="0" borderId="122" xfId="0" applyBorder="1" applyProtection="1">
      <protection hidden="1"/>
    </xf>
    <xf numFmtId="0" fontId="0" fillId="0" borderId="123" xfId="0" applyBorder="1" applyProtection="1">
      <protection hidden="1"/>
    </xf>
    <xf numFmtId="1" fontId="25" fillId="3" borderId="28" xfId="0" applyNumberFormat="1" applyFont="1" applyFill="1" applyBorder="1" applyAlignment="1" applyProtection="1">
      <alignment horizontal="center" vertical="center" textRotation="180"/>
      <protection locked="0"/>
    </xf>
    <xf numFmtId="1" fontId="25" fillId="3" borderId="29" xfId="0" applyNumberFormat="1" applyFont="1" applyFill="1" applyBorder="1" applyAlignment="1" applyProtection="1">
      <alignment horizontal="center" vertical="center" textRotation="180"/>
      <protection locked="0"/>
    </xf>
    <xf numFmtId="14" fontId="6" fillId="5" borderId="49" xfId="0" applyNumberFormat="1" applyFont="1" applyFill="1" applyBorder="1" applyAlignment="1" applyProtection="1">
      <alignment horizontal="center"/>
      <protection hidden="1"/>
    </xf>
    <xf numFmtId="0" fontId="6" fillId="5" borderId="49" xfId="0" applyFont="1" applyFill="1" applyBorder="1" applyAlignment="1" applyProtection="1">
      <alignment horizontal="center"/>
      <protection hidden="1"/>
    </xf>
    <xf numFmtId="0" fontId="6" fillId="2" borderId="51" xfId="0" applyFont="1" applyFill="1" applyBorder="1" applyAlignment="1" applyProtection="1">
      <alignment horizontal="center"/>
      <protection hidden="1"/>
    </xf>
    <xf numFmtId="0" fontId="6" fillId="2" borderId="65" xfId="0" applyFont="1" applyFill="1" applyBorder="1" applyAlignment="1" applyProtection="1">
      <alignment horizontal="center"/>
      <protection hidden="1"/>
    </xf>
    <xf numFmtId="0" fontId="6" fillId="2" borderId="64" xfId="0" applyFont="1" applyFill="1" applyBorder="1" applyAlignment="1" applyProtection="1">
      <alignment horizontal="center"/>
      <protection hidden="1"/>
    </xf>
    <xf numFmtId="0" fontId="6" fillId="2" borderId="4" xfId="0" applyFont="1" applyFill="1" applyBorder="1" applyProtection="1">
      <protection hidden="1"/>
    </xf>
    <xf numFmtId="0" fontId="6" fillId="2" borderId="24" xfId="0" applyFont="1" applyFill="1" applyBorder="1" applyProtection="1">
      <protection hidden="1"/>
    </xf>
    <xf numFmtId="0" fontId="6" fillId="5" borderId="49" xfId="0" applyFont="1" applyFill="1" applyBorder="1" applyProtection="1">
      <protection locked="0"/>
    </xf>
    <xf numFmtId="0" fontId="6" fillId="5" borderId="72" xfId="0" applyFont="1" applyFill="1" applyBorder="1" applyProtection="1">
      <protection locked="0"/>
    </xf>
    <xf numFmtId="0" fontId="6" fillId="5" borderId="49" xfId="0" applyFont="1" applyFill="1" applyBorder="1" applyAlignment="1" applyProtection="1">
      <alignment horizontal="left"/>
      <protection locked="0"/>
    </xf>
    <xf numFmtId="0" fontId="6" fillId="5" borderId="72"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50"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49" xfId="0" applyFont="1" applyFill="1" applyBorder="1" applyProtection="1">
      <protection hidden="1"/>
    </xf>
    <xf numFmtId="0" fontId="6" fillId="2" borderId="72" xfId="0" applyFont="1" applyFill="1" applyBorder="1" applyProtection="1">
      <protection hidden="1"/>
    </xf>
    <xf numFmtId="0" fontId="6" fillId="2" borderId="9" xfId="0" applyFont="1" applyFill="1" applyBorder="1" applyAlignment="1" applyProtection="1">
      <alignment horizontal="center"/>
      <protection hidden="1"/>
    </xf>
    <xf numFmtId="0" fontId="6" fillId="2" borderId="10" xfId="0" applyFont="1" applyFill="1" applyBorder="1" applyAlignment="1" applyProtection="1">
      <alignment horizontal="center"/>
      <protection hidden="1"/>
    </xf>
    <xf numFmtId="0" fontId="6" fillId="2" borderId="11"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75" xfId="0" applyBorder="1" applyAlignment="1" applyProtection="1">
      <alignment horizontal="center"/>
      <protection hidden="1"/>
    </xf>
    <xf numFmtId="0" fontId="0" fillId="0" borderId="120" xfId="0" applyBorder="1" applyAlignment="1" applyProtection="1">
      <alignment horizontal="center"/>
      <protection hidden="1"/>
    </xf>
    <xf numFmtId="0" fontId="0" fillId="0" borderId="122" xfId="0" applyNumberFormat="1" applyBorder="1" applyAlignment="1" applyProtection="1">
      <alignment horizontal="left"/>
      <protection hidden="1"/>
    </xf>
    <xf numFmtId="0" fontId="0" fillId="0" borderId="84" xfId="0" applyBorder="1" applyAlignment="1" applyProtection="1">
      <alignment horizontal="center"/>
      <protection hidden="1"/>
    </xf>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3"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1" fillId="0" borderId="53"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5" fillId="0" borderId="9" xfId="0" applyFont="1" applyFill="1" applyBorder="1" applyAlignment="1">
      <alignment horizontal="center" wrapText="1"/>
    </xf>
    <xf numFmtId="0" fontId="15" fillId="0" borderId="4" xfId="0" applyFont="1" applyFill="1" applyBorder="1" applyAlignment="1">
      <alignment horizontal="center"/>
    </xf>
    <xf numFmtId="0" fontId="20" fillId="4" borderId="100" xfId="3" applyNumberFormat="1" applyFont="1" applyFill="1" applyBorder="1" applyAlignment="1" applyProtection="1">
      <alignment horizontal="center" vertical="center"/>
    </xf>
    <xf numFmtId="0" fontId="20" fillId="4" borderId="29" xfId="3" applyNumberFormat="1" applyFont="1" applyFill="1" applyBorder="1" applyAlignment="1" applyProtection="1">
      <alignment horizontal="center" vertical="center"/>
    </xf>
    <xf numFmtId="0" fontId="20" fillId="4" borderId="101" xfId="3" applyNumberFormat="1" applyFont="1" applyFill="1" applyBorder="1" applyAlignment="1" applyProtection="1">
      <alignment horizontal="center" vertical="center"/>
      <protection locked="0"/>
    </xf>
    <xf numFmtId="0" fontId="20" fillId="4" borderId="42" xfId="3" applyNumberFormat="1" applyFont="1" applyFill="1" applyBorder="1" applyAlignment="1" applyProtection="1">
      <alignment horizontal="center" vertical="center"/>
      <protection locked="0"/>
    </xf>
    <xf numFmtId="0" fontId="20" fillId="6" borderId="89" xfId="3" applyFont="1" applyFill="1" applyBorder="1" applyAlignment="1" applyProtection="1">
      <alignment horizontal="left" vertical="center"/>
    </xf>
    <xf numFmtId="0" fontId="20" fillId="6" borderId="14" xfId="3" applyFont="1" applyFill="1" applyBorder="1" applyAlignment="1" applyProtection="1">
      <alignment horizontal="left" vertical="center"/>
    </xf>
    <xf numFmtId="1" fontId="20" fillId="0" borderId="89" xfId="3" applyNumberFormat="1" applyFont="1" applyBorder="1" applyAlignment="1" applyProtection="1">
      <alignment horizontal="center" vertical="center"/>
      <protection locked="0"/>
    </xf>
    <xf numFmtId="1" fontId="20" fillId="0" borderId="14" xfId="3" applyNumberFormat="1" applyFont="1" applyBorder="1" applyAlignment="1" applyProtection="1">
      <alignment horizontal="center" vertical="center"/>
      <protection locked="0"/>
    </xf>
    <xf numFmtId="1" fontId="20" fillId="0" borderId="18" xfId="3" applyNumberFormat="1" applyFont="1" applyBorder="1" applyAlignment="1" applyProtection="1">
      <alignment horizontal="center" vertical="center"/>
      <protection locked="0"/>
    </xf>
    <xf numFmtId="1" fontId="20" fillId="0" borderId="91" xfId="3" applyNumberFormat="1" applyFont="1" applyBorder="1" applyAlignment="1" applyProtection="1">
      <alignment horizontal="center" vertical="center"/>
      <protection locked="0"/>
    </xf>
    <xf numFmtId="1" fontId="20" fillId="0" borderId="16" xfId="3" applyNumberFormat="1" applyFont="1" applyBorder="1" applyAlignment="1" applyProtection="1">
      <alignment horizontal="center" vertical="center"/>
      <protection locked="0"/>
    </xf>
    <xf numFmtId="1" fontId="20" fillId="0" borderId="92" xfId="3" applyNumberFormat="1" applyFont="1" applyBorder="1" applyAlignment="1" applyProtection="1">
      <alignment horizontal="center" vertical="center"/>
      <protection locked="0"/>
    </xf>
    <xf numFmtId="0" fontId="20" fillId="0" borderId="100" xfId="3" applyFont="1" applyFill="1" applyBorder="1" applyAlignment="1" applyProtection="1">
      <alignment horizontal="center" vertical="center"/>
    </xf>
    <xf numFmtId="0" fontId="20" fillId="0" borderId="29" xfId="3" applyFont="1" applyFill="1" applyBorder="1" applyAlignment="1" applyProtection="1">
      <alignment horizontal="center" vertical="center"/>
    </xf>
    <xf numFmtId="1" fontId="20" fillId="0" borderId="20" xfId="3" applyNumberFormat="1" applyFont="1" applyBorder="1" applyAlignment="1" applyProtection="1">
      <alignment horizontal="center" vertical="center"/>
      <protection locked="0"/>
    </xf>
    <xf numFmtId="1" fontId="20" fillId="0" borderId="0" xfId="3" applyNumberFormat="1" applyFont="1" applyBorder="1" applyAlignment="1" applyProtection="1">
      <alignment horizontal="center" vertical="center"/>
      <protection locked="0"/>
    </xf>
    <xf numFmtId="1" fontId="20" fillId="0" borderId="3" xfId="3" applyNumberFormat="1" applyFont="1" applyBorder="1" applyAlignment="1" applyProtection="1">
      <alignment horizontal="center" vertical="center"/>
      <protection locked="0"/>
    </xf>
    <xf numFmtId="0" fontId="20" fillId="0" borderId="22" xfId="3" applyFont="1" applyFill="1" applyBorder="1" applyAlignment="1" applyProtection="1">
      <alignment horizontal="center" vertic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4" fillId="4" borderId="89"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9"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cellXfs>
  <cellStyles count="4">
    <cellStyle name="Prozent" xfId="1" builtinId="5"/>
    <cellStyle name="Standard" xfId="0" builtinId="0"/>
    <cellStyle name="Standard 2" xfId="2"/>
    <cellStyle name="Standard 3" xfId="3"/>
  </cellStyles>
  <dxfs count="100">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lightTrellis"/>
      </fill>
    </dxf>
    <dxf>
      <fill>
        <patternFill>
          <fgColor rgb="FFCCFFFF"/>
          <bgColor rgb="FFCCFFFF"/>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CCFFFF"/>
      <color rgb="FF66FFFF"/>
      <color rgb="FF66CCFF"/>
      <color rgb="FF99CCFF"/>
      <color rgb="FFFFFFCC"/>
      <color rgb="FFFFFF99"/>
      <color rgb="FFFFCC66"/>
      <color rgb="FF66FF33"/>
      <color rgb="FFCEEAB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E40"/>
  <sheetViews>
    <sheetView showGridLines="0" zoomScaleNormal="92" workbookViewId="0">
      <pane ySplit="1" topLeftCell="A2" activePane="bottomLeft" state="frozen"/>
      <selection activeCell="H44" sqref="H44"/>
      <selection pane="bottomLeft" activeCell="B4" sqref="B4"/>
    </sheetView>
  </sheetViews>
  <sheetFormatPr baseColWidth="10" defaultRowHeight="12.75" x14ac:dyDescent="0.2"/>
  <cols>
    <col min="1" max="1" width="3.7109375" style="147" customWidth="1"/>
    <col min="2" max="2" width="25.140625" style="147" customWidth="1"/>
    <col min="3" max="10" width="4.28515625" style="147" customWidth="1"/>
    <col min="11" max="15" width="6.7109375" style="147" customWidth="1"/>
    <col min="16" max="16" width="3" style="147" customWidth="1"/>
    <col min="17" max="17" width="3.42578125" style="147" customWidth="1"/>
    <col min="18" max="18" width="4.4257812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16" x14ac:dyDescent="0.2">
      <c r="A1" s="252" t="s">
        <v>5</v>
      </c>
      <c r="B1" s="215"/>
      <c r="C1" s="171" t="s">
        <v>35</v>
      </c>
      <c r="D1" s="251"/>
      <c r="E1" s="459"/>
      <c r="F1" s="459"/>
      <c r="G1" s="459"/>
      <c r="H1" s="460"/>
      <c r="I1" s="457" t="s">
        <v>120</v>
      </c>
      <c r="J1" s="458"/>
      <c r="K1" s="461"/>
      <c r="L1" s="462"/>
      <c r="M1" s="251" t="s">
        <v>6</v>
      </c>
      <c r="N1" s="452">
        <f ca="1">TODAY()</f>
        <v>43442</v>
      </c>
      <c r="O1" s="453"/>
    </row>
    <row r="2" spans="1:16" ht="13.5" thickBot="1" x14ac:dyDescent="0.25">
      <c r="A2" s="172"/>
      <c r="B2" s="156" t="s">
        <v>95</v>
      </c>
      <c r="C2" s="454" t="s">
        <v>0</v>
      </c>
      <c r="D2" s="455"/>
      <c r="E2" s="455"/>
      <c r="F2" s="455"/>
      <c r="G2" s="455"/>
      <c r="H2" s="455"/>
      <c r="I2" s="455"/>
      <c r="J2" s="455"/>
      <c r="K2" s="455"/>
      <c r="L2" s="455"/>
      <c r="M2" s="455"/>
      <c r="N2" s="455"/>
      <c r="O2" s="456"/>
    </row>
    <row r="3" spans="1:16"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97</v>
      </c>
      <c r="O3" s="399" t="s">
        <v>98</v>
      </c>
      <c r="P3" s="186"/>
    </row>
    <row r="4" spans="1:16" s="149" customFormat="1" ht="24.95" customHeight="1" x14ac:dyDescent="0.2">
      <c r="A4" s="174">
        <v>1</v>
      </c>
      <c r="B4" s="170"/>
      <c r="C4" s="234" t="str">
        <f ca="1">I1KA!C4</f>
        <v/>
      </c>
      <c r="D4" s="231" t="str">
        <f ca="1">I2KA!C4</f>
        <v/>
      </c>
      <c r="E4" s="167" t="str">
        <f ca="1">I1Ext!C4</f>
        <v/>
      </c>
      <c r="F4" s="154" t="str">
        <f ca="1">I2Ext!C4</f>
        <v/>
      </c>
      <c r="G4" s="154" t="str">
        <f ca="1">I3Ext!C4</f>
        <v/>
      </c>
      <c r="H4" s="237"/>
      <c r="I4" s="238"/>
      <c r="J4" s="239"/>
      <c r="K4" s="258" t="str">
        <f ca="1">IF(COUNT(C4:J4)&gt;0,SUMPRODUCT((C4:J4&lt;&gt;"")*1,C4:J4,$C$39:$J$39)/SUMPRODUCT((C4:J4&lt;&gt;"")*1,$C$39:$J$39),"")</f>
        <v/>
      </c>
      <c r="L4" s="259" t="str">
        <f ca="1">I1SA!C4</f>
        <v/>
      </c>
      <c r="M4" s="260" t="str">
        <f ca="1">I2SA!C4</f>
        <v/>
      </c>
      <c r="N4" s="155" t="str">
        <f ca="1">IF(COUNT(K4:M4)&gt;0,AVERAGEIF(K4:M4,"&lt;&gt;"""),"")</f>
        <v/>
      </c>
      <c r="O4" s="192" t="str">
        <f ca="1">IF(N4&lt;&gt;"",IF(N4&lt;1,0,ROUND(N4,0)),"")</f>
        <v/>
      </c>
      <c r="P4" s="187"/>
    </row>
    <row r="5" spans="1:16" s="149" customFormat="1" ht="24.95" customHeight="1" x14ac:dyDescent="0.2">
      <c r="A5" s="175">
        <v>2</v>
      </c>
      <c r="B5" s="150"/>
      <c r="C5" s="235" t="str">
        <f ca="1">I1KA!C5</f>
        <v/>
      </c>
      <c r="D5" s="232" t="str">
        <f ca="1">I2KA!C5</f>
        <v/>
      </c>
      <c r="E5" s="167" t="str">
        <f ca="1">I1Ext!C5</f>
        <v/>
      </c>
      <c r="F5" s="154" t="str">
        <f ca="1">I2Ext!C5</f>
        <v/>
      </c>
      <c r="G5" s="154" t="str">
        <f ca="1">I3Ext!C5</f>
        <v/>
      </c>
      <c r="H5" s="237"/>
      <c r="I5" s="237"/>
      <c r="J5" s="239"/>
      <c r="K5" s="258" t="str">
        <f t="shared" ref="K5:K38" ca="1" si="0">IF(COUNT(C5:J5)&gt;0,SUMPRODUCT((C5:J5&lt;&gt;"")*1,C5:J5,$C$39:$J$39)/SUMPRODUCT((C5:J5&lt;&gt;"")*1,$C$39:$J$39),"")</f>
        <v/>
      </c>
      <c r="L5" s="261" t="str">
        <f ca="1">I1SA!C5</f>
        <v/>
      </c>
      <c r="M5" s="260" t="str">
        <f ca="1">I2SA!C5</f>
        <v/>
      </c>
      <c r="N5" s="155" t="str">
        <f t="shared" ref="N5:N38" ca="1" si="1">IF(COUNT(K5:M5)&gt;0,AVERAGEIF(K5:M5,"&lt;&gt;"""),"")</f>
        <v/>
      </c>
      <c r="O5" s="193" t="str">
        <f t="shared" ref="O5:O38" ca="1" si="2">IF(N5&lt;&gt;"",IF(N5&lt;1,0,ROUND(N5,0)),"")</f>
        <v/>
      </c>
      <c r="P5" s="187"/>
    </row>
    <row r="6" spans="1:16" s="149" customFormat="1" ht="24.95" customHeight="1" x14ac:dyDescent="0.2">
      <c r="A6" s="175">
        <v>3</v>
      </c>
      <c r="B6" s="150"/>
      <c r="C6" s="235" t="str">
        <f ca="1">I1KA!C6</f>
        <v/>
      </c>
      <c r="D6" s="232" t="str">
        <f ca="1">I2KA!C6</f>
        <v/>
      </c>
      <c r="E6" s="167" t="str">
        <f ca="1">I1Ext!C6</f>
        <v/>
      </c>
      <c r="F6" s="154" t="str">
        <f ca="1">I2Ext!C6</f>
        <v/>
      </c>
      <c r="G6" s="154" t="str">
        <f ca="1">I3Ext!C6</f>
        <v/>
      </c>
      <c r="H6" s="238"/>
      <c r="I6" s="238"/>
      <c r="J6" s="239"/>
      <c r="K6" s="258" t="str">
        <f t="shared" ca="1" si="0"/>
        <v/>
      </c>
      <c r="L6" s="261" t="str">
        <f ca="1">I1SA!C6</f>
        <v/>
      </c>
      <c r="M6" s="260" t="str">
        <f ca="1">I2SA!C6</f>
        <v/>
      </c>
      <c r="N6" s="155" t="str">
        <f t="shared" ca="1" si="1"/>
        <v/>
      </c>
      <c r="O6" s="193" t="str">
        <f t="shared" ca="1" si="2"/>
        <v/>
      </c>
      <c r="P6" s="187"/>
    </row>
    <row r="7" spans="1:16" s="149" customFormat="1" ht="24.95" customHeight="1" x14ac:dyDescent="0.2">
      <c r="A7" s="175">
        <v>4</v>
      </c>
      <c r="B7" s="150"/>
      <c r="C7" s="235" t="str">
        <f ca="1">I1KA!C7</f>
        <v/>
      </c>
      <c r="D7" s="232" t="str">
        <f ca="1">I2KA!C7</f>
        <v/>
      </c>
      <c r="E7" s="167" t="str">
        <f ca="1">I1Ext!C7</f>
        <v/>
      </c>
      <c r="F7" s="154" t="str">
        <f ca="1">I2Ext!C7</f>
        <v/>
      </c>
      <c r="G7" s="154" t="str">
        <f ca="1">I3Ext!C7</f>
        <v/>
      </c>
      <c r="H7" s="238"/>
      <c r="I7" s="238"/>
      <c r="J7" s="239"/>
      <c r="K7" s="258" t="str">
        <f t="shared" ca="1" si="0"/>
        <v/>
      </c>
      <c r="L7" s="261" t="str">
        <f ca="1">I1SA!C7</f>
        <v/>
      </c>
      <c r="M7" s="260" t="str">
        <f ca="1">I2SA!C7</f>
        <v/>
      </c>
      <c r="N7" s="155" t="str">
        <f t="shared" ca="1" si="1"/>
        <v/>
      </c>
      <c r="O7" s="193" t="str">
        <f t="shared" ca="1" si="2"/>
        <v/>
      </c>
      <c r="P7" s="187"/>
    </row>
    <row r="8" spans="1:16" s="149" customFormat="1" ht="24.95" customHeight="1" x14ac:dyDescent="0.2">
      <c r="A8" s="175">
        <v>5</v>
      </c>
      <c r="B8" s="150"/>
      <c r="C8" s="235" t="str">
        <f ca="1">I1KA!C8</f>
        <v/>
      </c>
      <c r="D8" s="232" t="str">
        <f ca="1">I2KA!C8</f>
        <v/>
      </c>
      <c r="E8" s="167" t="str">
        <f ca="1">I1Ext!C8</f>
        <v/>
      </c>
      <c r="F8" s="154" t="str">
        <f ca="1">I2Ext!C8</f>
        <v/>
      </c>
      <c r="G8" s="154" t="str">
        <f ca="1">I3Ext!C8</f>
        <v/>
      </c>
      <c r="H8" s="238"/>
      <c r="I8" s="238"/>
      <c r="J8" s="239"/>
      <c r="K8" s="258" t="str">
        <f t="shared" ca="1" si="0"/>
        <v/>
      </c>
      <c r="L8" s="261" t="str">
        <f ca="1">I1SA!C8</f>
        <v/>
      </c>
      <c r="M8" s="260" t="str">
        <f ca="1">I2SA!C8</f>
        <v/>
      </c>
      <c r="N8" s="155" t="str">
        <f t="shared" ca="1" si="1"/>
        <v/>
      </c>
      <c r="O8" s="193" t="str">
        <f t="shared" ca="1" si="2"/>
        <v/>
      </c>
      <c r="P8" s="187"/>
    </row>
    <row r="9" spans="1:16" s="149" customFormat="1" ht="24.95" customHeight="1" x14ac:dyDescent="0.2">
      <c r="A9" s="175">
        <v>6</v>
      </c>
      <c r="B9" s="150"/>
      <c r="C9" s="235" t="str">
        <f ca="1">I1KA!C9</f>
        <v/>
      </c>
      <c r="D9" s="232" t="str">
        <f ca="1">I2KA!C9</f>
        <v/>
      </c>
      <c r="E9" s="167" t="str">
        <f ca="1">I1Ext!C9</f>
        <v/>
      </c>
      <c r="F9" s="154" t="str">
        <f ca="1">I2Ext!C9</f>
        <v/>
      </c>
      <c r="G9" s="154" t="str">
        <f ca="1">I3Ext!C9</f>
        <v/>
      </c>
      <c r="H9" s="238"/>
      <c r="I9" s="238"/>
      <c r="J9" s="239"/>
      <c r="K9" s="258" t="str">
        <f t="shared" ca="1" si="0"/>
        <v/>
      </c>
      <c r="L9" s="261" t="str">
        <f ca="1">I1SA!C9</f>
        <v/>
      </c>
      <c r="M9" s="260" t="str">
        <f ca="1">I2SA!C9</f>
        <v/>
      </c>
      <c r="N9" s="155" t="str">
        <f t="shared" ca="1" si="1"/>
        <v/>
      </c>
      <c r="O9" s="193" t="str">
        <f t="shared" ca="1" si="2"/>
        <v/>
      </c>
      <c r="P9" s="187"/>
    </row>
    <row r="10" spans="1:16" s="149" customFormat="1" ht="24.95" customHeight="1" x14ac:dyDescent="0.2">
      <c r="A10" s="175">
        <v>7</v>
      </c>
      <c r="B10" s="150"/>
      <c r="C10" s="235" t="str">
        <f ca="1">I1KA!C10</f>
        <v/>
      </c>
      <c r="D10" s="232" t="str">
        <f ca="1">I2KA!C10</f>
        <v/>
      </c>
      <c r="E10" s="167" t="str">
        <f ca="1">I1Ext!C10</f>
        <v/>
      </c>
      <c r="F10" s="154" t="str">
        <f ca="1">I2Ext!C10</f>
        <v/>
      </c>
      <c r="G10" s="154" t="str">
        <f ca="1">I3Ext!C10</f>
        <v/>
      </c>
      <c r="H10" s="238"/>
      <c r="I10" s="238"/>
      <c r="J10" s="239"/>
      <c r="K10" s="258" t="str">
        <f t="shared" ca="1" si="0"/>
        <v/>
      </c>
      <c r="L10" s="261" t="str">
        <f ca="1">I1SA!C10</f>
        <v/>
      </c>
      <c r="M10" s="260" t="str">
        <f ca="1">I2SA!C10</f>
        <v/>
      </c>
      <c r="N10" s="155" t="str">
        <f t="shared" ca="1" si="1"/>
        <v/>
      </c>
      <c r="O10" s="193" t="str">
        <f t="shared" ca="1" si="2"/>
        <v/>
      </c>
      <c r="P10" s="187"/>
    </row>
    <row r="11" spans="1:16" s="149" customFormat="1" ht="24.95" customHeight="1" x14ac:dyDescent="0.2">
      <c r="A11" s="175">
        <v>8</v>
      </c>
      <c r="B11" s="150"/>
      <c r="C11" s="235" t="str">
        <f ca="1">I1KA!C11</f>
        <v/>
      </c>
      <c r="D11" s="232" t="str">
        <f ca="1">I2KA!C11</f>
        <v/>
      </c>
      <c r="E11" s="167" t="str">
        <f ca="1">I1Ext!C11</f>
        <v/>
      </c>
      <c r="F11" s="154" t="str">
        <f ca="1">I2Ext!C11</f>
        <v/>
      </c>
      <c r="G11" s="154" t="str">
        <f ca="1">I3Ext!C11</f>
        <v/>
      </c>
      <c r="H11" s="238"/>
      <c r="I11" s="238"/>
      <c r="J11" s="239"/>
      <c r="K11" s="258" t="str">
        <f t="shared" ca="1" si="0"/>
        <v/>
      </c>
      <c r="L11" s="261" t="str">
        <f ca="1">I1SA!C11</f>
        <v/>
      </c>
      <c r="M11" s="260" t="str">
        <f ca="1">I2SA!C11</f>
        <v/>
      </c>
      <c r="N11" s="155" t="str">
        <f t="shared" ca="1" si="1"/>
        <v/>
      </c>
      <c r="O11" s="193" t="str">
        <f t="shared" ca="1" si="2"/>
        <v/>
      </c>
      <c r="P11" s="187"/>
    </row>
    <row r="12" spans="1:16" s="149" customFormat="1" ht="24.95" customHeight="1" x14ac:dyDescent="0.2">
      <c r="A12" s="175">
        <v>9</v>
      </c>
      <c r="B12" s="150"/>
      <c r="C12" s="235" t="str">
        <f ca="1">I1KA!C12</f>
        <v/>
      </c>
      <c r="D12" s="232" t="str">
        <f ca="1">I2KA!C12</f>
        <v/>
      </c>
      <c r="E12" s="167" t="str">
        <f ca="1">I1Ext!C12</f>
        <v/>
      </c>
      <c r="F12" s="154" t="str">
        <f ca="1">I2Ext!C12</f>
        <v/>
      </c>
      <c r="G12" s="154" t="str">
        <f ca="1">I3Ext!C12</f>
        <v/>
      </c>
      <c r="H12" s="238"/>
      <c r="I12" s="238"/>
      <c r="J12" s="239"/>
      <c r="K12" s="258" t="str">
        <f t="shared" ca="1" si="0"/>
        <v/>
      </c>
      <c r="L12" s="261" t="str">
        <f ca="1">I1SA!C12</f>
        <v/>
      </c>
      <c r="M12" s="260" t="str">
        <f ca="1">I2SA!C12</f>
        <v/>
      </c>
      <c r="N12" s="155" t="str">
        <f t="shared" ca="1" si="1"/>
        <v/>
      </c>
      <c r="O12" s="193" t="str">
        <f t="shared" ca="1" si="2"/>
        <v/>
      </c>
      <c r="P12" s="187"/>
    </row>
    <row r="13" spans="1:16" s="149" customFormat="1" ht="24.95" customHeight="1" x14ac:dyDescent="0.2">
      <c r="A13" s="175">
        <v>10</v>
      </c>
      <c r="B13" s="150"/>
      <c r="C13" s="235" t="str">
        <f ca="1">I1KA!C13</f>
        <v/>
      </c>
      <c r="D13" s="232" t="str">
        <f ca="1">I2KA!C13</f>
        <v/>
      </c>
      <c r="E13" s="167" t="str">
        <f ca="1">I1Ext!C13</f>
        <v/>
      </c>
      <c r="F13" s="154" t="str">
        <f ca="1">I2Ext!C13</f>
        <v/>
      </c>
      <c r="G13" s="154" t="str">
        <f ca="1">I3Ext!C13</f>
        <v/>
      </c>
      <c r="H13" s="238"/>
      <c r="I13" s="238"/>
      <c r="J13" s="239"/>
      <c r="K13" s="258" t="str">
        <f t="shared" ca="1" si="0"/>
        <v/>
      </c>
      <c r="L13" s="261" t="str">
        <f ca="1">I1SA!C13</f>
        <v/>
      </c>
      <c r="M13" s="260" t="str">
        <f ca="1">I2SA!C13</f>
        <v/>
      </c>
      <c r="N13" s="155" t="str">
        <f t="shared" ca="1" si="1"/>
        <v/>
      </c>
      <c r="O13" s="193" t="str">
        <f t="shared" ca="1" si="2"/>
        <v/>
      </c>
      <c r="P13" s="187"/>
    </row>
    <row r="14" spans="1:16" s="149" customFormat="1" ht="24.95" customHeight="1" x14ac:dyDescent="0.2">
      <c r="A14" s="175">
        <v>11</v>
      </c>
      <c r="B14" s="150"/>
      <c r="C14" s="235" t="str">
        <f ca="1">I1KA!C14</f>
        <v/>
      </c>
      <c r="D14" s="232" t="str">
        <f ca="1">I2KA!C14</f>
        <v/>
      </c>
      <c r="E14" s="167" t="str">
        <f ca="1">I1Ext!C14</f>
        <v/>
      </c>
      <c r="F14" s="154" t="str">
        <f ca="1">I2Ext!C14</f>
        <v/>
      </c>
      <c r="G14" s="154" t="str">
        <f ca="1">I3Ext!C14</f>
        <v/>
      </c>
      <c r="H14" s="238"/>
      <c r="I14" s="238"/>
      <c r="J14" s="239"/>
      <c r="K14" s="258" t="str">
        <f t="shared" ca="1" si="0"/>
        <v/>
      </c>
      <c r="L14" s="261" t="str">
        <f ca="1">I1SA!C14</f>
        <v/>
      </c>
      <c r="M14" s="260" t="str">
        <f ca="1">I2SA!C14</f>
        <v/>
      </c>
      <c r="N14" s="155" t="str">
        <f t="shared" ca="1" si="1"/>
        <v/>
      </c>
      <c r="O14" s="193" t="str">
        <f t="shared" ca="1" si="2"/>
        <v/>
      </c>
      <c r="P14" s="187"/>
    </row>
    <row r="15" spans="1:16" s="149" customFormat="1" ht="24.95" customHeight="1" x14ac:dyDescent="0.2">
      <c r="A15" s="175">
        <v>12</v>
      </c>
      <c r="B15" s="150"/>
      <c r="C15" s="235" t="str">
        <f ca="1">I1KA!C15</f>
        <v/>
      </c>
      <c r="D15" s="232" t="str">
        <f ca="1">I2KA!C15</f>
        <v/>
      </c>
      <c r="E15" s="167" t="str">
        <f ca="1">I1Ext!C15</f>
        <v/>
      </c>
      <c r="F15" s="154" t="str">
        <f ca="1">I2Ext!C15</f>
        <v/>
      </c>
      <c r="G15" s="154" t="str">
        <f ca="1">I3Ext!C15</f>
        <v/>
      </c>
      <c r="H15" s="238"/>
      <c r="I15" s="238"/>
      <c r="J15" s="239"/>
      <c r="K15" s="258" t="str">
        <f t="shared" ca="1" si="0"/>
        <v/>
      </c>
      <c r="L15" s="261" t="str">
        <f ca="1">I1SA!C15</f>
        <v/>
      </c>
      <c r="M15" s="260" t="str">
        <f ca="1">I2SA!C15</f>
        <v/>
      </c>
      <c r="N15" s="155" t="str">
        <f t="shared" ca="1" si="1"/>
        <v/>
      </c>
      <c r="O15" s="193" t="str">
        <f t="shared" ca="1" si="2"/>
        <v/>
      </c>
      <c r="P15" s="187"/>
    </row>
    <row r="16" spans="1:16" s="149" customFormat="1" ht="24.95" customHeight="1" x14ac:dyDescent="0.2">
      <c r="A16" s="175">
        <v>13</v>
      </c>
      <c r="B16" s="150"/>
      <c r="C16" s="235" t="str">
        <f ca="1">I1KA!C16</f>
        <v/>
      </c>
      <c r="D16" s="232" t="str">
        <f ca="1">I2KA!C16</f>
        <v/>
      </c>
      <c r="E16" s="167" t="str">
        <f ca="1">I1Ext!C16</f>
        <v/>
      </c>
      <c r="F16" s="154" t="str">
        <f ca="1">I2Ext!C16</f>
        <v/>
      </c>
      <c r="G16" s="154" t="str">
        <f ca="1">I3Ext!C16</f>
        <v/>
      </c>
      <c r="H16" s="238"/>
      <c r="I16" s="238"/>
      <c r="J16" s="239"/>
      <c r="K16" s="258" t="str">
        <f t="shared" ca="1" si="0"/>
        <v/>
      </c>
      <c r="L16" s="261" t="str">
        <f ca="1">I1SA!C16</f>
        <v/>
      </c>
      <c r="M16" s="260" t="str">
        <f ca="1">I2SA!C16</f>
        <v/>
      </c>
      <c r="N16" s="155" t="str">
        <f t="shared" ca="1" si="1"/>
        <v/>
      </c>
      <c r="O16" s="193" t="str">
        <f t="shared" ca="1" si="2"/>
        <v/>
      </c>
      <c r="P16" s="187"/>
    </row>
    <row r="17" spans="1:16" s="149" customFormat="1" ht="24.95" customHeight="1" x14ac:dyDescent="0.2">
      <c r="A17" s="175">
        <v>14</v>
      </c>
      <c r="B17" s="150"/>
      <c r="C17" s="235" t="str">
        <f ca="1">I1KA!C17</f>
        <v/>
      </c>
      <c r="D17" s="232" t="str">
        <f ca="1">I2KA!C17</f>
        <v/>
      </c>
      <c r="E17" s="167" t="str">
        <f ca="1">I1Ext!C17</f>
        <v/>
      </c>
      <c r="F17" s="154" t="str">
        <f ca="1">I2Ext!C17</f>
        <v/>
      </c>
      <c r="G17" s="154" t="str">
        <f ca="1">I3Ext!C17</f>
        <v/>
      </c>
      <c r="H17" s="238"/>
      <c r="I17" s="238"/>
      <c r="J17" s="239"/>
      <c r="K17" s="258" t="str">
        <f t="shared" ca="1" si="0"/>
        <v/>
      </c>
      <c r="L17" s="261" t="str">
        <f ca="1">I1SA!C17</f>
        <v/>
      </c>
      <c r="M17" s="260" t="str">
        <f ca="1">I2SA!C17</f>
        <v/>
      </c>
      <c r="N17" s="155" t="str">
        <f t="shared" ca="1" si="1"/>
        <v/>
      </c>
      <c r="O17" s="193" t="str">
        <f t="shared" ca="1" si="2"/>
        <v/>
      </c>
      <c r="P17" s="187"/>
    </row>
    <row r="18" spans="1:16" s="149" customFormat="1" ht="24.95" customHeight="1" x14ac:dyDescent="0.2">
      <c r="A18" s="175">
        <v>15</v>
      </c>
      <c r="B18" s="150"/>
      <c r="C18" s="235" t="str">
        <f ca="1">I1KA!C18</f>
        <v/>
      </c>
      <c r="D18" s="232" t="str">
        <f ca="1">I2KA!C18</f>
        <v/>
      </c>
      <c r="E18" s="167" t="str">
        <f ca="1">I1Ext!C18</f>
        <v/>
      </c>
      <c r="F18" s="154" t="str">
        <f ca="1">I2Ext!C18</f>
        <v/>
      </c>
      <c r="G18" s="154" t="str">
        <f ca="1">I3Ext!C18</f>
        <v/>
      </c>
      <c r="H18" s="238"/>
      <c r="I18" s="238"/>
      <c r="J18" s="239"/>
      <c r="K18" s="258" t="str">
        <f t="shared" ca="1" si="0"/>
        <v/>
      </c>
      <c r="L18" s="261" t="str">
        <f ca="1">I1SA!C18</f>
        <v/>
      </c>
      <c r="M18" s="260" t="str">
        <f ca="1">I2SA!C18</f>
        <v/>
      </c>
      <c r="N18" s="155" t="str">
        <f t="shared" ca="1" si="1"/>
        <v/>
      </c>
      <c r="O18" s="193" t="str">
        <f t="shared" ca="1" si="2"/>
        <v/>
      </c>
      <c r="P18" s="187"/>
    </row>
    <row r="19" spans="1:16" s="149" customFormat="1" ht="24.95" customHeight="1" x14ac:dyDescent="0.2">
      <c r="A19" s="175">
        <v>16</v>
      </c>
      <c r="B19" s="150"/>
      <c r="C19" s="235" t="str">
        <f ca="1">I1KA!C19</f>
        <v/>
      </c>
      <c r="D19" s="232" t="str">
        <f ca="1">I2KA!C19</f>
        <v/>
      </c>
      <c r="E19" s="167" t="str">
        <f ca="1">I1Ext!C19</f>
        <v/>
      </c>
      <c r="F19" s="154" t="str">
        <f ca="1">I2Ext!C19</f>
        <v/>
      </c>
      <c r="G19" s="154" t="str">
        <f ca="1">I3Ext!C19</f>
        <v/>
      </c>
      <c r="H19" s="238"/>
      <c r="I19" s="238"/>
      <c r="J19" s="239"/>
      <c r="K19" s="258" t="str">
        <f t="shared" ca="1" si="0"/>
        <v/>
      </c>
      <c r="L19" s="261" t="str">
        <f ca="1">I1SA!C19</f>
        <v/>
      </c>
      <c r="M19" s="260" t="str">
        <f ca="1">I2SA!C19</f>
        <v/>
      </c>
      <c r="N19" s="155" t="str">
        <f t="shared" ca="1" si="1"/>
        <v/>
      </c>
      <c r="O19" s="193" t="str">
        <f t="shared" ca="1" si="2"/>
        <v/>
      </c>
      <c r="P19" s="187"/>
    </row>
    <row r="20" spans="1:16" s="149" customFormat="1" ht="24.95" customHeight="1" x14ac:dyDescent="0.2">
      <c r="A20" s="175">
        <v>17</v>
      </c>
      <c r="B20" s="150"/>
      <c r="C20" s="235" t="str">
        <f ca="1">I1KA!C20</f>
        <v/>
      </c>
      <c r="D20" s="232" t="str">
        <f ca="1">I2KA!C20</f>
        <v/>
      </c>
      <c r="E20" s="167" t="str">
        <f ca="1">I1Ext!C20</f>
        <v/>
      </c>
      <c r="F20" s="154" t="str">
        <f ca="1">I2Ext!C20</f>
        <v/>
      </c>
      <c r="G20" s="154" t="str">
        <f ca="1">I3Ext!C20</f>
        <v/>
      </c>
      <c r="H20" s="238"/>
      <c r="I20" s="238"/>
      <c r="J20" s="239"/>
      <c r="K20" s="258" t="str">
        <f t="shared" ca="1" si="0"/>
        <v/>
      </c>
      <c r="L20" s="261" t="str">
        <f ca="1">I1SA!C20</f>
        <v/>
      </c>
      <c r="M20" s="260" t="str">
        <f ca="1">I2SA!C20</f>
        <v/>
      </c>
      <c r="N20" s="155" t="str">
        <f t="shared" ca="1" si="1"/>
        <v/>
      </c>
      <c r="O20" s="193" t="str">
        <f t="shared" ca="1" si="2"/>
        <v/>
      </c>
      <c r="P20" s="187"/>
    </row>
    <row r="21" spans="1:16" s="149" customFormat="1" ht="24.95" customHeight="1" x14ac:dyDescent="0.2">
      <c r="A21" s="175">
        <v>18</v>
      </c>
      <c r="B21" s="150"/>
      <c r="C21" s="235" t="str">
        <f ca="1">I1KA!C21</f>
        <v/>
      </c>
      <c r="D21" s="232" t="str">
        <f ca="1">I2KA!C21</f>
        <v/>
      </c>
      <c r="E21" s="167" t="str">
        <f ca="1">I1Ext!C21</f>
        <v/>
      </c>
      <c r="F21" s="154" t="str">
        <f ca="1">I2Ext!C21</f>
        <v/>
      </c>
      <c r="G21" s="154" t="str">
        <f ca="1">I3Ext!C21</f>
        <v/>
      </c>
      <c r="H21" s="238"/>
      <c r="I21" s="238"/>
      <c r="J21" s="239"/>
      <c r="K21" s="258" t="str">
        <f t="shared" ca="1" si="0"/>
        <v/>
      </c>
      <c r="L21" s="261" t="str">
        <f ca="1">I1SA!C21</f>
        <v/>
      </c>
      <c r="M21" s="260" t="str">
        <f ca="1">I2SA!C21</f>
        <v/>
      </c>
      <c r="N21" s="155" t="str">
        <f t="shared" ca="1" si="1"/>
        <v/>
      </c>
      <c r="O21" s="193" t="str">
        <f t="shared" ca="1" si="2"/>
        <v/>
      </c>
      <c r="P21" s="187"/>
    </row>
    <row r="22" spans="1:16" s="149" customFormat="1" ht="24.95" customHeight="1" x14ac:dyDescent="0.2">
      <c r="A22" s="175">
        <v>19</v>
      </c>
      <c r="B22" s="150"/>
      <c r="C22" s="235" t="str">
        <f ca="1">I1KA!C22</f>
        <v/>
      </c>
      <c r="D22" s="232" t="str">
        <f ca="1">I2KA!C22</f>
        <v/>
      </c>
      <c r="E22" s="167" t="str">
        <f ca="1">I1Ext!C22</f>
        <v/>
      </c>
      <c r="F22" s="154" t="str">
        <f ca="1">I2Ext!C22</f>
        <v/>
      </c>
      <c r="G22" s="154" t="str">
        <f ca="1">I3Ext!C22</f>
        <v/>
      </c>
      <c r="H22" s="238"/>
      <c r="I22" s="238"/>
      <c r="J22" s="239"/>
      <c r="K22" s="258" t="str">
        <f t="shared" ca="1" si="0"/>
        <v/>
      </c>
      <c r="L22" s="261" t="str">
        <f ca="1">I1SA!C22</f>
        <v/>
      </c>
      <c r="M22" s="260" t="str">
        <f ca="1">I2SA!C22</f>
        <v/>
      </c>
      <c r="N22" s="155" t="str">
        <f t="shared" ca="1" si="1"/>
        <v/>
      </c>
      <c r="O22" s="193" t="str">
        <f t="shared" ca="1" si="2"/>
        <v/>
      </c>
      <c r="P22" s="187"/>
    </row>
    <row r="23" spans="1:16" s="149" customFormat="1" ht="24.95" customHeight="1" x14ac:dyDescent="0.2">
      <c r="A23" s="175">
        <v>20</v>
      </c>
      <c r="B23" s="150"/>
      <c r="C23" s="235" t="str">
        <f ca="1">I1KA!C23</f>
        <v/>
      </c>
      <c r="D23" s="232" t="str">
        <f ca="1">I2KA!C23</f>
        <v/>
      </c>
      <c r="E23" s="167" t="str">
        <f ca="1">I1Ext!C23</f>
        <v/>
      </c>
      <c r="F23" s="154" t="str">
        <f ca="1">I2Ext!C23</f>
        <v/>
      </c>
      <c r="G23" s="154" t="str">
        <f ca="1">I3Ext!C23</f>
        <v/>
      </c>
      <c r="H23" s="238"/>
      <c r="I23" s="238"/>
      <c r="J23" s="239"/>
      <c r="K23" s="258" t="str">
        <f t="shared" ca="1" si="0"/>
        <v/>
      </c>
      <c r="L23" s="261" t="str">
        <f ca="1">I1SA!C23</f>
        <v/>
      </c>
      <c r="M23" s="260" t="str">
        <f ca="1">I2SA!C23</f>
        <v/>
      </c>
      <c r="N23" s="155" t="str">
        <f t="shared" ca="1" si="1"/>
        <v/>
      </c>
      <c r="O23" s="193" t="str">
        <f t="shared" ca="1" si="2"/>
        <v/>
      </c>
      <c r="P23" s="187"/>
    </row>
    <row r="24" spans="1:16" s="149" customFormat="1" ht="24.95" customHeight="1" x14ac:dyDescent="0.2">
      <c r="A24" s="175">
        <v>21</v>
      </c>
      <c r="B24" s="150"/>
      <c r="C24" s="235" t="str">
        <f ca="1">I1KA!C24</f>
        <v/>
      </c>
      <c r="D24" s="232" t="str">
        <f ca="1">I2KA!C24</f>
        <v/>
      </c>
      <c r="E24" s="167" t="str">
        <f ca="1">I1Ext!C24</f>
        <v/>
      </c>
      <c r="F24" s="154" t="str">
        <f ca="1">I2Ext!C24</f>
        <v/>
      </c>
      <c r="G24" s="154" t="str">
        <f ca="1">I3Ext!C24</f>
        <v/>
      </c>
      <c r="H24" s="238"/>
      <c r="I24" s="238"/>
      <c r="J24" s="239"/>
      <c r="K24" s="258" t="str">
        <f t="shared" ca="1" si="0"/>
        <v/>
      </c>
      <c r="L24" s="261" t="str">
        <f ca="1">I1SA!C24</f>
        <v/>
      </c>
      <c r="M24" s="260" t="str">
        <f ca="1">I2SA!C24</f>
        <v/>
      </c>
      <c r="N24" s="155" t="str">
        <f t="shared" ca="1" si="1"/>
        <v/>
      </c>
      <c r="O24" s="193" t="str">
        <f t="shared" ca="1" si="2"/>
        <v/>
      </c>
      <c r="P24" s="187"/>
    </row>
    <row r="25" spans="1:16" s="149" customFormat="1" ht="24.95" customHeight="1" x14ac:dyDescent="0.2">
      <c r="A25" s="175">
        <v>22</v>
      </c>
      <c r="B25" s="150"/>
      <c r="C25" s="235" t="str">
        <f ca="1">I1KA!C25</f>
        <v/>
      </c>
      <c r="D25" s="232" t="str">
        <f ca="1">I2KA!C25</f>
        <v/>
      </c>
      <c r="E25" s="167" t="str">
        <f ca="1">I1Ext!C25</f>
        <v/>
      </c>
      <c r="F25" s="154" t="str">
        <f ca="1">I2Ext!C25</f>
        <v/>
      </c>
      <c r="G25" s="154" t="str">
        <f ca="1">I3Ext!C25</f>
        <v/>
      </c>
      <c r="H25" s="238"/>
      <c r="I25" s="238"/>
      <c r="J25" s="239"/>
      <c r="K25" s="258" t="str">
        <f t="shared" ca="1" si="0"/>
        <v/>
      </c>
      <c r="L25" s="261" t="str">
        <f ca="1">I1SA!C25</f>
        <v/>
      </c>
      <c r="M25" s="260" t="str">
        <f ca="1">I2SA!C25</f>
        <v/>
      </c>
      <c r="N25" s="155" t="str">
        <f t="shared" ca="1" si="1"/>
        <v/>
      </c>
      <c r="O25" s="193" t="str">
        <f t="shared" ca="1" si="2"/>
        <v/>
      </c>
      <c r="P25" s="187"/>
    </row>
    <row r="26" spans="1:16" s="149" customFormat="1" ht="24.95" customHeight="1" x14ac:dyDescent="0.2">
      <c r="A26" s="175">
        <v>23</v>
      </c>
      <c r="B26" s="150"/>
      <c r="C26" s="235" t="str">
        <f ca="1">I1KA!C26</f>
        <v/>
      </c>
      <c r="D26" s="232" t="str">
        <f ca="1">I2KA!C26</f>
        <v/>
      </c>
      <c r="E26" s="167" t="str">
        <f ca="1">I1Ext!C26</f>
        <v/>
      </c>
      <c r="F26" s="154" t="str">
        <f ca="1">I2Ext!C26</f>
        <v/>
      </c>
      <c r="G26" s="154" t="str">
        <f ca="1">I3Ext!C26</f>
        <v/>
      </c>
      <c r="H26" s="238"/>
      <c r="I26" s="238"/>
      <c r="J26" s="239"/>
      <c r="K26" s="258" t="str">
        <f t="shared" ca="1" si="0"/>
        <v/>
      </c>
      <c r="L26" s="261" t="str">
        <f ca="1">I1SA!C26</f>
        <v/>
      </c>
      <c r="M26" s="260" t="str">
        <f ca="1">I2SA!C26</f>
        <v/>
      </c>
      <c r="N26" s="155" t="str">
        <f t="shared" ca="1" si="1"/>
        <v/>
      </c>
      <c r="O26" s="193" t="str">
        <f t="shared" ca="1" si="2"/>
        <v/>
      </c>
      <c r="P26" s="187"/>
    </row>
    <row r="27" spans="1:16" s="149" customFormat="1" ht="24.95" customHeight="1" x14ac:dyDescent="0.2">
      <c r="A27" s="175">
        <v>24</v>
      </c>
      <c r="B27" s="150"/>
      <c r="C27" s="235" t="str">
        <f ca="1">I1KA!C27</f>
        <v/>
      </c>
      <c r="D27" s="232" t="str">
        <f ca="1">I2KA!C27</f>
        <v/>
      </c>
      <c r="E27" s="167" t="str">
        <f ca="1">I1Ext!C27</f>
        <v/>
      </c>
      <c r="F27" s="154" t="str">
        <f ca="1">I2Ext!C27</f>
        <v/>
      </c>
      <c r="G27" s="154" t="str">
        <f ca="1">I3Ext!C27</f>
        <v/>
      </c>
      <c r="H27" s="238"/>
      <c r="I27" s="238"/>
      <c r="J27" s="239"/>
      <c r="K27" s="258" t="str">
        <f t="shared" ca="1" si="0"/>
        <v/>
      </c>
      <c r="L27" s="261" t="str">
        <f ca="1">I1SA!C27</f>
        <v/>
      </c>
      <c r="M27" s="260" t="str">
        <f ca="1">I2SA!C27</f>
        <v/>
      </c>
      <c r="N27" s="155" t="str">
        <f t="shared" ca="1" si="1"/>
        <v/>
      </c>
      <c r="O27" s="193" t="str">
        <f t="shared" ca="1" si="2"/>
        <v/>
      </c>
      <c r="P27" s="187"/>
    </row>
    <row r="28" spans="1:16" s="149" customFormat="1" ht="24.95" customHeight="1" x14ac:dyDescent="0.2">
      <c r="A28" s="175">
        <v>25</v>
      </c>
      <c r="B28" s="150"/>
      <c r="C28" s="235" t="str">
        <f ca="1">I1KA!C28</f>
        <v/>
      </c>
      <c r="D28" s="232" t="str">
        <f ca="1">I2KA!C28</f>
        <v/>
      </c>
      <c r="E28" s="167" t="str">
        <f ca="1">I1Ext!C28</f>
        <v/>
      </c>
      <c r="F28" s="154" t="str">
        <f ca="1">I2Ext!C28</f>
        <v/>
      </c>
      <c r="G28" s="154" t="str">
        <f ca="1">I3Ext!C28</f>
        <v/>
      </c>
      <c r="H28" s="238"/>
      <c r="I28" s="238"/>
      <c r="J28" s="239"/>
      <c r="K28" s="258" t="str">
        <f t="shared" ca="1" si="0"/>
        <v/>
      </c>
      <c r="L28" s="261" t="str">
        <f ca="1">I1SA!C28</f>
        <v/>
      </c>
      <c r="M28" s="260" t="str">
        <f ca="1">I2SA!C28</f>
        <v/>
      </c>
      <c r="N28" s="155" t="str">
        <f t="shared" ca="1" si="1"/>
        <v/>
      </c>
      <c r="O28" s="193" t="str">
        <f t="shared" ca="1" si="2"/>
        <v/>
      </c>
      <c r="P28" s="187"/>
    </row>
    <row r="29" spans="1:16" s="149" customFormat="1" ht="24.95" customHeight="1" x14ac:dyDescent="0.2">
      <c r="A29" s="175">
        <v>26</v>
      </c>
      <c r="B29" s="150"/>
      <c r="C29" s="235" t="str">
        <f ca="1">I1KA!C29</f>
        <v/>
      </c>
      <c r="D29" s="232" t="str">
        <f ca="1">I2KA!C29</f>
        <v/>
      </c>
      <c r="E29" s="167" t="str">
        <f ca="1">I1Ext!C29</f>
        <v/>
      </c>
      <c r="F29" s="154" t="str">
        <f ca="1">I2Ext!C29</f>
        <v/>
      </c>
      <c r="G29" s="154" t="str">
        <f ca="1">I3Ext!C29</f>
        <v/>
      </c>
      <c r="H29" s="238"/>
      <c r="I29" s="238"/>
      <c r="J29" s="239"/>
      <c r="K29" s="258" t="str">
        <f t="shared" ca="1" si="0"/>
        <v/>
      </c>
      <c r="L29" s="261" t="str">
        <f ca="1">I1SA!C29</f>
        <v/>
      </c>
      <c r="M29" s="260" t="str">
        <f ca="1">I2SA!C29</f>
        <v/>
      </c>
      <c r="N29" s="155" t="str">
        <f t="shared" ca="1" si="1"/>
        <v/>
      </c>
      <c r="O29" s="193" t="str">
        <f t="shared" ca="1" si="2"/>
        <v/>
      </c>
      <c r="P29" s="187"/>
    </row>
    <row r="30" spans="1:16" s="149" customFormat="1" ht="24.95" customHeight="1" x14ac:dyDescent="0.2">
      <c r="A30" s="175">
        <v>27</v>
      </c>
      <c r="B30" s="150"/>
      <c r="C30" s="235" t="str">
        <f ca="1">I1KA!C30</f>
        <v/>
      </c>
      <c r="D30" s="232" t="str">
        <f ca="1">I2KA!C30</f>
        <v/>
      </c>
      <c r="E30" s="167" t="str">
        <f ca="1">I1Ext!C30</f>
        <v/>
      </c>
      <c r="F30" s="154" t="str">
        <f ca="1">I2Ext!C30</f>
        <v/>
      </c>
      <c r="G30" s="154" t="str">
        <f ca="1">I3Ext!C30</f>
        <v/>
      </c>
      <c r="H30" s="238"/>
      <c r="I30" s="238"/>
      <c r="J30" s="239"/>
      <c r="K30" s="258" t="str">
        <f t="shared" ca="1" si="0"/>
        <v/>
      </c>
      <c r="L30" s="261" t="str">
        <f ca="1">I1SA!C30</f>
        <v/>
      </c>
      <c r="M30" s="260" t="str">
        <f ca="1">I2SA!C30</f>
        <v/>
      </c>
      <c r="N30" s="155" t="str">
        <f t="shared" ca="1" si="1"/>
        <v/>
      </c>
      <c r="O30" s="193" t="str">
        <f t="shared" ca="1" si="2"/>
        <v/>
      </c>
      <c r="P30" s="187"/>
    </row>
    <row r="31" spans="1:16" s="149" customFormat="1" ht="24.95" customHeight="1" x14ac:dyDescent="0.2">
      <c r="A31" s="175">
        <v>28</v>
      </c>
      <c r="B31" s="150"/>
      <c r="C31" s="235" t="str">
        <f ca="1">I1KA!C31</f>
        <v/>
      </c>
      <c r="D31" s="232" t="str">
        <f ca="1">I2KA!C31</f>
        <v/>
      </c>
      <c r="E31" s="167" t="str">
        <f ca="1">I1Ext!C31</f>
        <v/>
      </c>
      <c r="F31" s="154" t="str">
        <f ca="1">I2Ext!C31</f>
        <v/>
      </c>
      <c r="G31" s="154" t="str">
        <f ca="1">I3Ext!C31</f>
        <v/>
      </c>
      <c r="H31" s="238"/>
      <c r="I31" s="238"/>
      <c r="J31" s="239"/>
      <c r="K31" s="258" t="str">
        <f t="shared" ca="1" si="0"/>
        <v/>
      </c>
      <c r="L31" s="261" t="str">
        <f ca="1">I1SA!C31</f>
        <v/>
      </c>
      <c r="M31" s="260" t="str">
        <f ca="1">I2SA!C31</f>
        <v/>
      </c>
      <c r="N31" s="155" t="str">
        <f t="shared" ca="1" si="1"/>
        <v/>
      </c>
      <c r="O31" s="193" t="str">
        <f t="shared" ca="1" si="2"/>
        <v/>
      </c>
      <c r="P31" s="187"/>
    </row>
    <row r="32" spans="1:16" s="149" customFormat="1" ht="24.95" customHeight="1" x14ac:dyDescent="0.2">
      <c r="A32" s="175">
        <v>29</v>
      </c>
      <c r="B32" s="150"/>
      <c r="C32" s="235" t="str">
        <f ca="1">I1KA!C32</f>
        <v/>
      </c>
      <c r="D32" s="232" t="str">
        <f ca="1">I2KA!C32</f>
        <v/>
      </c>
      <c r="E32" s="167" t="str">
        <f ca="1">I1Ext!C32</f>
        <v/>
      </c>
      <c r="F32" s="154" t="str">
        <f ca="1">I2Ext!C32</f>
        <v/>
      </c>
      <c r="G32" s="154" t="str">
        <f ca="1">I3Ext!C32</f>
        <v/>
      </c>
      <c r="H32" s="238"/>
      <c r="I32" s="238"/>
      <c r="J32" s="239"/>
      <c r="K32" s="258" t="str">
        <f t="shared" ca="1" si="0"/>
        <v/>
      </c>
      <c r="L32" s="261" t="str">
        <f ca="1">I1SA!C32</f>
        <v/>
      </c>
      <c r="M32" s="260" t="str">
        <f ca="1">I2SA!C32</f>
        <v/>
      </c>
      <c r="N32" s="155" t="str">
        <f t="shared" ca="1" si="1"/>
        <v/>
      </c>
      <c r="O32" s="193" t="str">
        <f t="shared" ca="1" si="2"/>
        <v/>
      </c>
      <c r="P32" s="187"/>
    </row>
    <row r="33" spans="1:25" s="149" customFormat="1" ht="24.95" customHeight="1" x14ac:dyDescent="0.2">
      <c r="A33" s="175">
        <v>30</v>
      </c>
      <c r="B33" s="150"/>
      <c r="C33" s="235" t="str">
        <f ca="1">I1KA!C33</f>
        <v/>
      </c>
      <c r="D33" s="232" t="str">
        <f ca="1">I2KA!C33</f>
        <v/>
      </c>
      <c r="E33" s="167" t="str">
        <f ca="1">I1Ext!C33</f>
        <v/>
      </c>
      <c r="F33" s="154" t="str">
        <f ca="1">I2Ext!C33</f>
        <v/>
      </c>
      <c r="G33" s="154" t="str">
        <f ca="1">I3Ext!C33</f>
        <v/>
      </c>
      <c r="H33" s="238"/>
      <c r="I33" s="238"/>
      <c r="J33" s="239"/>
      <c r="K33" s="258" t="str">
        <f t="shared" ca="1" si="0"/>
        <v/>
      </c>
      <c r="L33" s="261" t="str">
        <f ca="1">I1SA!C33</f>
        <v/>
      </c>
      <c r="M33" s="260" t="str">
        <f ca="1">I2SA!C33</f>
        <v/>
      </c>
      <c r="N33" s="155" t="str">
        <f t="shared" ca="1" si="1"/>
        <v/>
      </c>
      <c r="O33" s="193" t="str">
        <f t="shared" ca="1" si="2"/>
        <v/>
      </c>
      <c r="P33" s="187"/>
    </row>
    <row r="34" spans="1:25" s="149" customFormat="1" ht="24.95" customHeight="1" x14ac:dyDescent="0.2">
      <c r="A34" s="175">
        <v>31</v>
      </c>
      <c r="B34" s="150"/>
      <c r="C34" s="235" t="str">
        <f ca="1">I1KA!C34</f>
        <v/>
      </c>
      <c r="D34" s="232" t="str">
        <f ca="1">I2KA!C34</f>
        <v/>
      </c>
      <c r="E34" s="167" t="str">
        <f ca="1">I1Ext!C34</f>
        <v/>
      </c>
      <c r="F34" s="154" t="str">
        <f ca="1">I2Ext!C34</f>
        <v/>
      </c>
      <c r="G34" s="154" t="str">
        <f ca="1">I3Ext!C34</f>
        <v/>
      </c>
      <c r="H34" s="238"/>
      <c r="I34" s="238"/>
      <c r="J34" s="239"/>
      <c r="K34" s="258" t="str">
        <f t="shared" ca="1" si="0"/>
        <v/>
      </c>
      <c r="L34" s="261" t="str">
        <f ca="1">I1SA!C34</f>
        <v/>
      </c>
      <c r="M34" s="260" t="str">
        <f ca="1">I2SA!C34</f>
        <v/>
      </c>
      <c r="N34" s="155" t="str">
        <f t="shared" ca="1" si="1"/>
        <v/>
      </c>
      <c r="O34" s="193" t="str">
        <f t="shared" ca="1" si="2"/>
        <v/>
      </c>
      <c r="P34" s="187"/>
    </row>
    <row r="35" spans="1:25" s="149" customFormat="1" ht="24.95" customHeight="1" x14ac:dyDescent="0.2">
      <c r="A35" s="175">
        <v>32</v>
      </c>
      <c r="B35" s="150"/>
      <c r="C35" s="235" t="str">
        <f ca="1">I1KA!C35</f>
        <v/>
      </c>
      <c r="D35" s="232" t="str">
        <f ca="1">I2KA!C35</f>
        <v/>
      </c>
      <c r="E35" s="167" t="str">
        <f ca="1">I1Ext!C35</f>
        <v/>
      </c>
      <c r="F35" s="154" t="str">
        <f ca="1">I2Ext!C35</f>
        <v/>
      </c>
      <c r="G35" s="154" t="str">
        <f ca="1">I3Ext!C35</f>
        <v/>
      </c>
      <c r="H35" s="238"/>
      <c r="I35" s="238"/>
      <c r="J35" s="239"/>
      <c r="K35" s="258" t="str">
        <f t="shared" ca="1" si="0"/>
        <v/>
      </c>
      <c r="L35" s="261" t="str">
        <f ca="1">I1SA!C35</f>
        <v/>
      </c>
      <c r="M35" s="260" t="str">
        <f ca="1">I2SA!C35</f>
        <v/>
      </c>
      <c r="N35" s="155" t="str">
        <f t="shared" ca="1" si="1"/>
        <v/>
      </c>
      <c r="O35" s="193" t="str">
        <f t="shared" ca="1" si="2"/>
        <v/>
      </c>
      <c r="P35" s="187"/>
    </row>
    <row r="36" spans="1:25" s="149" customFormat="1" ht="24.95" customHeight="1" x14ac:dyDescent="0.2">
      <c r="A36" s="175">
        <v>33</v>
      </c>
      <c r="B36" s="150"/>
      <c r="C36" s="235" t="str">
        <f ca="1">I1KA!C36</f>
        <v/>
      </c>
      <c r="D36" s="232" t="str">
        <f ca="1">I2KA!C36</f>
        <v/>
      </c>
      <c r="E36" s="167" t="str">
        <f ca="1">I1Ext!C36</f>
        <v/>
      </c>
      <c r="F36" s="154" t="str">
        <f ca="1">I2Ext!C36</f>
        <v/>
      </c>
      <c r="G36" s="154" t="str">
        <f ca="1">I3Ext!C36</f>
        <v/>
      </c>
      <c r="H36" s="238"/>
      <c r="I36" s="238"/>
      <c r="J36" s="239"/>
      <c r="K36" s="258" t="str">
        <f t="shared" ca="1" si="0"/>
        <v/>
      </c>
      <c r="L36" s="261" t="str">
        <f ca="1">I1SA!C36</f>
        <v/>
      </c>
      <c r="M36" s="260" t="str">
        <f ca="1">I2SA!C36</f>
        <v/>
      </c>
      <c r="N36" s="155" t="str">
        <f t="shared" ca="1" si="1"/>
        <v/>
      </c>
      <c r="O36" s="193" t="str">
        <f t="shared" ca="1" si="2"/>
        <v/>
      </c>
      <c r="P36" s="187"/>
    </row>
    <row r="37" spans="1:25" s="149" customFormat="1" ht="24.95" customHeight="1" x14ac:dyDescent="0.2">
      <c r="A37" s="175">
        <v>34</v>
      </c>
      <c r="B37" s="150"/>
      <c r="C37" s="235" t="str">
        <f ca="1">I1KA!C37</f>
        <v/>
      </c>
      <c r="D37" s="232" t="str">
        <f ca="1">I2KA!C37</f>
        <v/>
      </c>
      <c r="E37" s="167" t="str">
        <f ca="1">I1Ext!C37</f>
        <v/>
      </c>
      <c r="F37" s="154" t="str">
        <f ca="1">I2Ext!C37</f>
        <v/>
      </c>
      <c r="G37" s="154" t="str">
        <f ca="1">I3Ext!C37</f>
        <v/>
      </c>
      <c r="H37" s="238"/>
      <c r="I37" s="238"/>
      <c r="J37" s="239"/>
      <c r="K37" s="258" t="str">
        <f t="shared" ca="1" si="0"/>
        <v/>
      </c>
      <c r="L37" s="261" t="str">
        <f ca="1">I1SA!C37</f>
        <v/>
      </c>
      <c r="M37" s="260" t="str">
        <f ca="1">I2SA!C37</f>
        <v/>
      </c>
      <c r="N37" s="155" t="str">
        <f t="shared" ca="1" si="1"/>
        <v/>
      </c>
      <c r="O37" s="193" t="str">
        <f t="shared" ca="1" si="2"/>
        <v/>
      </c>
      <c r="P37" s="187"/>
    </row>
    <row r="38" spans="1:25" s="149" customFormat="1" ht="24.95" customHeight="1" thickBot="1" x14ac:dyDescent="0.25">
      <c r="A38" s="176">
        <v>35</v>
      </c>
      <c r="B38" s="152"/>
      <c r="C38" s="236" t="str">
        <f ca="1">I1KA!C38</f>
        <v/>
      </c>
      <c r="D38" s="233" t="str">
        <f ca="1">I2KA!C38</f>
        <v/>
      </c>
      <c r="E38" s="229" t="str">
        <f ca="1">I1Ext!C38</f>
        <v/>
      </c>
      <c r="F38" s="230" t="str">
        <f ca="1">I2Ext!C38</f>
        <v/>
      </c>
      <c r="G38" s="162" t="str">
        <f ca="1">I3Ext!C38</f>
        <v/>
      </c>
      <c r="H38" s="240"/>
      <c r="I38" s="240"/>
      <c r="J38" s="241"/>
      <c r="K38" s="262" t="str">
        <f t="shared" ca="1" si="0"/>
        <v/>
      </c>
      <c r="L38" s="263" t="str">
        <f ca="1">I1SA!C38</f>
        <v/>
      </c>
      <c r="M38" s="260" t="str">
        <f ca="1">I2SA!C38</f>
        <v/>
      </c>
      <c r="N38" s="155" t="str">
        <f t="shared" ca="1" si="1"/>
        <v/>
      </c>
      <c r="O38" s="194" t="str">
        <f t="shared" ca="1" si="2"/>
        <v/>
      </c>
      <c r="P38" s="187"/>
    </row>
    <row r="39" spans="1:25" ht="21" customHeight="1" thickBot="1" x14ac:dyDescent="0.25">
      <c r="A39" s="172"/>
      <c r="B39" s="190" t="s">
        <v>31</v>
      </c>
      <c r="C39" s="450">
        <v>2</v>
      </c>
      <c r="D39" s="451">
        <v>2</v>
      </c>
      <c r="E39" s="451">
        <v>1</v>
      </c>
      <c r="F39" s="451">
        <v>1</v>
      </c>
      <c r="G39" s="451">
        <v>1</v>
      </c>
      <c r="H39" s="451">
        <v>1</v>
      </c>
      <c r="I39" s="451">
        <v>1</v>
      </c>
      <c r="J39" s="451">
        <v>1</v>
      </c>
      <c r="K39" s="256"/>
      <c r="L39" s="159"/>
      <c r="M39" s="189"/>
      <c r="N39" s="191"/>
      <c r="O39" s="189"/>
      <c r="P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29</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1" priority="3" stopIfTrue="1">
      <formula>$H$3="Punkte"</formula>
    </cfRule>
    <cfRule type="expression" dxfId="70" priority="4" stopIfTrue="1">
      <formula>$H$3="BE"</formula>
    </cfRule>
  </conditionalFormatting>
  <conditionalFormatting sqref="F43:F58">
    <cfRule type="cellIs" dxfId="69" priority="2" operator="equal">
      <formula>"ALARM"</formula>
    </cfRule>
  </conditionalFormatting>
  <conditionalFormatting sqref="B43:B58">
    <cfRule type="cellIs" dxfId="68"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30</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7" priority="3" stopIfTrue="1">
      <formula>$H$3="Punkte"</formula>
    </cfRule>
    <cfRule type="expression" dxfId="66" priority="4" stopIfTrue="1">
      <formula>$H$3="BE"</formula>
    </cfRule>
  </conditionalFormatting>
  <conditionalFormatting sqref="F43:F58">
    <cfRule type="cellIs" dxfId="65" priority="2" operator="equal">
      <formula>"ALARM"</formula>
    </cfRule>
  </conditionalFormatting>
  <conditionalFormatting sqref="B43:B58">
    <cfRule type="cellIs" dxfId="6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114</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3" priority="3" stopIfTrue="1">
      <formula>$H$3="Punkte"</formula>
    </cfRule>
    <cfRule type="expression" dxfId="62" priority="4" stopIfTrue="1">
      <formula>$H$3="BE"</formula>
    </cfRule>
  </conditionalFormatting>
  <conditionalFormatting sqref="F43:F58">
    <cfRule type="cellIs" dxfId="61" priority="2" operator="equal">
      <formula>"ALARM"</formula>
    </cfRule>
  </conditionalFormatting>
  <conditionalFormatting sqref="B43:B58">
    <cfRule type="cellIs" dxfId="60"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workbookViewId="0">
      <selection activeCell="M5"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115</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9" priority="3" stopIfTrue="1">
      <formula>$H$3="Punkte"</formula>
    </cfRule>
    <cfRule type="expression" dxfId="58" priority="4" stopIfTrue="1">
      <formula>$H$3="BE"</formula>
    </cfRule>
  </conditionalFormatting>
  <conditionalFormatting sqref="F43:F58">
    <cfRule type="cellIs" dxfId="57" priority="2" operator="equal">
      <formula>"ALARM"</formula>
    </cfRule>
  </conditionalFormatting>
  <conditionalFormatting sqref="B43:B58">
    <cfRule type="cellIs" dxfId="5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Normal="10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116</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5" priority="3" stopIfTrue="1">
      <formula>$H$3="Punkte"</formula>
    </cfRule>
    <cfRule type="expression" dxfId="54" priority="4" stopIfTrue="1">
      <formula>$H$3="BE"</formula>
    </cfRule>
  </conditionalFormatting>
  <conditionalFormatting sqref="F43:F58">
    <cfRule type="cellIs" dxfId="53" priority="2" operator="equal">
      <formula>"ALARM"</formula>
    </cfRule>
  </conditionalFormatting>
  <conditionalFormatting sqref="B43:B58">
    <cfRule type="cellIs" dxfId="5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117</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1" priority="3" stopIfTrue="1">
      <formula>$H$3="Punkte"</formula>
    </cfRule>
    <cfRule type="expression" dxfId="50" priority="4" stopIfTrue="1">
      <formula>$H$3="BE"</formula>
    </cfRule>
  </conditionalFormatting>
  <conditionalFormatting sqref="F43:F58">
    <cfRule type="cellIs" dxfId="49" priority="2" operator="equal">
      <formula>"ALARM"</formula>
    </cfRule>
  </conditionalFormatting>
  <conditionalFormatting sqref="B43:B58">
    <cfRule type="cellIs" dxfId="48"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118</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7" priority="3" stopIfTrue="1">
      <formula>$H$3="Punkte"</formula>
    </cfRule>
    <cfRule type="expression" dxfId="46" priority="4" stopIfTrue="1">
      <formula>$H$3="BE"</formula>
    </cfRule>
  </conditionalFormatting>
  <conditionalFormatting sqref="F43:F58">
    <cfRule type="cellIs" dxfId="45" priority="2" operator="equal">
      <formula>"ALARM"</formula>
    </cfRule>
  </conditionalFormatting>
  <conditionalFormatting sqref="B43:B58">
    <cfRule type="cellIs" dxfId="44"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workbookViewId="0">
      <selection activeCell="E51" sqref="E51"/>
    </sheetView>
  </sheetViews>
  <sheetFormatPr baseColWidth="10" defaultRowHeight="12.75" x14ac:dyDescent="0.2"/>
  <cols>
    <col min="1" max="1" width="4.42578125" style="1" customWidth="1"/>
    <col min="2" max="2" width="22.140625" style="1" bestFit="1" customWidth="1"/>
    <col min="3" max="9" width="7.7109375" style="1" customWidth="1"/>
    <col min="10" max="10" width="8.7109375" style="1" customWidth="1"/>
    <col min="11" max="12" width="7.7109375" style="1" customWidth="1"/>
    <col min="13" max="17" width="11.42578125" style="1" hidden="1" customWidth="1"/>
    <col min="18" max="16384" width="11.42578125" style="1"/>
  </cols>
  <sheetData>
    <row r="1" spans="1:17" ht="18" x14ac:dyDescent="0.25">
      <c r="B1" s="31" t="str">
        <f>"Abschlussprüfung 2017/18"</f>
        <v>Abschlussprüfung 2017/18</v>
      </c>
      <c r="C1" s="31"/>
      <c r="D1" s="31"/>
      <c r="E1" s="32"/>
      <c r="F1" s="435"/>
      <c r="I1" s="447"/>
      <c r="J1" s="449"/>
    </row>
    <row r="2" spans="1:17" x14ac:dyDescent="0.2">
      <c r="B2" s="1" t="str">
        <f>"Fach: "&amp;'1. Halbjahr'!E1</f>
        <v xml:space="preserve">Fach: </v>
      </c>
      <c r="E2" s="487"/>
      <c r="F2" s="487"/>
      <c r="G2" s="487"/>
      <c r="H2" s="487"/>
      <c r="I2" s="448"/>
    </row>
    <row r="3" spans="1:17" x14ac:dyDescent="0.2">
      <c r="B3" s="1" t="str">
        <f xml:space="preserve"> "Klasse: "&amp;'1. Halbjahr'!B1</f>
        <v xml:space="preserve">Klasse: </v>
      </c>
      <c r="E3" s="257" t="str">
        <f>"Lehrer/-in: "&amp;'1. Halbjahr'!K1</f>
        <v xml:space="preserve">Lehrer/-in: </v>
      </c>
      <c r="F3" s="257"/>
      <c r="G3" s="257"/>
      <c r="H3" s="257"/>
      <c r="M3" s="30" t="s">
        <v>106</v>
      </c>
      <c r="N3" s="29"/>
      <c r="O3" s="196" t="s">
        <v>107</v>
      </c>
      <c r="P3" s="52"/>
      <c r="Q3" s="196" t="s">
        <v>108</v>
      </c>
    </row>
    <row r="4" spans="1:17" ht="13.5" thickBot="1" x14ac:dyDescent="0.25">
      <c r="C4" s="406"/>
      <c r="D4" s="406"/>
      <c r="E4" s="424"/>
      <c r="F4" s="424"/>
      <c r="G4" s="424"/>
      <c r="H4" s="424"/>
      <c r="I4" s="406"/>
      <c r="J4" s="406"/>
      <c r="K4" s="406"/>
      <c r="M4" s="199"/>
      <c r="N4" s="29"/>
      <c r="O4" s="197">
        <f>IF($E$43="M", $I$44+12*(100-$I$44)/12, $I$44+30*(100-$I$44)/30)</f>
        <v>100</v>
      </c>
      <c r="P4" s="52"/>
      <c r="Q4" s="52">
        <v>100</v>
      </c>
    </row>
    <row r="5" spans="1:17" ht="13.5" thickBot="1" x14ac:dyDescent="0.25">
      <c r="A5" s="2"/>
      <c r="B5" s="417"/>
      <c r="C5" s="485" t="s">
        <v>105</v>
      </c>
      <c r="D5" s="485"/>
      <c r="E5" s="488"/>
      <c r="F5" s="485" t="s">
        <v>33</v>
      </c>
      <c r="G5" s="486"/>
      <c r="H5" s="429" t="s">
        <v>34</v>
      </c>
      <c r="I5" s="436" t="s">
        <v>156</v>
      </c>
      <c r="J5" s="437" t="s">
        <v>42</v>
      </c>
      <c r="K5" s="438" t="s">
        <v>12</v>
      </c>
      <c r="M5" s="199"/>
      <c r="N5" s="29"/>
      <c r="O5" s="197">
        <f>IF($E$43="M", $I$44+11*(100-$I$44)/12, $I$44+27*(100-$I$44)/30)</f>
        <v>95</v>
      </c>
      <c r="P5" s="206">
        <v>15</v>
      </c>
      <c r="Q5" s="198">
        <f>(O5-100*SUM($D$50:D50)/$E$44)</f>
        <v>95</v>
      </c>
    </row>
    <row r="6" spans="1:17" x14ac:dyDescent="0.2">
      <c r="A6" s="3">
        <f>I1SA!A4</f>
        <v>1</v>
      </c>
      <c r="B6" s="418" t="str">
        <f>IF('1. Halbjahr'!B4&lt;&gt;"", '1. Halbjahr'!B4, "")</f>
        <v/>
      </c>
      <c r="C6" s="427"/>
      <c r="D6" s="64"/>
      <c r="E6" s="428"/>
      <c r="F6" s="426" t="str">
        <f>IF(APRohpunkte!AE4="",'Eingabe Abitur'!Q11,APRohpunkte!AE4)</f>
        <v/>
      </c>
      <c r="G6" s="42" t="str">
        <f t="shared" ref="G6:G40" ca="1" si="0">IF(F6="","",IF($E$42="BE",INDIRECT("P"&amp;MATCH(M6,$Q$4:$Q$20,-1)+4),F6))</f>
        <v/>
      </c>
      <c r="H6" s="425"/>
      <c r="I6" s="433" t="str">
        <f ca="1">IF(G6="","",(G6*2+H6)/(2+COUNT(H6)))</f>
        <v/>
      </c>
      <c r="J6" s="439" t="str">
        <f ca="1">IF(I6="","", IF(I6&lt;1, 0,ROUND(I6,0)))</f>
        <v/>
      </c>
      <c r="K6" s="440" t="str">
        <f ca="1">IF(J6="","",((SUM(C6:E6)+IF(diNo!D4="FOS",3,2)*J6))/(COUNT(C6:E6)+IF(diNo!D4="FOS",3,2)))</f>
        <v/>
      </c>
      <c r="M6" s="199" t="str">
        <f>IF(F6="","",IF($E$42="BE", 100*ROUNDUP(F6, 0) / $E$44))</f>
        <v/>
      </c>
      <c r="N6" s="29"/>
      <c r="O6" s="197">
        <f>IF($E$43="M", $I$44+10*(100-$I$44)/12,$I$44+24*(100-$I$44)/30)</f>
        <v>90</v>
      </c>
      <c r="P6" s="206">
        <v>14</v>
      </c>
      <c r="Q6" s="198">
        <f>(O6-100*SUM($D$50:D51)/$E$44)</f>
        <v>90</v>
      </c>
    </row>
    <row r="7" spans="1:17" x14ac:dyDescent="0.2">
      <c r="A7" s="3">
        <f>I1SA!A5</f>
        <v>2</v>
      </c>
      <c r="B7" s="418" t="str">
        <f>IF('1. Halbjahr'!B5&lt;&gt;"", '1. Halbjahr'!B5, "")</f>
        <v/>
      </c>
      <c r="C7" s="415"/>
      <c r="D7" s="44"/>
      <c r="E7" s="422"/>
      <c r="F7" s="420" t="str">
        <f>IF(APRohpunkte!AE5="",'Eingabe Abitur'!Q13,APRohpunkte!AE5)</f>
        <v/>
      </c>
      <c r="G7" s="3" t="str">
        <f t="shared" ca="1" si="0"/>
        <v/>
      </c>
      <c r="H7" s="407"/>
      <c r="I7" s="430" t="str">
        <f t="shared" ref="I7:I40" ca="1" si="1">IF(G7="","",(G7*2+H7)/(2+COUNT(H7)))</f>
        <v/>
      </c>
      <c r="J7" s="439" t="str">
        <f t="shared" ref="J7:J40" ca="1" si="2">IF(I7="","", IF(I7&lt;1, 0,ROUND(I7,0)))</f>
        <v/>
      </c>
      <c r="K7" s="440" t="str">
        <f ca="1">IF(J7="","",((SUM(C7:E7)+IF(diNo!D5="FOS",3,2)*J7))/(COUNT(C7:E7)+IF(diNo!D5="FOS",3,2)))</f>
        <v/>
      </c>
      <c r="M7" s="199" t="str">
        <f t="shared" ref="M7:M40" si="3">IF(F7="","",IF($E$42="BE", 100*ROUNDUP(F7, 0) / $E$44))</f>
        <v/>
      </c>
      <c r="N7" s="29"/>
      <c r="O7" s="197">
        <f>IF($E$43="M", $I$44+9*(100-$I$44)/12, $I$44+21*(100-$I$44)/30)</f>
        <v>85</v>
      </c>
      <c r="P7" s="206">
        <v>13</v>
      </c>
      <c r="Q7" s="198">
        <f>(O7-100*SUM($D$50:D52)/$E$44)</f>
        <v>85</v>
      </c>
    </row>
    <row r="8" spans="1:17" x14ac:dyDescent="0.2">
      <c r="A8" s="3">
        <f>I1SA!A6</f>
        <v>3</v>
      </c>
      <c r="B8" s="418" t="str">
        <f>IF('1. Halbjahr'!B6&lt;&gt;"", '1. Halbjahr'!B6, "")</f>
        <v/>
      </c>
      <c r="C8" s="415"/>
      <c r="D8" s="44"/>
      <c r="E8" s="422"/>
      <c r="F8" s="420" t="str">
        <f>IF(APRohpunkte!AE6="",'Eingabe Abitur'!Q15,APRohpunkte!AE6)</f>
        <v/>
      </c>
      <c r="G8" s="3" t="str">
        <f t="shared" ca="1" si="0"/>
        <v/>
      </c>
      <c r="H8" s="407"/>
      <c r="I8" s="431" t="str">
        <f t="shared" ca="1" si="1"/>
        <v/>
      </c>
      <c r="J8" s="439" t="str">
        <f t="shared" ca="1" si="2"/>
        <v/>
      </c>
      <c r="K8" s="440" t="str">
        <f ca="1">IF(J8="","",((SUM(C8:E8)+IF(diNo!D6="FOS",3,2)*J8))/(COUNT(C8:E8)+IF(diNo!D6="FOS",3,2)))</f>
        <v/>
      </c>
      <c r="M8" s="199" t="str">
        <f t="shared" si="3"/>
        <v/>
      </c>
      <c r="N8" s="29"/>
      <c r="O8" s="197">
        <f>IF($E$43="M", $I$44+8*(100-$I$44)/12,$I$44+18*(100-$I$44)/30)</f>
        <v>80</v>
      </c>
      <c r="P8" s="206">
        <v>12</v>
      </c>
      <c r="Q8" s="198">
        <f>(O8-100*SUM($D$50:D53)/$E$44)</f>
        <v>80</v>
      </c>
    </row>
    <row r="9" spans="1:17" x14ac:dyDescent="0.2">
      <c r="A9" s="3">
        <f>I1SA!A7</f>
        <v>4</v>
      </c>
      <c r="B9" s="418" t="str">
        <f>IF('1. Halbjahr'!B7&lt;&gt;"", '1. Halbjahr'!B7, "")</f>
        <v/>
      </c>
      <c r="C9" s="415"/>
      <c r="D9" s="44"/>
      <c r="E9" s="422"/>
      <c r="F9" s="420" t="str">
        <f>IF(APRohpunkte!AE7="",'Eingabe Abitur'!Q17,APRohpunkte!AE7)</f>
        <v/>
      </c>
      <c r="G9" s="3" t="str">
        <f t="shared" ca="1" si="0"/>
        <v/>
      </c>
      <c r="H9" s="407"/>
      <c r="I9" s="434" t="str">
        <f t="shared" ca="1" si="1"/>
        <v/>
      </c>
      <c r="J9" s="439" t="str">
        <f t="shared" ca="1" si="2"/>
        <v/>
      </c>
      <c r="K9" s="440" t="str">
        <f ca="1">IF(J9="","",((SUM(C9:E9)+IF(diNo!D7="FOS",3,2)*J9))/(COUNT(C9:E9)+IF(diNo!D7="FOS",3,2)))</f>
        <v/>
      </c>
      <c r="M9" s="199" t="str">
        <f t="shared" si="3"/>
        <v/>
      </c>
      <c r="N9" s="29"/>
      <c r="O9" s="197">
        <f>IF($E$43="M", $I$44+7*(100-$I$44)/12, $I$44+15*(100-$I$44)/30)</f>
        <v>75</v>
      </c>
      <c r="P9" s="206">
        <v>11</v>
      </c>
      <c r="Q9" s="198">
        <f>(O9-100*SUM($D$50:D54)/$E$44)</f>
        <v>75</v>
      </c>
    </row>
    <row r="10" spans="1:17" x14ac:dyDescent="0.2">
      <c r="A10" s="3">
        <f>I1SA!A8</f>
        <v>5</v>
      </c>
      <c r="B10" s="418" t="str">
        <f>IF('1. Halbjahr'!B8&lt;&gt;"", '1. Halbjahr'!B8, "")</f>
        <v/>
      </c>
      <c r="C10" s="415"/>
      <c r="D10" s="44"/>
      <c r="E10" s="422"/>
      <c r="F10" s="420" t="str">
        <f>IF(APRohpunkte!AE8="",'Eingabe Abitur'!Q19,APRohpunkte!AE8)</f>
        <v/>
      </c>
      <c r="G10" s="3" t="str">
        <f t="shared" ca="1" si="0"/>
        <v/>
      </c>
      <c r="H10" s="407"/>
      <c r="I10" s="430" t="str">
        <f t="shared" ca="1" si="1"/>
        <v/>
      </c>
      <c r="J10" s="439" t="str">
        <f t="shared" ca="1" si="2"/>
        <v/>
      </c>
      <c r="K10" s="440" t="str">
        <f ca="1">IF(J10="","",((SUM(C10:E10)+IF(diNo!D8="FOS",3,2)*J10))/(COUNT(C10:E10)+IF(diNo!D8="FOS",3,2)))</f>
        <v/>
      </c>
      <c r="M10" s="199" t="str">
        <f t="shared" si="3"/>
        <v/>
      </c>
      <c r="N10" s="29"/>
      <c r="O10" s="197">
        <f>IF($E$43="M", $I$44+6*(100-$I$44)/12, $I$44+12*(100-$I$44)/30)</f>
        <v>70</v>
      </c>
      <c r="P10" s="206">
        <v>10</v>
      </c>
      <c r="Q10" s="198">
        <f>(O10-100*SUM($D$50:D55)/$E$44)</f>
        <v>70</v>
      </c>
    </row>
    <row r="11" spans="1:17" x14ac:dyDescent="0.2">
      <c r="A11" s="3">
        <f>I1SA!A9</f>
        <v>6</v>
      </c>
      <c r="B11" s="418" t="str">
        <f>IF('1. Halbjahr'!B9&lt;&gt;"", '1. Halbjahr'!B9, "")</f>
        <v/>
      </c>
      <c r="C11" s="415"/>
      <c r="D11" s="44"/>
      <c r="E11" s="422"/>
      <c r="F11" s="420" t="str">
        <f>IF(APRohpunkte!AE9="",'Eingabe Abitur'!Q21,APRohpunkte!AE9)</f>
        <v/>
      </c>
      <c r="G11" s="3" t="str">
        <f t="shared" ca="1" si="0"/>
        <v/>
      </c>
      <c r="H11" s="407"/>
      <c r="I11" s="431" t="str">
        <f t="shared" ca="1" si="1"/>
        <v/>
      </c>
      <c r="J11" s="439" t="str">
        <f t="shared" ca="1" si="2"/>
        <v/>
      </c>
      <c r="K11" s="440" t="str">
        <f ca="1">IF(J11="","",((SUM(C11:E11)+IF(diNo!D9="FOS",3,2)*J11))/(COUNT(C11:E11)+IF(diNo!D9="FOS",3,2)))</f>
        <v/>
      </c>
      <c r="M11" s="199" t="str">
        <f t="shared" si="3"/>
        <v/>
      </c>
      <c r="N11" s="29"/>
      <c r="O11" s="197">
        <f>IF($E$43="M", $I$44+5*(100-$I$44)/12, $I$44+10*(100-$I$44)/30)</f>
        <v>65</v>
      </c>
      <c r="P11" s="206">
        <v>9</v>
      </c>
      <c r="Q11" s="198">
        <f>(O11-100*SUM($D$50:D56)/$E$44)</f>
        <v>65</v>
      </c>
    </row>
    <row r="12" spans="1:17" x14ac:dyDescent="0.2">
      <c r="A12" s="3">
        <f>I1SA!A10</f>
        <v>7</v>
      </c>
      <c r="B12" s="418" t="str">
        <f>IF('1. Halbjahr'!B10&lt;&gt;"", '1. Halbjahr'!B10, "")</f>
        <v/>
      </c>
      <c r="C12" s="415"/>
      <c r="D12" s="44"/>
      <c r="E12" s="422"/>
      <c r="F12" s="420" t="str">
        <f>IF(APRohpunkte!AE10="",'Eingabe Abitur'!Q23,APRohpunkte!AE10)</f>
        <v/>
      </c>
      <c r="G12" s="3" t="str">
        <f t="shared" ca="1" si="0"/>
        <v/>
      </c>
      <c r="H12" s="407"/>
      <c r="I12" s="431" t="str">
        <f t="shared" ca="1" si="1"/>
        <v/>
      </c>
      <c r="J12" s="439" t="str">
        <f t="shared" ca="1" si="2"/>
        <v/>
      </c>
      <c r="K12" s="440" t="str">
        <f ca="1">IF(J12="","",((SUM(C12:E12)+IF(diNo!D10="FOS",3,2)*J12))/(COUNT(C12:E12)+IF(diNo!D10="FOS",3,2)))</f>
        <v/>
      </c>
      <c r="M12" s="199" t="str">
        <f t="shared" si="3"/>
        <v/>
      </c>
      <c r="N12" s="29"/>
      <c r="O12" s="197">
        <f>IF($E$43="M", $I$44+4*(100-$I$44)/12, $I$44+8*(100-$I$44)/30)</f>
        <v>60</v>
      </c>
      <c r="P12" s="206">
        <v>8</v>
      </c>
      <c r="Q12" s="198">
        <f>(O12-100*SUM($D$50:D57)/$E$44)</f>
        <v>60</v>
      </c>
    </row>
    <row r="13" spans="1:17" x14ac:dyDescent="0.2">
      <c r="A13" s="3">
        <f>I1SA!A11</f>
        <v>8</v>
      </c>
      <c r="B13" s="418" t="str">
        <f>IF('1. Halbjahr'!B11&lt;&gt;"", '1. Halbjahr'!B11, "")</f>
        <v/>
      </c>
      <c r="C13" s="415"/>
      <c r="D13" s="44"/>
      <c r="E13" s="422"/>
      <c r="F13" s="420" t="str">
        <f>IF(APRohpunkte!AE11="",'Eingabe Abitur'!Q25,APRohpunkte!AE11)</f>
        <v/>
      </c>
      <c r="G13" s="3" t="str">
        <f t="shared" ca="1" si="0"/>
        <v/>
      </c>
      <c r="H13" s="407"/>
      <c r="I13" s="434" t="str">
        <f t="shared" ca="1" si="1"/>
        <v/>
      </c>
      <c r="J13" s="439" t="str">
        <f t="shared" ca="1" si="2"/>
        <v/>
      </c>
      <c r="K13" s="440" t="str">
        <f ca="1">IF(J13="","",((SUM(C13:E13)+IF(diNo!D11="FOS",3,2)*J13))/(COUNT(C13:E13)+IF(diNo!D11="FOS",3,2)))</f>
        <v/>
      </c>
      <c r="M13" s="199" t="str">
        <f t="shared" si="3"/>
        <v/>
      </c>
      <c r="N13" s="29"/>
      <c r="O13" s="197">
        <f>IF($E$43="M", $I$44+3*(100-$I$44)/12, $I$44+6*(100-$I$44)/30)</f>
        <v>55</v>
      </c>
      <c r="P13" s="206">
        <v>7</v>
      </c>
      <c r="Q13" s="198">
        <f>(O13-100*SUM($D$50:D58)/$E$44)</f>
        <v>55</v>
      </c>
    </row>
    <row r="14" spans="1:17" x14ac:dyDescent="0.2">
      <c r="A14" s="3">
        <f>I1SA!A12</f>
        <v>9</v>
      </c>
      <c r="B14" s="418" t="str">
        <f>IF('1. Halbjahr'!B12&lt;&gt;"", '1. Halbjahr'!B12, "")</f>
        <v/>
      </c>
      <c r="C14" s="415"/>
      <c r="D14" s="44"/>
      <c r="E14" s="422"/>
      <c r="F14" s="420" t="str">
        <f>IF(APRohpunkte!AE12="",'Eingabe Abitur'!Q27,APRohpunkte!AE12)</f>
        <v/>
      </c>
      <c r="G14" s="3" t="str">
        <f t="shared" ca="1" si="0"/>
        <v/>
      </c>
      <c r="H14" s="407"/>
      <c r="I14" s="430" t="str">
        <f t="shared" ca="1" si="1"/>
        <v/>
      </c>
      <c r="J14" s="439" t="str">
        <f t="shared" ca="1" si="2"/>
        <v/>
      </c>
      <c r="K14" s="440" t="str">
        <f ca="1">IF(J14="","",((SUM(C14:E14)+IF(diNo!D12="FOS",3,2)*J14))/(COUNT(C14:E14)+IF(diNo!D12="FOS",3,2)))</f>
        <v/>
      </c>
      <c r="M14" s="199" t="str">
        <f t="shared" si="3"/>
        <v/>
      </c>
      <c r="N14" s="29"/>
      <c r="O14" s="197">
        <f>IF($E$43="M", $I$44+2*(100-$I$44)/12, $I$44+4*(100-$I$44)/30)</f>
        <v>50</v>
      </c>
      <c r="P14" s="206">
        <v>6</v>
      </c>
      <c r="Q14" s="198">
        <f>(O14-100*SUM($D$50:D59)/$E$44)</f>
        <v>50</v>
      </c>
    </row>
    <row r="15" spans="1:17" x14ac:dyDescent="0.2">
      <c r="A15" s="3">
        <f>I1SA!A13</f>
        <v>10</v>
      </c>
      <c r="B15" s="418" t="str">
        <f>IF('1. Halbjahr'!B13&lt;&gt;"", '1. Halbjahr'!B13, "")</f>
        <v/>
      </c>
      <c r="C15" s="415"/>
      <c r="D15" s="44"/>
      <c r="E15" s="422"/>
      <c r="F15" s="420" t="str">
        <f>IF(APRohpunkte!AE13="",'Eingabe Abitur'!Q29,APRohpunkte!AE13)</f>
        <v/>
      </c>
      <c r="G15" s="3" t="str">
        <f t="shared" ca="1" si="0"/>
        <v/>
      </c>
      <c r="H15" s="407"/>
      <c r="I15" s="431" t="str">
        <f t="shared" ca="1" si="1"/>
        <v/>
      </c>
      <c r="J15" s="439" t="str">
        <f t="shared" ca="1" si="2"/>
        <v/>
      </c>
      <c r="K15" s="440" t="str">
        <f ca="1">IF(J15="","",((SUM(C15:E15)+IF(diNo!D13="FOS",3,2)*J15))/(COUNT(C15:E15)+IF(diNo!D13="FOS",3,2)))</f>
        <v/>
      </c>
      <c r="M15" s="199" t="str">
        <f t="shared" si="3"/>
        <v/>
      </c>
      <c r="N15" s="52"/>
      <c r="O15" s="197">
        <f>IF($E$43="M",$I$44+1*(100-$I$44)/12, $I$44+2*(100-$I$44)/30)</f>
        <v>45</v>
      </c>
      <c r="P15" s="206">
        <v>5</v>
      </c>
      <c r="Q15" s="198">
        <f>(O15-100*SUM($D$50:D60)/$E$44)</f>
        <v>45</v>
      </c>
    </row>
    <row r="16" spans="1:17" x14ac:dyDescent="0.2">
      <c r="A16" s="3">
        <f>I1SA!A14</f>
        <v>11</v>
      </c>
      <c r="B16" s="418" t="str">
        <f>IF('1. Halbjahr'!B14&lt;&gt;"", '1. Halbjahr'!B14, "")</f>
        <v/>
      </c>
      <c r="C16" s="415"/>
      <c r="D16" s="44"/>
      <c r="E16" s="422"/>
      <c r="F16" s="420" t="str">
        <f>IF(APRohpunkte!AE14="",'Eingabe Abitur'!Q31,APRohpunkte!AE14)</f>
        <v/>
      </c>
      <c r="G16" s="3" t="str">
        <f t="shared" ca="1" si="0"/>
        <v/>
      </c>
      <c r="H16" s="407"/>
      <c r="I16" s="434" t="str">
        <f t="shared" ca="1" si="1"/>
        <v/>
      </c>
      <c r="J16" s="439" t="str">
        <f t="shared" ca="1" si="2"/>
        <v/>
      </c>
      <c r="K16" s="440" t="str">
        <f ca="1">IF(J16="","",((SUM(C16:E16)+IF(diNo!D14="FOS",3,2)*J16))/(COUNT(C16:E16)+IF(diNo!D14="FOS",3,2)))</f>
        <v/>
      </c>
      <c r="M16" s="199" t="str">
        <f t="shared" si="3"/>
        <v/>
      </c>
      <c r="N16" s="52"/>
      <c r="O16" s="197">
        <f>$I$44</f>
        <v>40</v>
      </c>
      <c r="P16" s="206">
        <v>4</v>
      </c>
      <c r="Q16" s="198">
        <f>(O16-100*SUM($D$50:D61)/$E$44)</f>
        <v>40</v>
      </c>
    </row>
    <row r="17" spans="1:17" x14ac:dyDescent="0.2">
      <c r="A17" s="3">
        <f>I1SA!A15</f>
        <v>12</v>
      </c>
      <c r="B17" s="418" t="str">
        <f>IF('1. Halbjahr'!B15&lt;&gt;"", '1. Halbjahr'!B15, "")</f>
        <v/>
      </c>
      <c r="C17" s="415"/>
      <c r="D17" s="44"/>
      <c r="E17" s="422"/>
      <c r="F17" s="420" t="str">
        <f>IF(APRohpunkte!AE15="",'Eingabe Abitur'!Q33,APRohpunkte!AE15)</f>
        <v/>
      </c>
      <c r="G17" s="3" t="str">
        <f t="shared" ca="1" si="0"/>
        <v/>
      </c>
      <c r="H17" s="407"/>
      <c r="I17" s="430" t="str">
        <f t="shared" ca="1" si="1"/>
        <v/>
      </c>
      <c r="J17" s="439" t="str">
        <f t="shared" ca="1" si="2"/>
        <v/>
      </c>
      <c r="K17" s="440" t="str">
        <f ca="1">IF(J17="","",((SUM(C17:E17)+IF(diNo!D15="FOS",3,2)*J17))/(COUNT(C17:E17)+IF(diNo!D15="FOS",3,2)))</f>
        <v/>
      </c>
      <c r="M17" s="199" t="str">
        <f t="shared" si="3"/>
        <v/>
      </c>
      <c r="N17" s="52"/>
      <c r="O17" s="197">
        <f>($G$44+2*($I$44-$G$44)/3)</f>
        <v>33.333333333333336</v>
      </c>
      <c r="P17" s="206">
        <v>3</v>
      </c>
      <c r="Q17" s="198">
        <f>(O17-100*SUM($D$50:D62)/$E$44)</f>
        <v>33.333333333333336</v>
      </c>
    </row>
    <row r="18" spans="1:17" x14ac:dyDescent="0.2">
      <c r="A18" s="3">
        <f>I1SA!A16</f>
        <v>13</v>
      </c>
      <c r="B18" s="418" t="str">
        <f>IF('1. Halbjahr'!B16&lt;&gt;"", '1. Halbjahr'!B16, "")</f>
        <v/>
      </c>
      <c r="C18" s="415"/>
      <c r="D18" s="44"/>
      <c r="E18" s="422"/>
      <c r="F18" s="420" t="str">
        <f>IF(APRohpunkte!AE16="",'Eingabe Abitur'!Q35,APRohpunkte!AE16)</f>
        <v/>
      </c>
      <c r="G18" s="3" t="str">
        <f t="shared" ca="1" si="0"/>
        <v/>
      </c>
      <c r="H18" s="407"/>
      <c r="I18" s="430" t="str">
        <f t="shared" ca="1" si="1"/>
        <v/>
      </c>
      <c r="J18" s="439" t="str">
        <f t="shared" ca="1" si="2"/>
        <v/>
      </c>
      <c r="K18" s="440" t="str">
        <f ca="1">IF(J18="","",((SUM(C18:E18)+IF(diNo!D16="FOS",3,2)*J18))/(COUNT(C18:E18)+IF(diNo!D16="FOS",3,2)))</f>
        <v/>
      </c>
      <c r="M18" s="199" t="str">
        <f t="shared" si="3"/>
        <v/>
      </c>
      <c r="N18" s="52"/>
      <c r="O18" s="197">
        <f>($G$44+($I$44-$G$44)/3)</f>
        <v>26.666666666666668</v>
      </c>
      <c r="P18" s="206">
        <v>2</v>
      </c>
      <c r="Q18" s="198">
        <f>(O18-100*SUM($D$50:D63)/$E$44)</f>
        <v>26.666666666666668</v>
      </c>
    </row>
    <row r="19" spans="1:17" x14ac:dyDescent="0.2">
      <c r="A19" s="3">
        <f>I1SA!A17</f>
        <v>14</v>
      </c>
      <c r="B19" s="418" t="str">
        <f>IF('1. Halbjahr'!B17&lt;&gt;"", '1. Halbjahr'!B17, "")</f>
        <v/>
      </c>
      <c r="C19" s="415"/>
      <c r="D19" s="44"/>
      <c r="E19" s="422"/>
      <c r="F19" s="420" t="str">
        <f>IF(APRohpunkte!AE17="",'Eingabe Abitur'!Q37,APRohpunkte!AE17)</f>
        <v/>
      </c>
      <c r="G19" s="3" t="str">
        <f t="shared" ca="1" si="0"/>
        <v/>
      </c>
      <c r="H19" s="407"/>
      <c r="I19" s="430" t="str">
        <f t="shared" ca="1" si="1"/>
        <v/>
      </c>
      <c r="J19" s="439" t="str">
        <f t="shared" ca="1" si="2"/>
        <v/>
      </c>
      <c r="K19" s="440" t="str">
        <f ca="1">IF(J19="","",((SUM(C19:E19)+IF(diNo!D17="FOS",3,2)*J19))/(COUNT(C19:E19)+IF(diNo!D17="FOS",3,2)))</f>
        <v/>
      </c>
      <c r="M19" s="199" t="str">
        <f t="shared" si="3"/>
        <v/>
      </c>
      <c r="N19" s="52"/>
      <c r="O19" s="197">
        <f>$G$44-0.1</f>
        <v>19.899999999999999</v>
      </c>
      <c r="P19" s="206">
        <v>1</v>
      </c>
      <c r="Q19" s="198">
        <f>(O19-100*SUM($D$50:D64)/$E$44)</f>
        <v>19.899999999999999</v>
      </c>
    </row>
    <row r="20" spans="1:17" x14ac:dyDescent="0.2">
      <c r="A20" s="3">
        <f>I1SA!A18</f>
        <v>15</v>
      </c>
      <c r="B20" s="418" t="str">
        <f>IF('1. Halbjahr'!B18&lt;&gt;"", '1. Halbjahr'!B18, "")</f>
        <v/>
      </c>
      <c r="C20" s="415"/>
      <c r="D20" s="44"/>
      <c r="E20" s="422"/>
      <c r="F20" s="420" t="str">
        <f>IF(APRohpunkte!AE18="",'Eingabe Abitur'!Q39,APRohpunkte!AE18)</f>
        <v/>
      </c>
      <c r="G20" s="3" t="str">
        <f t="shared" ca="1" si="0"/>
        <v/>
      </c>
      <c r="H20" s="407"/>
      <c r="I20" s="431" t="str">
        <f t="shared" ca="1" si="1"/>
        <v/>
      </c>
      <c r="J20" s="439" t="str">
        <f t="shared" ca="1" si="2"/>
        <v/>
      </c>
      <c r="K20" s="440" t="str">
        <f ca="1">IF(J20="","",((SUM(C20:E20)+IF(diNo!D18="FOS",3,2)*J20))/(COUNT(C20:E20)+IF(diNo!D18="FOS",3,2)))</f>
        <v/>
      </c>
      <c r="M20" s="199" t="str">
        <f t="shared" si="3"/>
        <v/>
      </c>
      <c r="N20" s="52"/>
      <c r="O20" s="197">
        <v>0</v>
      </c>
      <c r="P20" s="206">
        <v>0</v>
      </c>
      <c r="Q20" s="52">
        <v>0</v>
      </c>
    </row>
    <row r="21" spans="1:17" ht="11.25" customHeight="1" x14ac:dyDescent="0.2">
      <c r="A21" s="3">
        <f>I1SA!A19</f>
        <v>16</v>
      </c>
      <c r="B21" s="418" t="str">
        <f>IF('1. Halbjahr'!B19&lt;&gt;"", '1. Halbjahr'!B19, "")</f>
        <v/>
      </c>
      <c r="C21" s="415"/>
      <c r="D21" s="44"/>
      <c r="E21" s="422"/>
      <c r="F21" s="420" t="str">
        <f>IF(APRohpunkte!AE19="",'Eingabe Abitur'!Q41,APRohpunkte!AE19)</f>
        <v/>
      </c>
      <c r="G21" s="3" t="str">
        <f t="shared" ca="1" si="0"/>
        <v/>
      </c>
      <c r="H21" s="407"/>
      <c r="I21" s="434" t="str">
        <f t="shared" ca="1" si="1"/>
        <v/>
      </c>
      <c r="J21" s="439" t="str">
        <f t="shared" ca="1" si="2"/>
        <v/>
      </c>
      <c r="K21" s="440" t="str">
        <f ca="1">IF(J21="","",((SUM(C21:E21)+IF(diNo!D19="FOS",3,2)*J21))/(COUNT(C21:E21)+IF(diNo!D19="FOS",3,2)))</f>
        <v/>
      </c>
      <c r="M21" s="199" t="str">
        <f t="shared" si="3"/>
        <v/>
      </c>
    </row>
    <row r="22" spans="1:17" x14ac:dyDescent="0.2">
      <c r="A22" s="3">
        <f>I1SA!A20</f>
        <v>17</v>
      </c>
      <c r="B22" s="418" t="str">
        <f>IF('1. Halbjahr'!B20&lt;&gt;"", '1. Halbjahr'!B20, "")</f>
        <v/>
      </c>
      <c r="C22" s="415"/>
      <c r="D22" s="44"/>
      <c r="E22" s="422"/>
      <c r="F22" s="420" t="str">
        <f>IF(APRohpunkte!AE20="",'Eingabe Abitur'!Q43,APRohpunkte!AE20)</f>
        <v/>
      </c>
      <c r="G22" s="3" t="str">
        <f t="shared" ca="1" si="0"/>
        <v/>
      </c>
      <c r="H22" s="407"/>
      <c r="I22" s="431" t="str">
        <f t="shared" ca="1" si="1"/>
        <v/>
      </c>
      <c r="J22" s="439" t="str">
        <f t="shared" ca="1" si="2"/>
        <v/>
      </c>
      <c r="K22" s="440" t="str">
        <f ca="1">IF(J22="","",((SUM(C22:E22)+IF(diNo!D20="FOS",3,2)*J22))/(COUNT(C22:E22)+IF(diNo!D20="FOS",3,2)))</f>
        <v/>
      </c>
      <c r="M22" s="199" t="str">
        <f t="shared" si="3"/>
        <v/>
      </c>
    </row>
    <row r="23" spans="1:17" x14ac:dyDescent="0.2">
      <c r="A23" s="3">
        <f>I1SA!A21</f>
        <v>18</v>
      </c>
      <c r="B23" s="418" t="str">
        <f>IF('1. Halbjahr'!B21&lt;&gt;"", '1. Halbjahr'!B21, "")</f>
        <v/>
      </c>
      <c r="C23" s="415"/>
      <c r="D23" s="44"/>
      <c r="E23" s="422"/>
      <c r="F23" s="420" t="str">
        <f>IF(APRohpunkte!AE21="",'Eingabe Abitur'!Q45,APRohpunkte!AE21)</f>
        <v/>
      </c>
      <c r="G23" s="3" t="str">
        <f t="shared" ca="1" si="0"/>
        <v/>
      </c>
      <c r="H23" s="407"/>
      <c r="I23" s="434" t="str">
        <f t="shared" ca="1" si="1"/>
        <v/>
      </c>
      <c r="J23" s="439" t="str">
        <f t="shared" ca="1" si="2"/>
        <v/>
      </c>
      <c r="K23" s="440" t="str">
        <f ca="1">IF(J23="","",((SUM(C23:E23)+IF(diNo!D21="FOS",3,2)*J23))/(COUNT(C23:E23)+IF(diNo!D21="FOS",3,2)))</f>
        <v/>
      </c>
      <c r="M23" s="199" t="str">
        <f t="shared" si="3"/>
        <v/>
      </c>
    </row>
    <row r="24" spans="1:17" x14ac:dyDescent="0.2">
      <c r="A24" s="3">
        <f>I1SA!A22</f>
        <v>19</v>
      </c>
      <c r="B24" s="418" t="str">
        <f>IF('1. Halbjahr'!B22&lt;&gt;"", '1. Halbjahr'!B22, "")</f>
        <v/>
      </c>
      <c r="C24" s="415"/>
      <c r="D24" s="44"/>
      <c r="E24" s="422"/>
      <c r="F24" s="420" t="str">
        <f>IF(APRohpunkte!AE22="",'Eingabe Abitur'!Q47,APRohpunkte!AE22)</f>
        <v/>
      </c>
      <c r="G24" s="3" t="str">
        <f t="shared" ca="1" si="0"/>
        <v/>
      </c>
      <c r="H24" s="407"/>
      <c r="I24" s="430" t="str">
        <f t="shared" ca="1" si="1"/>
        <v/>
      </c>
      <c r="J24" s="439" t="str">
        <f t="shared" ca="1" si="2"/>
        <v/>
      </c>
      <c r="K24" s="440" t="str">
        <f ca="1">IF(J24="","",((SUM(C24:E24)+IF(diNo!D22="FOS",3,2)*J24))/(COUNT(C24:E24)+IF(diNo!D22="FOS",3,2)))</f>
        <v/>
      </c>
      <c r="M24" s="199" t="str">
        <f t="shared" si="3"/>
        <v/>
      </c>
    </row>
    <row r="25" spans="1:17" x14ac:dyDescent="0.2">
      <c r="A25" s="3">
        <f>I1SA!A23</f>
        <v>20</v>
      </c>
      <c r="B25" s="418" t="str">
        <f>IF('1. Halbjahr'!B23&lt;&gt;"", '1. Halbjahr'!B23, "")</f>
        <v/>
      </c>
      <c r="C25" s="415"/>
      <c r="D25" s="44"/>
      <c r="E25" s="422"/>
      <c r="F25" s="420" t="str">
        <f>IF(APRohpunkte!AE23="",'Eingabe Abitur'!Q49,APRohpunkte!AE23)</f>
        <v/>
      </c>
      <c r="G25" s="3" t="str">
        <f t="shared" ca="1" si="0"/>
        <v/>
      </c>
      <c r="H25" s="407"/>
      <c r="I25" s="430" t="str">
        <f t="shared" ca="1" si="1"/>
        <v/>
      </c>
      <c r="J25" s="439" t="str">
        <f t="shared" ca="1" si="2"/>
        <v/>
      </c>
      <c r="K25" s="440" t="str">
        <f ca="1">IF(J25="","",((SUM(C25:E25)+IF(diNo!D23="FOS",3,2)*J25))/(COUNT(C25:E25)+IF(diNo!D23="FOS",3,2)))</f>
        <v/>
      </c>
      <c r="M25" s="199" t="str">
        <f t="shared" si="3"/>
        <v/>
      </c>
    </row>
    <row r="26" spans="1:17" x14ac:dyDescent="0.2">
      <c r="A26" s="3">
        <f>I1SA!A24</f>
        <v>21</v>
      </c>
      <c r="B26" s="418" t="str">
        <f>IF('1. Halbjahr'!B24&lt;&gt;"", '1. Halbjahr'!B24, "")</f>
        <v/>
      </c>
      <c r="C26" s="415"/>
      <c r="D26" s="44"/>
      <c r="E26" s="422"/>
      <c r="F26" s="420" t="str">
        <f>IF(APRohpunkte!AE24="",'Eingabe Abitur'!Q51,APRohpunkte!AE24)</f>
        <v/>
      </c>
      <c r="G26" s="3" t="str">
        <f t="shared" ca="1" si="0"/>
        <v/>
      </c>
      <c r="H26" s="407"/>
      <c r="I26" s="430" t="str">
        <f t="shared" ca="1" si="1"/>
        <v/>
      </c>
      <c r="J26" s="439" t="str">
        <f t="shared" ca="1" si="2"/>
        <v/>
      </c>
      <c r="K26" s="440" t="str">
        <f ca="1">IF(J26="","",((SUM(C26:E26)+IF(diNo!D24="FOS",3,2)*J26))/(COUNT(C26:E26)+IF(diNo!D24="FOS",3,2)))</f>
        <v/>
      </c>
      <c r="M26" s="199" t="str">
        <f t="shared" si="3"/>
        <v/>
      </c>
    </row>
    <row r="27" spans="1:17" x14ac:dyDescent="0.2">
      <c r="A27" s="3">
        <f>I1SA!A25</f>
        <v>22</v>
      </c>
      <c r="B27" s="418" t="str">
        <f>IF('1. Halbjahr'!B25&lt;&gt;"", '1. Halbjahr'!B25, "")</f>
        <v/>
      </c>
      <c r="C27" s="415"/>
      <c r="D27" s="44"/>
      <c r="E27" s="422"/>
      <c r="F27" s="420" t="str">
        <f>IF(APRohpunkte!AE25="",'Eingabe Abitur'!Q53,APRohpunkte!AE25)</f>
        <v/>
      </c>
      <c r="G27" s="3" t="str">
        <f t="shared" ca="1" si="0"/>
        <v/>
      </c>
      <c r="H27" s="407"/>
      <c r="I27" s="430" t="str">
        <f t="shared" ca="1" si="1"/>
        <v/>
      </c>
      <c r="J27" s="439" t="str">
        <f t="shared" ca="1" si="2"/>
        <v/>
      </c>
      <c r="K27" s="440" t="str">
        <f ca="1">IF(J27="","",((SUM(C27:E27)+IF(diNo!D25="FOS",3,2)*J27))/(COUNT(C27:E27)+IF(diNo!D25="FOS",3,2)))</f>
        <v/>
      </c>
      <c r="M27" s="199" t="str">
        <f t="shared" si="3"/>
        <v/>
      </c>
    </row>
    <row r="28" spans="1:17" x14ac:dyDescent="0.2">
      <c r="A28" s="3">
        <f>I1SA!A26</f>
        <v>23</v>
      </c>
      <c r="B28" s="418" t="str">
        <f>IF('1. Halbjahr'!B26&lt;&gt;"", '1. Halbjahr'!B26, "")</f>
        <v/>
      </c>
      <c r="C28" s="415"/>
      <c r="D28" s="44"/>
      <c r="E28" s="422"/>
      <c r="F28" s="420" t="str">
        <f>IF(APRohpunkte!AE26="",'Eingabe Abitur'!Q55,APRohpunkte!AE26)</f>
        <v/>
      </c>
      <c r="G28" s="3" t="str">
        <f t="shared" ca="1" si="0"/>
        <v/>
      </c>
      <c r="H28" s="407"/>
      <c r="I28" s="431" t="str">
        <f t="shared" ca="1" si="1"/>
        <v/>
      </c>
      <c r="J28" s="439" t="str">
        <f t="shared" ca="1" si="2"/>
        <v/>
      </c>
      <c r="K28" s="440" t="str">
        <f ca="1">IF(J28="","",((SUM(C28:E28)+IF(diNo!D26="FOS",3,2)*J28))/(COUNT(C28:E28)+IF(diNo!D26="FOS",3,2)))</f>
        <v/>
      </c>
      <c r="M28" s="199" t="str">
        <f t="shared" si="3"/>
        <v/>
      </c>
    </row>
    <row r="29" spans="1:17" x14ac:dyDescent="0.2">
      <c r="A29" s="3">
        <f>I1SA!A27</f>
        <v>24</v>
      </c>
      <c r="B29" s="418" t="str">
        <f>IF('1. Halbjahr'!B27&lt;&gt;"", '1. Halbjahr'!B27, "")</f>
        <v/>
      </c>
      <c r="C29" s="415"/>
      <c r="D29" s="44"/>
      <c r="E29" s="422"/>
      <c r="F29" s="420" t="str">
        <f>IF(APRohpunkte!AE27="",'Eingabe Abitur'!Q57,APRohpunkte!AE27)</f>
        <v/>
      </c>
      <c r="G29" s="3" t="str">
        <f t="shared" ca="1" si="0"/>
        <v/>
      </c>
      <c r="H29" s="407"/>
      <c r="I29" s="431" t="str">
        <f t="shared" ca="1" si="1"/>
        <v/>
      </c>
      <c r="J29" s="439" t="str">
        <f t="shared" ca="1" si="2"/>
        <v/>
      </c>
      <c r="K29" s="440" t="str">
        <f ca="1">IF(J29="","",((SUM(C29:E29)+IF(diNo!D27="FOS",3,2)*J29))/(COUNT(C29:E29)+IF(diNo!D27="FOS",3,2)))</f>
        <v/>
      </c>
      <c r="M29" s="199" t="str">
        <f t="shared" si="3"/>
        <v/>
      </c>
    </row>
    <row r="30" spans="1:17" x14ac:dyDescent="0.2">
      <c r="A30" s="3">
        <f>I1SA!A28</f>
        <v>25</v>
      </c>
      <c r="B30" s="418" t="str">
        <f>IF('1. Halbjahr'!B28&lt;&gt;"", '1. Halbjahr'!B28, "")</f>
        <v/>
      </c>
      <c r="C30" s="415"/>
      <c r="D30" s="44"/>
      <c r="E30" s="422"/>
      <c r="F30" s="420" t="str">
        <f>IF(APRohpunkte!AE28="",'Eingabe Abitur'!Q59,APRohpunkte!AE28)</f>
        <v/>
      </c>
      <c r="G30" s="3" t="str">
        <f t="shared" ca="1" si="0"/>
        <v/>
      </c>
      <c r="H30" s="407"/>
      <c r="I30" s="431" t="str">
        <f t="shared" ca="1" si="1"/>
        <v/>
      </c>
      <c r="J30" s="439" t="str">
        <f t="shared" ca="1" si="2"/>
        <v/>
      </c>
      <c r="K30" s="440" t="str">
        <f ca="1">IF(J30="","",((SUM(C30:E30)+IF(diNo!D28="FOS",3,2)*J30))/(COUNT(C30:E30)+IF(diNo!D28="FOS",3,2)))</f>
        <v/>
      </c>
      <c r="M30" s="199" t="str">
        <f t="shared" si="3"/>
        <v/>
      </c>
    </row>
    <row r="31" spans="1:17" x14ac:dyDescent="0.2">
      <c r="A31" s="3">
        <f>I1SA!A29</f>
        <v>26</v>
      </c>
      <c r="B31" s="418" t="str">
        <f>IF('1. Halbjahr'!B29&lt;&gt;"", '1. Halbjahr'!B29, "")</f>
        <v/>
      </c>
      <c r="C31" s="415"/>
      <c r="D31" s="44"/>
      <c r="E31" s="422"/>
      <c r="F31" s="420" t="str">
        <f>IF(APRohpunkte!AE29="",'Eingabe Abitur'!Q61,APRohpunkte!AE29)</f>
        <v/>
      </c>
      <c r="G31" s="3" t="str">
        <f t="shared" ca="1" si="0"/>
        <v/>
      </c>
      <c r="H31" s="407"/>
      <c r="I31" s="434" t="str">
        <f t="shared" ca="1" si="1"/>
        <v/>
      </c>
      <c r="J31" s="439" t="str">
        <f t="shared" ca="1" si="2"/>
        <v/>
      </c>
      <c r="K31" s="440" t="str">
        <f ca="1">IF(J31="","",((SUM(C31:E31)+IF(diNo!D29="FOS",3,2)*J31))/(COUNT(C31:E31)+IF(diNo!D29="FOS",3,2)))</f>
        <v/>
      </c>
      <c r="M31" s="199" t="str">
        <f t="shared" si="3"/>
        <v/>
      </c>
    </row>
    <row r="32" spans="1:17" x14ac:dyDescent="0.2">
      <c r="A32" s="3">
        <f>I1SA!A30</f>
        <v>27</v>
      </c>
      <c r="B32" s="418" t="str">
        <f>IF('1. Halbjahr'!B30&lt;&gt;"", '1. Halbjahr'!B30, "")</f>
        <v/>
      </c>
      <c r="C32" s="415"/>
      <c r="D32" s="44"/>
      <c r="E32" s="422"/>
      <c r="F32" s="420" t="str">
        <f>IF(APRohpunkte!AE30="",'Eingabe Abitur'!Q63,APRohpunkte!AE30)</f>
        <v/>
      </c>
      <c r="G32" s="3" t="str">
        <f t="shared" ca="1" si="0"/>
        <v/>
      </c>
      <c r="H32" s="407"/>
      <c r="I32" s="430" t="str">
        <f t="shared" ca="1" si="1"/>
        <v/>
      </c>
      <c r="J32" s="439" t="str">
        <f t="shared" ca="1" si="2"/>
        <v/>
      </c>
      <c r="K32" s="440" t="str">
        <f ca="1">IF(J32="","",((SUM(C32:E32)+IF(diNo!D30="FOS",3,2)*J32))/(COUNT(C32:E32)+IF(diNo!D30="FOS",3,2)))</f>
        <v/>
      </c>
      <c r="M32" s="199" t="str">
        <f t="shared" si="3"/>
        <v/>
      </c>
    </row>
    <row r="33" spans="1:13" x14ac:dyDescent="0.2">
      <c r="A33" s="3">
        <f>I1SA!A31</f>
        <v>28</v>
      </c>
      <c r="B33" s="418" t="str">
        <f>IF('1. Halbjahr'!B31&lt;&gt;"", '1. Halbjahr'!B31, "")</f>
        <v/>
      </c>
      <c r="C33" s="415"/>
      <c r="D33" s="44"/>
      <c r="E33" s="422"/>
      <c r="F33" s="420" t="str">
        <f>IF(APRohpunkte!AE31="",'Eingabe Abitur'!Q65,APRohpunkte!AE31)</f>
        <v/>
      </c>
      <c r="G33" s="3" t="str">
        <f t="shared" ca="1" si="0"/>
        <v/>
      </c>
      <c r="H33" s="407"/>
      <c r="I33" s="430" t="str">
        <f t="shared" ca="1" si="1"/>
        <v/>
      </c>
      <c r="J33" s="439" t="str">
        <f t="shared" ca="1" si="2"/>
        <v/>
      </c>
      <c r="K33" s="440" t="str">
        <f ca="1">IF(J33="","",((SUM(C33:E33)+IF(diNo!D31="FOS",3,2)*J33))/(COUNT(C33:E33)+IF(diNo!D31="FOS",3,2)))</f>
        <v/>
      </c>
      <c r="M33" s="199" t="str">
        <f t="shared" si="3"/>
        <v/>
      </c>
    </row>
    <row r="34" spans="1:13" x14ac:dyDescent="0.2">
      <c r="A34" s="3">
        <f>I1SA!A32</f>
        <v>29</v>
      </c>
      <c r="B34" s="418" t="str">
        <f>IF('1. Halbjahr'!B32&lt;&gt;"", '1. Halbjahr'!B32, "")</f>
        <v/>
      </c>
      <c r="C34" s="415"/>
      <c r="D34" s="44"/>
      <c r="E34" s="422"/>
      <c r="F34" s="420" t="str">
        <f>IF(APRohpunkte!AE32="",'Eingabe Abitur'!Q67,APRohpunkte!AE32)</f>
        <v/>
      </c>
      <c r="G34" s="3" t="str">
        <f t="shared" ca="1" si="0"/>
        <v/>
      </c>
      <c r="H34" s="407"/>
      <c r="I34" s="431" t="str">
        <f t="shared" ca="1" si="1"/>
        <v/>
      </c>
      <c r="J34" s="439" t="str">
        <f t="shared" ca="1" si="2"/>
        <v/>
      </c>
      <c r="K34" s="440" t="str">
        <f ca="1">IF(J34="","",((SUM(C34:E34)+IF(diNo!D32="FOS",3,2)*J34))/(COUNT(C34:E34)+IF(diNo!D32="FOS",3,2)))</f>
        <v/>
      </c>
      <c r="M34" s="199" t="str">
        <f t="shared" si="3"/>
        <v/>
      </c>
    </row>
    <row r="35" spans="1:13" x14ac:dyDescent="0.2">
      <c r="A35" s="3">
        <f>I1SA!A33</f>
        <v>30</v>
      </c>
      <c r="B35" s="418" t="str">
        <f>IF('1. Halbjahr'!B33&lt;&gt;"", '1. Halbjahr'!B33, "")</f>
        <v/>
      </c>
      <c r="C35" s="415"/>
      <c r="D35" s="44"/>
      <c r="E35" s="422"/>
      <c r="F35" s="420" t="str">
        <f>IF(APRohpunkte!AE33="",'Eingabe Abitur'!Q69,APRohpunkte!AE33)</f>
        <v/>
      </c>
      <c r="G35" s="3" t="str">
        <f t="shared" ca="1" si="0"/>
        <v/>
      </c>
      <c r="H35" s="407"/>
      <c r="I35" s="434" t="str">
        <f t="shared" ca="1" si="1"/>
        <v/>
      </c>
      <c r="J35" s="439" t="str">
        <f t="shared" ca="1" si="2"/>
        <v/>
      </c>
      <c r="K35" s="440" t="str">
        <f ca="1">IF(J35="","",((SUM(C35:E35)+IF(diNo!D33="FOS",3,2)*J35))/(COUNT(C35:E35)+IF(diNo!D33="FOS",3,2)))</f>
        <v/>
      </c>
      <c r="M35" s="199" t="str">
        <f t="shared" si="3"/>
        <v/>
      </c>
    </row>
    <row r="36" spans="1:13" x14ac:dyDescent="0.2">
      <c r="A36" s="3">
        <f>I1SA!A34</f>
        <v>31</v>
      </c>
      <c r="B36" s="418" t="str">
        <f>IF('1. Halbjahr'!B34&lt;&gt;"", '1. Halbjahr'!B34, "")</f>
        <v/>
      </c>
      <c r="C36" s="415"/>
      <c r="D36" s="44"/>
      <c r="E36" s="422"/>
      <c r="F36" s="420" t="str">
        <f>IF(APRohpunkte!AE34="",'Eingabe Abitur'!Q71,APRohpunkte!AE34)</f>
        <v/>
      </c>
      <c r="G36" s="3" t="str">
        <f t="shared" ca="1" si="0"/>
        <v/>
      </c>
      <c r="H36" s="407"/>
      <c r="I36" s="431" t="str">
        <f t="shared" ca="1" si="1"/>
        <v/>
      </c>
      <c r="J36" s="439" t="str">
        <f t="shared" ca="1" si="2"/>
        <v/>
      </c>
      <c r="K36" s="440" t="str">
        <f ca="1">IF(J36="","",((SUM(C36:E36)+IF(diNo!D34="FOS",3,2)*J36))/(COUNT(C36:E36)+IF(diNo!D34="FOS",3,2)))</f>
        <v/>
      </c>
      <c r="M36" s="199" t="str">
        <f t="shared" si="3"/>
        <v/>
      </c>
    </row>
    <row r="37" spans="1:13" x14ac:dyDescent="0.2">
      <c r="A37" s="3">
        <f>I1SA!A35</f>
        <v>32</v>
      </c>
      <c r="B37" s="418" t="str">
        <f>IF('1. Halbjahr'!B35&lt;&gt;"", '1. Halbjahr'!B35, "")</f>
        <v/>
      </c>
      <c r="C37" s="415"/>
      <c r="D37" s="44"/>
      <c r="E37" s="422"/>
      <c r="F37" s="420" t="str">
        <f>IF(APRohpunkte!AE35="",'Eingabe Abitur'!Q73,APRohpunkte!AE35)</f>
        <v/>
      </c>
      <c r="G37" s="3" t="str">
        <f t="shared" ca="1" si="0"/>
        <v/>
      </c>
      <c r="H37" s="407"/>
      <c r="I37" s="431" t="str">
        <f t="shared" ca="1" si="1"/>
        <v/>
      </c>
      <c r="J37" s="439" t="str">
        <f t="shared" ca="1" si="2"/>
        <v/>
      </c>
      <c r="K37" s="440" t="str">
        <f ca="1">IF(J37="","",((SUM(C37:E37)+IF(diNo!D35="FOS",3,2)*J37))/(COUNT(C37:E37)+IF(diNo!D35="FOS",3,2)))</f>
        <v/>
      </c>
      <c r="M37" s="199" t="str">
        <f t="shared" si="3"/>
        <v/>
      </c>
    </row>
    <row r="38" spans="1:13" x14ac:dyDescent="0.2">
      <c r="A38" s="3">
        <f>I1SA!A36</f>
        <v>33</v>
      </c>
      <c r="B38" s="418" t="str">
        <f>IF('1. Halbjahr'!B36&lt;&gt;"", '1. Halbjahr'!B36, "")</f>
        <v/>
      </c>
      <c r="C38" s="415"/>
      <c r="D38" s="44"/>
      <c r="E38" s="422"/>
      <c r="F38" s="420" t="str">
        <f>IF(APRohpunkte!AE36="",'Eingabe Abitur'!Q75,APRohpunkte!AE36)</f>
        <v/>
      </c>
      <c r="G38" s="3" t="str">
        <f t="shared" ca="1" si="0"/>
        <v/>
      </c>
      <c r="H38" s="407"/>
      <c r="I38" s="434" t="str">
        <f t="shared" ca="1" si="1"/>
        <v/>
      </c>
      <c r="J38" s="439" t="str">
        <f t="shared" ca="1" si="2"/>
        <v/>
      </c>
      <c r="K38" s="440" t="str">
        <f ca="1">IF(J38="","",((SUM(C38:E38)+IF(diNo!D36="FOS",3,2)*J38))/(COUNT(C38:E38)+IF(diNo!D36="FOS",3,2)))</f>
        <v/>
      </c>
      <c r="M38" s="199" t="str">
        <f t="shared" si="3"/>
        <v/>
      </c>
    </row>
    <row r="39" spans="1:13" x14ac:dyDescent="0.2">
      <c r="A39" s="3">
        <f>I1SA!A37</f>
        <v>34</v>
      </c>
      <c r="B39" s="418" t="str">
        <f>IF('1. Halbjahr'!B37&lt;&gt;"", '1. Halbjahr'!B37, "")</f>
        <v/>
      </c>
      <c r="C39" s="415"/>
      <c r="D39" s="44"/>
      <c r="E39" s="422"/>
      <c r="F39" s="420" t="str">
        <f>IF(APRohpunkte!AE37="",'Eingabe Abitur'!Q77,APRohpunkte!AE37)</f>
        <v/>
      </c>
      <c r="G39" s="3" t="str">
        <f t="shared" ca="1" si="0"/>
        <v/>
      </c>
      <c r="H39" s="407"/>
      <c r="I39" s="430" t="str">
        <f t="shared" ca="1" si="1"/>
        <v/>
      </c>
      <c r="J39" s="439" t="str">
        <f t="shared" ca="1" si="2"/>
        <v/>
      </c>
      <c r="K39" s="440" t="str">
        <f ca="1">IF(J39="","",((SUM(C39:E39)+IF(diNo!D37="FOS",3,2)*J39))/(COUNT(C39:E39)+IF(diNo!D37="FOS",3,2)))</f>
        <v/>
      </c>
      <c r="M39" s="199" t="str">
        <f t="shared" si="3"/>
        <v/>
      </c>
    </row>
    <row r="40" spans="1:13" ht="13.5" thickBot="1" x14ac:dyDescent="0.25">
      <c r="A40" s="412">
        <f>I1SA!A38</f>
        <v>35</v>
      </c>
      <c r="B40" s="419" t="str">
        <f>IF('1. Halbjahr'!B38&lt;&gt;"", '1. Halbjahr'!B38, "")</f>
        <v/>
      </c>
      <c r="C40" s="416"/>
      <c r="D40" s="413"/>
      <c r="E40" s="423"/>
      <c r="F40" s="421" t="str">
        <f>IF(APRohpunkte!AE38="",'Eingabe Abitur'!Q79,APRohpunkte!AE38)</f>
        <v/>
      </c>
      <c r="G40" s="412" t="str">
        <f t="shared" ca="1" si="0"/>
        <v/>
      </c>
      <c r="H40" s="414"/>
      <c r="I40" s="432" t="str">
        <f t="shared" ca="1" si="1"/>
        <v/>
      </c>
      <c r="J40" s="446" t="str">
        <f t="shared" ca="1" si="2"/>
        <v/>
      </c>
      <c r="K40" s="441" t="str">
        <f ca="1">IF(J40="","",((SUM(C40:E40)+IF(diNo!D38="FOS",3,2)*J40))/(COUNT(C40:E40)+IF(diNo!D38="FOS",3,2)))</f>
        <v/>
      </c>
      <c r="M40" s="199" t="str">
        <f t="shared" si="3"/>
        <v/>
      </c>
    </row>
    <row r="41" spans="1:13" ht="13.5" thickBot="1" x14ac:dyDescent="0.25">
      <c r="B41" s="1" t="s">
        <v>41</v>
      </c>
      <c r="E41" s="410" t="e">
        <f>AVERAGE(C6:E40)</f>
        <v>#DIV/0!</v>
      </c>
      <c r="G41" s="410" t="e">
        <f ca="1">AVERAGE(G6:G40)</f>
        <v>#DIV/0!</v>
      </c>
      <c r="H41" s="411" t="e">
        <f>AVERAGE(H6:H40)</f>
        <v>#DIV/0!</v>
      </c>
      <c r="I41" s="408"/>
      <c r="J41" s="405" t="e">
        <f ca="1">AVERAGE(J6:J40)</f>
        <v>#DIV/0!</v>
      </c>
      <c r="K41" s="409"/>
    </row>
    <row r="42" spans="1:13" ht="13.5" thickBot="1" x14ac:dyDescent="0.25">
      <c r="B42" s="1" t="s">
        <v>32</v>
      </c>
      <c r="E42" s="25" t="s">
        <v>15</v>
      </c>
    </row>
    <row r="43" spans="1:13" ht="13.5" thickBot="1" x14ac:dyDescent="0.25">
      <c r="B43" s="1" t="s">
        <v>36</v>
      </c>
      <c r="E43" s="34" t="s">
        <v>25</v>
      </c>
      <c r="G43" s="484" t="s">
        <v>40</v>
      </c>
      <c r="H43" s="484"/>
      <c r="I43" s="484"/>
      <c r="J43" s="4"/>
    </row>
    <row r="44" spans="1:13" x14ac:dyDescent="0.2">
      <c r="B44" s="1" t="s">
        <v>37</v>
      </c>
      <c r="E44" s="35">
        <v>100</v>
      </c>
      <c r="F44" s="27" t="s">
        <v>38</v>
      </c>
      <c r="G44" s="10">
        <v>20</v>
      </c>
      <c r="H44" s="27" t="s">
        <v>39</v>
      </c>
      <c r="I44" s="10">
        <v>40</v>
      </c>
      <c r="J44" s="75"/>
    </row>
    <row r="45" spans="1:13" x14ac:dyDescent="0.2">
      <c r="G45" s="33"/>
      <c r="H45" s="26"/>
      <c r="I45" s="33"/>
      <c r="J45" s="33"/>
    </row>
    <row r="46" spans="1:13" x14ac:dyDescent="0.2">
      <c r="G46" s="33"/>
      <c r="I46" s="33"/>
      <c r="J46" s="33"/>
    </row>
    <row r="47" spans="1:13" x14ac:dyDescent="0.2">
      <c r="G47" s="33"/>
      <c r="H47" s="38"/>
    </row>
    <row r="48" spans="1:13" x14ac:dyDescent="0.2">
      <c r="G48" s="33"/>
      <c r="H48" s="38"/>
    </row>
    <row r="49" spans="4:12" x14ac:dyDescent="0.2">
      <c r="D49" s="274"/>
      <c r="E49" s="36" t="s">
        <v>21</v>
      </c>
      <c r="F49" s="36" t="s">
        <v>22</v>
      </c>
      <c r="G49" s="36" t="s">
        <v>14</v>
      </c>
      <c r="H49" s="38" t="s">
        <v>4</v>
      </c>
      <c r="I49" s="1" t="s">
        <v>13</v>
      </c>
      <c r="K49" s="1" t="s">
        <v>4</v>
      </c>
      <c r="L49" s="1" t="s">
        <v>13</v>
      </c>
    </row>
    <row r="50" spans="4:12" x14ac:dyDescent="0.2">
      <c r="E50" s="269">
        <f t="shared" ref="E50:E64" si="4">ROUNDDOWN($Q4/1000*$E$44, 1)*10</f>
        <v>100</v>
      </c>
      <c r="F50" s="202">
        <f>E51+0.5</f>
        <v>95.5</v>
      </c>
      <c r="G50" s="271">
        <v>15</v>
      </c>
      <c r="H50" s="90">
        <f ca="1">COUNTIF(G$6:G$40,15)</f>
        <v>0</v>
      </c>
      <c r="I50" s="97" t="e">
        <f ca="1">+H50/(SUM($H$50:$H$65))</f>
        <v>#DIV/0!</v>
      </c>
      <c r="J50" s="93"/>
      <c r="K50" s="12"/>
      <c r="L50" s="12"/>
    </row>
    <row r="51" spans="4:12" x14ac:dyDescent="0.2">
      <c r="E51" s="269">
        <f t="shared" si="4"/>
        <v>95</v>
      </c>
      <c r="F51" s="200">
        <f t="shared" ref="F51:F63" si="5">E52+0.5</f>
        <v>90.5</v>
      </c>
      <c r="G51" s="272">
        <v>14</v>
      </c>
      <c r="H51" s="37">
        <f ca="1">COUNTIF(G$6:G$40,14)</f>
        <v>0</v>
      </c>
      <c r="I51" s="98" t="e">
        <f t="shared" ref="I51:I65" ca="1" si="6">+H51/(SUM($H$50:$H$65))</f>
        <v>#DIV/0!</v>
      </c>
      <c r="J51" s="94"/>
      <c r="K51" s="41">
        <f ca="1">+H50+H51+H52</f>
        <v>0</v>
      </c>
      <c r="L51" s="43" t="e">
        <f ca="1">+I50+I51+I52</f>
        <v>#DIV/0!</v>
      </c>
    </row>
    <row r="52" spans="4:12" x14ac:dyDescent="0.2">
      <c r="E52" s="269">
        <f t="shared" si="4"/>
        <v>90</v>
      </c>
      <c r="F52" s="203">
        <f t="shared" si="5"/>
        <v>85.5</v>
      </c>
      <c r="G52" s="273">
        <v>13</v>
      </c>
      <c r="H52" s="91">
        <f ca="1">COUNTIF(G$6:G$40,13)</f>
        <v>0</v>
      </c>
      <c r="I52" s="98" t="e">
        <f t="shared" ca="1" si="6"/>
        <v>#DIV/0!</v>
      </c>
      <c r="J52" s="95"/>
      <c r="K52" s="42"/>
      <c r="L52" s="42"/>
    </row>
    <row r="53" spans="4:12" x14ac:dyDescent="0.2">
      <c r="E53" s="269">
        <f t="shared" si="4"/>
        <v>85</v>
      </c>
      <c r="F53" s="202">
        <f t="shared" si="5"/>
        <v>80.5</v>
      </c>
      <c r="G53" s="272">
        <v>12</v>
      </c>
      <c r="H53" s="90">
        <f ca="1">COUNTIF(G$6:G$40,12)</f>
        <v>0</v>
      </c>
      <c r="I53" s="97" t="e">
        <f t="shared" ca="1" si="6"/>
        <v>#DIV/0!</v>
      </c>
      <c r="J53" s="93"/>
      <c r="K53" s="12"/>
      <c r="L53" s="12"/>
    </row>
    <row r="54" spans="4:12" x14ac:dyDescent="0.2">
      <c r="E54" s="269">
        <f t="shared" si="4"/>
        <v>80</v>
      </c>
      <c r="F54" s="200">
        <f t="shared" si="5"/>
        <v>75.5</v>
      </c>
      <c r="G54" s="272">
        <v>11</v>
      </c>
      <c r="H54" s="37">
        <f ca="1">COUNTIF(G$6:G$40,11)</f>
        <v>0</v>
      </c>
      <c r="I54" s="98" t="e">
        <f t="shared" ca="1" si="6"/>
        <v>#DIV/0!</v>
      </c>
      <c r="J54" s="94"/>
      <c r="K54" s="41">
        <f ca="1">+H53+H54+H55</f>
        <v>0</v>
      </c>
      <c r="L54" s="43" t="e">
        <f ca="1">+I53+I54+I55</f>
        <v>#DIV/0!</v>
      </c>
    </row>
    <row r="55" spans="4:12" x14ac:dyDescent="0.2">
      <c r="E55" s="269">
        <f t="shared" si="4"/>
        <v>75</v>
      </c>
      <c r="F55" s="203">
        <f t="shared" si="5"/>
        <v>70.5</v>
      </c>
      <c r="G55" s="272">
        <v>10</v>
      </c>
      <c r="H55" s="91">
        <f ca="1">COUNTIF(G$6:G$40,10)</f>
        <v>0</v>
      </c>
      <c r="I55" s="99" t="e">
        <f t="shared" ca="1" si="6"/>
        <v>#DIV/0!</v>
      </c>
      <c r="J55" s="95"/>
      <c r="K55" s="42"/>
      <c r="L55" s="42"/>
    </row>
    <row r="56" spans="4:12" x14ac:dyDescent="0.2">
      <c r="E56" s="269">
        <f t="shared" si="4"/>
        <v>70</v>
      </c>
      <c r="F56" s="202">
        <f t="shared" si="5"/>
        <v>65.5</v>
      </c>
      <c r="G56" s="271">
        <v>9</v>
      </c>
      <c r="H56" s="90">
        <f ca="1">COUNTIF(G$6:G$40,9)</f>
        <v>0</v>
      </c>
      <c r="I56" s="98" t="e">
        <f t="shared" ca="1" si="6"/>
        <v>#DIV/0!</v>
      </c>
      <c r="J56" s="93"/>
      <c r="K56" s="12"/>
      <c r="L56" s="12"/>
    </row>
    <row r="57" spans="4:12" x14ac:dyDescent="0.2">
      <c r="E57" s="269">
        <f t="shared" si="4"/>
        <v>65</v>
      </c>
      <c r="F57" s="200">
        <f t="shared" si="5"/>
        <v>60.5</v>
      </c>
      <c r="G57" s="272">
        <v>8</v>
      </c>
      <c r="H57" s="37">
        <f ca="1">COUNTIF(G$6:G$40,8)</f>
        <v>0</v>
      </c>
      <c r="I57" s="98" t="e">
        <f t="shared" ca="1" si="6"/>
        <v>#DIV/0!</v>
      </c>
      <c r="J57" s="94"/>
      <c r="K57" s="41">
        <f ca="1">+H56+H57+H58</f>
        <v>0</v>
      </c>
      <c r="L57" s="43" t="e">
        <f ca="1">+I56+I57+I58</f>
        <v>#DIV/0!</v>
      </c>
    </row>
    <row r="58" spans="4:12" x14ac:dyDescent="0.2">
      <c r="E58" s="269">
        <f t="shared" si="4"/>
        <v>60</v>
      </c>
      <c r="F58" s="203">
        <f t="shared" si="5"/>
        <v>55.5</v>
      </c>
      <c r="G58" s="273">
        <v>7</v>
      </c>
      <c r="H58" s="91">
        <f ca="1">COUNTIF(G$6:G$40,7)</f>
        <v>0</v>
      </c>
      <c r="I58" s="98" t="e">
        <f t="shared" ca="1" si="6"/>
        <v>#DIV/0!</v>
      </c>
      <c r="J58" s="95"/>
      <c r="K58" s="42"/>
      <c r="L58" s="42"/>
    </row>
    <row r="59" spans="4:12" x14ac:dyDescent="0.2">
      <c r="E59" s="269">
        <f t="shared" si="4"/>
        <v>55</v>
      </c>
      <c r="F59" s="202">
        <f t="shared" si="5"/>
        <v>50.5</v>
      </c>
      <c r="G59" s="272">
        <v>6</v>
      </c>
      <c r="H59" s="90">
        <f ca="1">COUNTIF(G$6:G$40,6)</f>
        <v>0</v>
      </c>
      <c r="I59" s="97" t="e">
        <f t="shared" ca="1" si="6"/>
        <v>#DIV/0!</v>
      </c>
      <c r="J59" s="93"/>
      <c r="K59" s="12"/>
      <c r="L59" s="12"/>
    </row>
    <row r="60" spans="4:12" x14ac:dyDescent="0.2">
      <c r="E60" s="269">
        <f t="shared" si="4"/>
        <v>50</v>
      </c>
      <c r="F60" s="200">
        <f t="shared" si="5"/>
        <v>45.5</v>
      </c>
      <c r="G60" s="272">
        <v>5</v>
      </c>
      <c r="H60" s="37">
        <f ca="1">COUNTIF(G$6:G$40,5)</f>
        <v>0</v>
      </c>
      <c r="I60" s="98" t="e">
        <f t="shared" ca="1" si="6"/>
        <v>#DIV/0!</v>
      </c>
      <c r="J60" s="94"/>
      <c r="K60" s="41">
        <f ca="1">+H59+H60+H61</f>
        <v>0</v>
      </c>
      <c r="L60" s="43" t="e">
        <f ca="1">+I59+I60+I61</f>
        <v>#DIV/0!</v>
      </c>
    </row>
    <row r="61" spans="4:12" x14ac:dyDescent="0.2">
      <c r="E61" s="269">
        <f t="shared" si="4"/>
        <v>45</v>
      </c>
      <c r="F61" s="203">
        <f t="shared" si="5"/>
        <v>40.5</v>
      </c>
      <c r="G61" s="272">
        <v>4</v>
      </c>
      <c r="H61" s="91">
        <f ca="1">COUNTIF(G$6:G$40,4)</f>
        <v>0</v>
      </c>
      <c r="I61" s="99" t="e">
        <f t="shared" ca="1" si="6"/>
        <v>#DIV/0!</v>
      </c>
      <c r="J61" s="95"/>
      <c r="K61" s="42"/>
      <c r="L61" s="42"/>
    </row>
    <row r="62" spans="4:12" x14ac:dyDescent="0.2">
      <c r="E62" s="269">
        <f t="shared" si="4"/>
        <v>40</v>
      </c>
      <c r="F62" s="202">
        <f t="shared" si="5"/>
        <v>33.5</v>
      </c>
      <c r="G62" s="271">
        <v>3</v>
      </c>
      <c r="H62" s="90">
        <f ca="1">COUNTIF(G$6:G$40,3)</f>
        <v>0</v>
      </c>
      <c r="I62" s="98" t="e">
        <f t="shared" ca="1" si="6"/>
        <v>#DIV/0!</v>
      </c>
      <c r="J62" s="93"/>
      <c r="K62" s="12"/>
      <c r="L62" s="12"/>
    </row>
    <row r="63" spans="4:12" x14ac:dyDescent="0.2">
      <c r="E63" s="269">
        <f t="shared" si="4"/>
        <v>33</v>
      </c>
      <c r="F63" s="200">
        <f t="shared" si="5"/>
        <v>26.5</v>
      </c>
      <c r="G63" s="272">
        <v>2</v>
      </c>
      <c r="H63" s="37">
        <f ca="1">COUNTIF(G$6:G$40,2)</f>
        <v>0</v>
      </c>
      <c r="I63" s="98" t="e">
        <f t="shared" ca="1" si="6"/>
        <v>#DIV/0!</v>
      </c>
      <c r="J63" s="94"/>
      <c r="K63" s="41">
        <f ca="1">+H62+H63+H64</f>
        <v>0</v>
      </c>
      <c r="L63" s="43" t="e">
        <f ca="1">+I62+I63+I64</f>
        <v>#DIV/0!</v>
      </c>
    </row>
    <row r="64" spans="4:12" x14ac:dyDescent="0.2">
      <c r="E64" s="269">
        <f t="shared" si="4"/>
        <v>26</v>
      </c>
      <c r="F64" s="203">
        <f>ROUNDUP($G$44/1000*$E$44,1)*10</f>
        <v>20</v>
      </c>
      <c r="G64" s="273">
        <v>1</v>
      </c>
      <c r="H64" s="91">
        <f ca="1">COUNTIF(G$6:G$40,1)</f>
        <v>0</v>
      </c>
      <c r="I64" s="98" t="e">
        <f t="shared" ca="1" si="6"/>
        <v>#DIV/0!</v>
      </c>
      <c r="J64" s="95"/>
      <c r="K64" s="42"/>
      <c r="L64" s="42"/>
    </row>
    <row r="65" spans="5:12" x14ac:dyDescent="0.2">
      <c r="E65" s="270">
        <f>F64-1</f>
        <v>19</v>
      </c>
      <c r="F65" s="268">
        <v>0</v>
      </c>
      <c r="G65" s="89">
        <v>0</v>
      </c>
      <c r="H65" s="92">
        <f ca="1">COUNTIF(G$6:G$40,0)</f>
        <v>0</v>
      </c>
      <c r="I65" s="100" t="e">
        <f t="shared" ca="1" si="6"/>
        <v>#DIV/0!</v>
      </c>
      <c r="J65" s="96"/>
      <c r="K65" s="3">
        <f ca="1">+H65</f>
        <v>0</v>
      </c>
      <c r="L65" s="39" t="e">
        <f ca="1">+I65</f>
        <v>#DIV/0!</v>
      </c>
    </row>
  </sheetData>
  <sheetProtection password="CC71" sheet="1" objects="1" scenarios="1" formatCells="0" formatColumns="0" formatRows="0"/>
  <mergeCells count="4">
    <mergeCell ref="G43:I43"/>
    <mergeCell ref="F5:G5"/>
    <mergeCell ref="E2:H2"/>
    <mergeCell ref="C5:E5"/>
  </mergeCells>
  <phoneticPr fontId="0" type="noConversion"/>
  <conditionalFormatting sqref="F6:F40">
    <cfRule type="expression" dxfId="43" priority="1" stopIfTrue="1">
      <formula>$E$42="Punkte"</formula>
    </cfRule>
    <cfRule type="expression" dxfId="42" priority="2" stopIfTrue="1">
      <formula>$E$42="BE"</formula>
    </cfRule>
  </conditionalFormatting>
  <conditionalFormatting sqref="J6:K40">
    <cfRule type="cellIs" dxfId="41" priority="3" stopIfTrue="1" operator="lessThan">
      <formula>1</formula>
    </cfRule>
    <cfRule type="cellIs" dxfId="40"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allowBlank="1" showDropDown="1" showInputMessage="1" showErrorMessage="1" sqref="I1"/>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75" zoomScaleNormal="75" workbookViewId="0">
      <selection activeCell="F11" sqref="F11"/>
    </sheetView>
  </sheetViews>
  <sheetFormatPr baseColWidth="10" defaultRowHeight="12.75" x14ac:dyDescent="0.2"/>
  <cols>
    <col min="1" max="1" width="4.7109375" style="104" customWidth="1"/>
    <col min="2" max="2" width="18.28515625" style="104" customWidth="1"/>
    <col min="3" max="3" width="19" style="104" customWidth="1"/>
    <col min="4" max="4" width="19.5703125" style="104" bestFit="1" customWidth="1"/>
    <col min="5" max="5" width="18.28515625" style="104" customWidth="1"/>
    <col min="6" max="6" width="14" style="104" customWidth="1"/>
    <col min="7" max="7" width="17.28515625" style="104" bestFit="1" customWidth="1"/>
    <col min="8" max="16384" width="11.42578125" style="104"/>
  </cols>
  <sheetData>
    <row r="1" spans="1:7" x14ac:dyDescent="0.2">
      <c r="A1" s="123"/>
      <c r="B1" s="123"/>
      <c r="C1" s="123"/>
      <c r="D1" s="123"/>
      <c r="E1" s="123"/>
      <c r="F1" s="123"/>
      <c r="G1" s="123"/>
    </row>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6" spans="1:7" x14ac:dyDescent="0.2">
      <c r="A6" s="123"/>
      <c r="B6" s="123"/>
      <c r="C6" s="123"/>
      <c r="D6" s="123"/>
      <c r="E6" s="123"/>
      <c r="F6" s="123"/>
      <c r="G6" s="123"/>
    </row>
    <row r="7" spans="1:7" ht="15.75" x14ac:dyDescent="0.25">
      <c r="A7" s="503" t="s">
        <v>90</v>
      </c>
      <c r="B7" s="504"/>
      <c r="C7" s="504"/>
      <c r="D7" s="504"/>
      <c r="E7" s="504"/>
      <c r="F7" s="504"/>
      <c r="G7" s="505"/>
    </row>
    <row r="8" spans="1:7" x14ac:dyDescent="0.2">
      <c r="A8" s="132"/>
      <c r="B8" s="127"/>
      <c r="C8" s="127"/>
      <c r="D8" s="127"/>
      <c r="E8" s="127"/>
      <c r="F8" s="127"/>
      <c r="G8" s="128"/>
    </row>
    <row r="9" spans="1:7" x14ac:dyDescent="0.2">
      <c r="A9" s="125"/>
      <c r="B9" s="133" t="s">
        <v>89</v>
      </c>
      <c r="C9" s="506" t="s">
        <v>88</v>
      </c>
      <c r="D9" s="506"/>
      <c r="E9" s="126"/>
      <c r="F9" s="126"/>
      <c r="G9" s="129"/>
    </row>
    <row r="10" spans="1:7" ht="25.5" customHeight="1" x14ac:dyDescent="0.2">
      <c r="A10" s="125"/>
      <c r="B10" s="133"/>
      <c r="C10" s="134" t="s">
        <v>87</v>
      </c>
      <c r="D10" s="134" t="s">
        <v>86</v>
      </c>
      <c r="E10" s="134" t="s">
        <v>93</v>
      </c>
      <c r="F10" s="134" t="s">
        <v>94</v>
      </c>
      <c r="G10" s="129"/>
    </row>
    <row r="11" spans="1:7" x14ac:dyDescent="0.2">
      <c r="A11" s="135">
        <v>1</v>
      </c>
      <c r="B11" s="121" t="str">
        <f>IF('1. Halbjahr'!B4&lt;&gt;"", '1. Halbjahr'!B4, "")</f>
        <v/>
      </c>
      <c r="C11" s="136" t="str">
        <f>IF(APRohpunkte!AE4="",'Eingabe Abitur'!Q11,APRohpunkte!AE4)</f>
        <v/>
      </c>
      <c r="D11" s="137" t="str">
        <f>IF(APRohpunkte!AE4="",'Eingabe Abitur'!Q12,APRohpunkte!AE4+APRohpunkte!AF4)</f>
        <v/>
      </c>
      <c r="E11" s="136" t="str">
        <f ca="1">AP!G6</f>
        <v/>
      </c>
      <c r="F11" s="443" t="str">
        <f ca="1">IF(D11="","",IF(AP!$E$42="BE",INDIRECT("AP!P"&amp;MATCH(ROUNDUP(D11, 0) / AP!$E$44 * 100,AP!$Q$4:$Q$20,-1)+4),D11))</f>
        <v/>
      </c>
      <c r="G11" s="404" t="str">
        <f ca="1">IF(E11&lt;&gt;F11,"KEINE EINIGUNG","")</f>
        <v/>
      </c>
    </row>
    <row r="12" spans="1:7" x14ac:dyDescent="0.2">
      <c r="A12" s="135">
        <v>2</v>
      </c>
      <c r="B12" s="121" t="str">
        <f>IF('1. Halbjahr'!B5&lt;&gt;"", '1. Halbjahr'!B5, "")</f>
        <v/>
      </c>
      <c r="C12" s="136" t="str">
        <f>IF(APRohpunkte!AE5="",'Eingabe Abitur'!Q13,APRohpunkte!AE5)</f>
        <v/>
      </c>
      <c r="D12" s="137" t="str">
        <f>IF(APRohpunkte!AE5="",'Eingabe Abitur'!Q14,APRohpunkte!AE5+APRohpunkte!AF5)</f>
        <v/>
      </c>
      <c r="E12" s="136" t="str">
        <f ca="1">AP!G7</f>
        <v/>
      </c>
      <c r="F12" s="443" t="str">
        <f ca="1">IF(D12="","",IF(AP!$E$42="BE",INDIRECT("AP!P"&amp;MATCH(ROUNDUP(D12, 0) / AP!$E$44 * 100,AP!$Q$4:$Q$20,-1)+4),D12))</f>
        <v/>
      </c>
      <c r="G12" s="404" t="str">
        <f t="shared" ref="G12:G45" ca="1" si="0">IF(E12&lt;&gt;F12,"KEINE EINIGUNG","")</f>
        <v/>
      </c>
    </row>
    <row r="13" spans="1:7" x14ac:dyDescent="0.2">
      <c r="A13" s="135">
        <v>3</v>
      </c>
      <c r="B13" s="121" t="str">
        <f>IF('1. Halbjahr'!B6&lt;&gt;"", '1. Halbjahr'!B6, "")</f>
        <v/>
      </c>
      <c r="C13" s="136" t="str">
        <f>IF(APRohpunkte!AE6="",'Eingabe Abitur'!Q15,APRohpunkte!AE6)</f>
        <v/>
      </c>
      <c r="D13" s="137" t="str">
        <f>IF(APRohpunkte!AE6="",'Eingabe Abitur'!Q16,APRohpunkte!AE6+APRohpunkte!AF6)</f>
        <v/>
      </c>
      <c r="E13" s="136" t="str">
        <f ca="1">AP!G8</f>
        <v/>
      </c>
      <c r="F13" s="443" t="str">
        <f ca="1">IF(D13="","",IF(AP!$E$42="BE",INDIRECT("AP!P"&amp;MATCH(ROUNDUP(D13, 0) / AP!$E$44 * 100,AP!$Q$4:$Q$20,-1)+4),D13))</f>
        <v/>
      </c>
      <c r="G13" s="404" t="str">
        <f t="shared" ca="1" si="0"/>
        <v/>
      </c>
    </row>
    <row r="14" spans="1:7" x14ac:dyDescent="0.2">
      <c r="A14" s="135">
        <v>4</v>
      </c>
      <c r="B14" s="121" t="str">
        <f>IF('1. Halbjahr'!B7&lt;&gt;"", '1. Halbjahr'!B7, "")</f>
        <v/>
      </c>
      <c r="C14" s="136" t="str">
        <f>IF(APRohpunkte!AE7="",'Eingabe Abitur'!Q17,APRohpunkte!AE7)</f>
        <v/>
      </c>
      <c r="D14" s="137" t="str">
        <f>IF(APRohpunkte!AE7="",'Eingabe Abitur'!Q18,APRohpunkte!AE7+APRohpunkte!AF7)</f>
        <v/>
      </c>
      <c r="E14" s="136" t="str">
        <f ca="1">AP!G9</f>
        <v/>
      </c>
      <c r="F14" s="443" t="str">
        <f ca="1">IF(D14="","",IF(AP!$E$42="BE",INDIRECT("AP!P"&amp;MATCH(ROUNDUP(D14, 0) / AP!$E$44 * 100,AP!$Q$4:$Q$20,-1)+4),D14))</f>
        <v/>
      </c>
      <c r="G14" s="404" t="str">
        <f t="shared" ca="1" si="0"/>
        <v/>
      </c>
    </row>
    <row r="15" spans="1:7" x14ac:dyDescent="0.2">
      <c r="A15" s="135">
        <v>5</v>
      </c>
      <c r="B15" s="121" t="str">
        <f>IF('1. Halbjahr'!B8&lt;&gt;"", '1. Halbjahr'!B8, "")</f>
        <v/>
      </c>
      <c r="C15" s="136" t="str">
        <f>IF(APRohpunkte!AE8="",'Eingabe Abitur'!Q19,APRohpunkte!AE8)</f>
        <v/>
      </c>
      <c r="D15" s="137" t="str">
        <f>IF(APRohpunkte!AE8="",'Eingabe Abitur'!Q20,APRohpunkte!AE8+APRohpunkte!AF8)</f>
        <v/>
      </c>
      <c r="E15" s="136" t="str">
        <f ca="1">AP!G10</f>
        <v/>
      </c>
      <c r="F15" s="443" t="str">
        <f ca="1">IF(D15="","",IF(AP!$E$42="BE",INDIRECT("AP!P"&amp;MATCH(ROUNDUP(D15, 0) / AP!$E$44 * 100,AP!$Q$4:$Q$20,-1)+4),D15))</f>
        <v/>
      </c>
      <c r="G15" s="404" t="str">
        <f t="shared" ca="1" si="0"/>
        <v/>
      </c>
    </row>
    <row r="16" spans="1:7" x14ac:dyDescent="0.2">
      <c r="A16" s="135">
        <v>6</v>
      </c>
      <c r="B16" s="121" t="str">
        <f>IF('1. Halbjahr'!B9&lt;&gt;"", '1. Halbjahr'!B9, "")</f>
        <v/>
      </c>
      <c r="C16" s="136" t="str">
        <f>IF(APRohpunkte!AE9="",'Eingabe Abitur'!Q21,APRohpunkte!AE9)</f>
        <v/>
      </c>
      <c r="D16" s="137" t="str">
        <f>IF(APRohpunkte!AE9="",'Eingabe Abitur'!Q22,APRohpunkte!AE9+APRohpunkte!AF9)</f>
        <v/>
      </c>
      <c r="E16" s="136" t="str">
        <f ca="1">AP!G11</f>
        <v/>
      </c>
      <c r="F16" s="443" t="str">
        <f ca="1">IF(D16="","",IF(AP!$E$42="BE",INDIRECT("AP!P"&amp;MATCH(ROUNDUP(D16, 0) / AP!$E$44 * 100,AP!$Q$4:$Q$20,-1)+4),D16))</f>
        <v/>
      </c>
      <c r="G16" s="404" t="str">
        <f t="shared" ca="1" si="0"/>
        <v/>
      </c>
    </row>
    <row r="17" spans="1:7" x14ac:dyDescent="0.2">
      <c r="A17" s="135">
        <v>7</v>
      </c>
      <c r="B17" s="121" t="str">
        <f>IF('1. Halbjahr'!B10&lt;&gt;"", '1. Halbjahr'!B10, "")</f>
        <v/>
      </c>
      <c r="C17" s="136" t="str">
        <f>IF(APRohpunkte!AE10="",'Eingabe Abitur'!Q23,APRohpunkte!AE10)</f>
        <v/>
      </c>
      <c r="D17" s="137" t="str">
        <f>IF(APRohpunkte!AE10="",'Eingabe Abitur'!Q24,APRohpunkte!AE10+APRohpunkte!AF10)</f>
        <v/>
      </c>
      <c r="E17" s="136" t="str">
        <f ca="1">AP!G12</f>
        <v/>
      </c>
      <c r="F17" s="443" t="str">
        <f ca="1">IF(D17="","",IF(AP!$E$42="BE",INDIRECT("AP!P"&amp;MATCH(ROUNDUP(D17, 0) / AP!$E$44 * 100,AP!$Q$4:$Q$20,-1)+4),D17))</f>
        <v/>
      </c>
      <c r="G17" s="404" t="str">
        <f t="shared" ca="1" si="0"/>
        <v/>
      </c>
    </row>
    <row r="18" spans="1:7" x14ac:dyDescent="0.2">
      <c r="A18" s="135">
        <v>8</v>
      </c>
      <c r="B18" s="121" t="str">
        <f>IF('1. Halbjahr'!B11&lt;&gt;"", '1. Halbjahr'!B11, "")</f>
        <v/>
      </c>
      <c r="C18" s="136" t="str">
        <f>IF(APRohpunkte!AE11="",'Eingabe Abitur'!Q25,APRohpunkte!AE11)</f>
        <v/>
      </c>
      <c r="D18" s="137" t="str">
        <f>IF(APRohpunkte!AE11="",'Eingabe Abitur'!Q26,APRohpunkte!AE11+APRohpunkte!AF11)</f>
        <v/>
      </c>
      <c r="E18" s="136" t="str">
        <f ca="1">AP!G13</f>
        <v/>
      </c>
      <c r="F18" s="443" t="str">
        <f ca="1">IF(D18="","",IF(AP!$E$42="BE",INDIRECT("AP!P"&amp;MATCH(ROUNDUP(D18, 0) / AP!$E$44 * 100,AP!$Q$4:$Q$20,-1)+4),D18))</f>
        <v/>
      </c>
      <c r="G18" s="404" t="str">
        <f t="shared" ca="1" si="0"/>
        <v/>
      </c>
    </row>
    <row r="19" spans="1:7" x14ac:dyDescent="0.2">
      <c r="A19" s="135">
        <v>9</v>
      </c>
      <c r="B19" s="121" t="str">
        <f>IF('1. Halbjahr'!B12&lt;&gt;"", '1. Halbjahr'!B12, "")</f>
        <v/>
      </c>
      <c r="C19" s="136" t="str">
        <f>IF(APRohpunkte!AE12="",'Eingabe Abitur'!Q27,APRohpunkte!AE12)</f>
        <v/>
      </c>
      <c r="D19" s="137" t="str">
        <f>IF(APRohpunkte!AE12="",'Eingabe Abitur'!Q28,APRohpunkte!AE12+APRohpunkte!AF12)</f>
        <v/>
      </c>
      <c r="E19" s="136" t="str">
        <f ca="1">AP!G14</f>
        <v/>
      </c>
      <c r="F19" s="443" t="str">
        <f ca="1">IF(D19="","",IF(AP!$E$42="BE",INDIRECT("AP!P"&amp;MATCH(ROUNDUP(D19, 0) / AP!$E$44 * 100,AP!$Q$4:$Q$20,-1)+4),D19))</f>
        <v/>
      </c>
      <c r="G19" s="404" t="str">
        <f t="shared" ca="1" si="0"/>
        <v/>
      </c>
    </row>
    <row r="20" spans="1:7" x14ac:dyDescent="0.2">
      <c r="A20" s="135">
        <v>10</v>
      </c>
      <c r="B20" s="121" t="str">
        <f>IF('1. Halbjahr'!B13&lt;&gt;"", '1. Halbjahr'!B13, "")</f>
        <v/>
      </c>
      <c r="C20" s="136" t="str">
        <f>IF(APRohpunkte!AE13="",'Eingabe Abitur'!Q29,APRohpunkte!AE13)</f>
        <v/>
      </c>
      <c r="D20" s="137" t="str">
        <f>IF(APRohpunkte!AE13="",'Eingabe Abitur'!Q30,APRohpunkte!AE13+APRohpunkte!AF13)</f>
        <v/>
      </c>
      <c r="E20" s="136" t="str">
        <f ca="1">AP!G15</f>
        <v/>
      </c>
      <c r="F20" s="443" t="str">
        <f ca="1">IF(D20="","",IF(AP!$E$42="BE",INDIRECT("AP!P"&amp;MATCH(ROUNDUP(D20, 0) / AP!$E$44 * 100,AP!$Q$4:$Q$20,-1)+4),D20))</f>
        <v/>
      </c>
      <c r="G20" s="404" t="str">
        <f t="shared" ca="1" si="0"/>
        <v/>
      </c>
    </row>
    <row r="21" spans="1:7" x14ac:dyDescent="0.2">
      <c r="A21" s="135">
        <v>11</v>
      </c>
      <c r="B21" s="121" t="str">
        <f>IF('1. Halbjahr'!B14&lt;&gt;"", '1. Halbjahr'!B14, "")</f>
        <v/>
      </c>
      <c r="C21" s="136" t="str">
        <f>IF(APRohpunkte!AE14="",'Eingabe Abitur'!Q31,APRohpunkte!AE14)</f>
        <v/>
      </c>
      <c r="D21" s="137" t="str">
        <f>IF(APRohpunkte!AE14="",'Eingabe Abitur'!Q32,APRohpunkte!AE14+APRohpunkte!AF14)</f>
        <v/>
      </c>
      <c r="E21" s="136" t="str">
        <f ca="1">AP!G16</f>
        <v/>
      </c>
      <c r="F21" s="443" t="str">
        <f ca="1">IF(D21="","",IF(AP!$E$42="BE",INDIRECT("AP!P"&amp;MATCH(ROUNDUP(D21, 0) / AP!$E$44 * 100,AP!$Q$4:$Q$20,-1)+4),D21))</f>
        <v/>
      </c>
      <c r="G21" s="404" t="str">
        <f t="shared" ca="1" si="0"/>
        <v/>
      </c>
    </row>
    <row r="22" spans="1:7" x14ac:dyDescent="0.2">
      <c r="A22" s="135">
        <v>12</v>
      </c>
      <c r="B22" s="121" t="str">
        <f>IF('1. Halbjahr'!B15&lt;&gt;"", '1. Halbjahr'!B15, "")</f>
        <v/>
      </c>
      <c r="C22" s="136" t="str">
        <f>IF(APRohpunkte!AE15="",'Eingabe Abitur'!Q33,APRohpunkte!AE15)</f>
        <v/>
      </c>
      <c r="D22" s="137" t="str">
        <f>IF(APRohpunkte!AE15="",'Eingabe Abitur'!Q34,APRohpunkte!AE15+APRohpunkte!AF15)</f>
        <v/>
      </c>
      <c r="E22" s="136" t="str">
        <f ca="1">AP!G17</f>
        <v/>
      </c>
      <c r="F22" s="443" t="str">
        <f ca="1">IF(D22="","",IF(AP!$E$42="BE",INDIRECT("AP!P"&amp;MATCH(ROUNDUP(D22, 0) / AP!$E$44 * 100,AP!$Q$4:$Q$20,-1)+4),D22))</f>
        <v/>
      </c>
      <c r="G22" s="404" t="str">
        <f t="shared" ca="1" si="0"/>
        <v/>
      </c>
    </row>
    <row r="23" spans="1:7" x14ac:dyDescent="0.2">
      <c r="A23" s="135">
        <v>13</v>
      </c>
      <c r="B23" s="121" t="str">
        <f>IF('1. Halbjahr'!B16&lt;&gt;"", '1. Halbjahr'!B16, "")</f>
        <v/>
      </c>
      <c r="C23" s="136" t="str">
        <f>IF(APRohpunkte!AE16="",'Eingabe Abitur'!Q35,APRohpunkte!AE16)</f>
        <v/>
      </c>
      <c r="D23" s="137" t="str">
        <f>IF(APRohpunkte!AE16="",'Eingabe Abitur'!Q36,APRohpunkte!AE16+APRohpunkte!AF16)</f>
        <v/>
      </c>
      <c r="E23" s="136" t="str">
        <f ca="1">AP!G18</f>
        <v/>
      </c>
      <c r="F23" s="443" t="str">
        <f ca="1">IF(D23="","",IF(AP!$E$42="BE",INDIRECT("AP!P"&amp;MATCH(ROUNDUP(D23, 0) / AP!$E$44 * 100,AP!$Q$4:$Q$20,-1)+4),D23))</f>
        <v/>
      </c>
      <c r="G23" s="404" t="str">
        <f t="shared" ca="1" si="0"/>
        <v/>
      </c>
    </row>
    <row r="24" spans="1:7" x14ac:dyDescent="0.2">
      <c r="A24" s="135">
        <v>14</v>
      </c>
      <c r="B24" s="121" t="str">
        <f>IF('1. Halbjahr'!B17&lt;&gt;"", '1. Halbjahr'!B17, "")</f>
        <v/>
      </c>
      <c r="C24" s="136" t="str">
        <f>IF(APRohpunkte!AE17="",'Eingabe Abitur'!Q37,APRohpunkte!AE17)</f>
        <v/>
      </c>
      <c r="D24" s="137" t="str">
        <f>IF(APRohpunkte!AE17="",'Eingabe Abitur'!Q38,APRohpunkte!AE17+APRohpunkte!AF17)</f>
        <v/>
      </c>
      <c r="E24" s="136" t="str">
        <f ca="1">AP!G19</f>
        <v/>
      </c>
      <c r="F24" s="443" t="str">
        <f ca="1">IF(D24="","",IF(AP!$E$42="BE",INDIRECT("AP!P"&amp;MATCH(ROUNDUP(D24, 0) / AP!$E$44 * 100,AP!$Q$4:$Q$20,-1)+4),D24))</f>
        <v/>
      </c>
      <c r="G24" s="404" t="str">
        <f t="shared" ca="1" si="0"/>
        <v/>
      </c>
    </row>
    <row r="25" spans="1:7" x14ac:dyDescent="0.2">
      <c r="A25" s="135">
        <v>15</v>
      </c>
      <c r="B25" s="121" t="str">
        <f>IF('1. Halbjahr'!B18&lt;&gt;"", '1. Halbjahr'!B18, "")</f>
        <v/>
      </c>
      <c r="C25" s="136" t="str">
        <f>IF(APRohpunkte!AE18="",'Eingabe Abitur'!Q39,APRohpunkte!AE18)</f>
        <v/>
      </c>
      <c r="D25" s="137" t="str">
        <f>IF(APRohpunkte!AE18="",'Eingabe Abitur'!Q40,APRohpunkte!AE18+APRohpunkte!AF18)</f>
        <v/>
      </c>
      <c r="E25" s="136" t="str">
        <f ca="1">AP!G20</f>
        <v/>
      </c>
      <c r="F25" s="443" t="str">
        <f ca="1">IF(D25="","",IF(AP!$E$42="BE",INDIRECT("AP!P"&amp;MATCH(ROUNDUP(D25, 0) / AP!$E$44 * 100,AP!$Q$4:$Q$20,-1)+4),D25))</f>
        <v/>
      </c>
      <c r="G25" s="404" t="str">
        <f t="shared" ca="1" si="0"/>
        <v/>
      </c>
    </row>
    <row r="26" spans="1:7" x14ac:dyDescent="0.2">
      <c r="A26" s="135">
        <v>16</v>
      </c>
      <c r="B26" s="121" t="str">
        <f>IF('1. Halbjahr'!B19&lt;&gt;"", '1. Halbjahr'!B19, "")</f>
        <v/>
      </c>
      <c r="C26" s="136" t="str">
        <f>IF(APRohpunkte!AE19="",'Eingabe Abitur'!Q41,APRohpunkte!AE19)</f>
        <v/>
      </c>
      <c r="D26" s="137" t="str">
        <f>IF(APRohpunkte!AE19="",'Eingabe Abitur'!Q42,APRohpunkte!AE19+APRohpunkte!AF19)</f>
        <v/>
      </c>
      <c r="E26" s="136" t="str">
        <f ca="1">AP!G21</f>
        <v/>
      </c>
      <c r="F26" s="443" t="str">
        <f ca="1">IF(D26="","",IF(AP!$E$42="BE",INDIRECT("AP!P"&amp;MATCH(ROUNDUP(D26, 0) / AP!$E$44 * 100,AP!$Q$4:$Q$20,-1)+4),D26))</f>
        <v/>
      </c>
      <c r="G26" s="404" t="str">
        <f t="shared" ca="1" si="0"/>
        <v/>
      </c>
    </row>
    <row r="27" spans="1:7" x14ac:dyDescent="0.2">
      <c r="A27" s="135">
        <v>17</v>
      </c>
      <c r="B27" s="121" t="str">
        <f>IF('1. Halbjahr'!B20&lt;&gt;"", '1. Halbjahr'!B20, "")</f>
        <v/>
      </c>
      <c r="C27" s="136" t="str">
        <f>IF(APRohpunkte!AE20="",'Eingabe Abitur'!Q43,APRohpunkte!AE20)</f>
        <v/>
      </c>
      <c r="D27" s="137" t="str">
        <f>IF(APRohpunkte!AE20="",'Eingabe Abitur'!Q44,APRohpunkte!AE20+APRohpunkte!AF20)</f>
        <v/>
      </c>
      <c r="E27" s="136" t="str">
        <f ca="1">AP!G22</f>
        <v/>
      </c>
      <c r="F27" s="443" t="str">
        <f ca="1">IF(D27="","",IF(AP!$E$42="BE",INDIRECT("AP!P"&amp;MATCH(ROUNDUP(D27, 0) / AP!$E$44 * 100,AP!$Q$4:$Q$20,-1)+4),D27))</f>
        <v/>
      </c>
      <c r="G27" s="404" t="str">
        <f t="shared" ca="1" si="0"/>
        <v/>
      </c>
    </row>
    <row r="28" spans="1:7" x14ac:dyDescent="0.2">
      <c r="A28" s="135">
        <v>18</v>
      </c>
      <c r="B28" s="121" t="str">
        <f>IF('1. Halbjahr'!B21&lt;&gt;"", '1. Halbjahr'!B21, "")</f>
        <v/>
      </c>
      <c r="C28" s="136" t="str">
        <f>IF(APRohpunkte!AE21="",'Eingabe Abitur'!Q45,APRohpunkte!AE21)</f>
        <v/>
      </c>
      <c r="D28" s="137" t="str">
        <f>IF(APRohpunkte!AE21="",'Eingabe Abitur'!Q46,APRohpunkte!AE21+APRohpunkte!AF21)</f>
        <v/>
      </c>
      <c r="E28" s="136" t="str">
        <f ca="1">AP!G23</f>
        <v/>
      </c>
      <c r="F28" s="443" t="str">
        <f ca="1">IF(D28="","",IF(AP!$E$42="BE",INDIRECT("AP!P"&amp;MATCH(ROUNDUP(D28, 0) / AP!$E$44 * 100,AP!$Q$4:$Q$20,-1)+4),D28))</f>
        <v/>
      </c>
      <c r="G28" s="404" t="str">
        <f t="shared" ca="1" si="0"/>
        <v/>
      </c>
    </row>
    <row r="29" spans="1:7" x14ac:dyDescent="0.2">
      <c r="A29" s="135">
        <v>19</v>
      </c>
      <c r="B29" s="121" t="str">
        <f>IF('1. Halbjahr'!B22&lt;&gt;"", '1. Halbjahr'!B22, "")</f>
        <v/>
      </c>
      <c r="C29" s="136" t="str">
        <f>IF(APRohpunkte!AE22="",'Eingabe Abitur'!Q47,APRohpunkte!AE22)</f>
        <v/>
      </c>
      <c r="D29" s="137" t="str">
        <f>IF(APRohpunkte!AE22="",'Eingabe Abitur'!Q48,APRohpunkte!AE22+APRohpunkte!AF22)</f>
        <v/>
      </c>
      <c r="E29" s="136" t="str">
        <f ca="1">AP!G24</f>
        <v/>
      </c>
      <c r="F29" s="443" t="str">
        <f ca="1">IF(D29="","",IF(AP!$E$42="BE",INDIRECT("AP!P"&amp;MATCH(ROUNDUP(D29, 0) / AP!$E$44 * 100,AP!$Q$4:$Q$20,-1)+4),D29))</f>
        <v/>
      </c>
      <c r="G29" s="404" t="str">
        <f t="shared" ca="1" si="0"/>
        <v/>
      </c>
    </row>
    <row r="30" spans="1:7" x14ac:dyDescent="0.2">
      <c r="A30" s="135">
        <v>20</v>
      </c>
      <c r="B30" s="121" t="str">
        <f>IF('1. Halbjahr'!B23&lt;&gt;"", '1. Halbjahr'!B23, "")</f>
        <v/>
      </c>
      <c r="C30" s="136" t="str">
        <f>IF(APRohpunkte!AE23="",'Eingabe Abitur'!Q49,APRohpunkte!AE23)</f>
        <v/>
      </c>
      <c r="D30" s="137" t="str">
        <f>IF(APRohpunkte!AE23="",'Eingabe Abitur'!Q50,APRohpunkte!AE23+APRohpunkte!AF23)</f>
        <v/>
      </c>
      <c r="E30" s="136" t="str">
        <f ca="1">AP!G25</f>
        <v/>
      </c>
      <c r="F30" s="443" t="str">
        <f ca="1">IF(D30="","",IF(AP!$E$42="BE",INDIRECT("AP!P"&amp;MATCH(ROUNDUP(D30, 0) / AP!$E$44 * 100,AP!$Q$4:$Q$20,-1)+4),D30))</f>
        <v/>
      </c>
      <c r="G30" s="404" t="str">
        <f t="shared" ca="1" si="0"/>
        <v/>
      </c>
    </row>
    <row r="31" spans="1:7" x14ac:dyDescent="0.2">
      <c r="A31" s="135">
        <v>21</v>
      </c>
      <c r="B31" s="121" t="str">
        <f>IF('1. Halbjahr'!B24&lt;&gt;"", '1. Halbjahr'!B24, "")</f>
        <v/>
      </c>
      <c r="C31" s="136" t="str">
        <f>IF(APRohpunkte!AE24="",'Eingabe Abitur'!Q51,APRohpunkte!AE24)</f>
        <v/>
      </c>
      <c r="D31" s="137" t="str">
        <f>IF(APRohpunkte!AE24="",'Eingabe Abitur'!Q52,APRohpunkte!AE24+APRohpunkte!AF24)</f>
        <v/>
      </c>
      <c r="E31" s="136" t="str">
        <f ca="1">AP!G26</f>
        <v/>
      </c>
      <c r="F31" s="443" t="str">
        <f ca="1">IF(D31="","",IF(AP!$E$42="BE",INDIRECT("AP!P"&amp;MATCH(ROUNDUP(D31, 0) / AP!$E$44 * 100,AP!$Q$4:$Q$20,-1)+4),D31))</f>
        <v/>
      </c>
      <c r="G31" s="404" t="str">
        <f t="shared" ca="1" si="0"/>
        <v/>
      </c>
    </row>
    <row r="32" spans="1:7" x14ac:dyDescent="0.2">
      <c r="A32" s="135">
        <v>22</v>
      </c>
      <c r="B32" s="121" t="str">
        <f>IF('1. Halbjahr'!B25&lt;&gt;"", '1. Halbjahr'!B25, "")</f>
        <v/>
      </c>
      <c r="C32" s="136" t="str">
        <f>IF(APRohpunkte!AE25="",'Eingabe Abitur'!Q53,APRohpunkte!AE25)</f>
        <v/>
      </c>
      <c r="D32" s="137" t="str">
        <f>IF(APRohpunkte!AE25="",'Eingabe Abitur'!Q54,APRohpunkte!AE25+APRohpunkte!AF25)</f>
        <v/>
      </c>
      <c r="E32" s="136" t="str">
        <f ca="1">AP!G27</f>
        <v/>
      </c>
      <c r="F32" s="443" t="str">
        <f ca="1">IF(D32="","",IF(AP!$E$42="BE",INDIRECT("AP!P"&amp;MATCH(ROUNDUP(D32, 0) / AP!$E$44 * 100,AP!$Q$4:$Q$20,-1)+4),D32))</f>
        <v/>
      </c>
      <c r="G32" s="404" t="str">
        <f t="shared" ca="1" si="0"/>
        <v/>
      </c>
    </row>
    <row r="33" spans="1:7" x14ac:dyDescent="0.2">
      <c r="A33" s="135">
        <v>23</v>
      </c>
      <c r="B33" s="121" t="str">
        <f>IF('1. Halbjahr'!B26&lt;&gt;"", '1. Halbjahr'!B26, "")</f>
        <v/>
      </c>
      <c r="C33" s="136" t="str">
        <f>IF(APRohpunkte!AE26="",'Eingabe Abitur'!Q55,APRohpunkte!AE26)</f>
        <v/>
      </c>
      <c r="D33" s="137" t="str">
        <f>IF(APRohpunkte!AE26="",'Eingabe Abitur'!Q56,APRohpunkte!AE26+APRohpunkte!AF26)</f>
        <v/>
      </c>
      <c r="E33" s="136" t="str">
        <f ca="1">AP!G28</f>
        <v/>
      </c>
      <c r="F33" s="443" t="str">
        <f ca="1">IF(D33="","",IF(AP!$E$42="BE",INDIRECT("AP!P"&amp;MATCH(ROUNDUP(D33, 0) / AP!$E$44 * 100,AP!$Q$4:$Q$20,-1)+4),D33))</f>
        <v/>
      </c>
      <c r="G33" s="404" t="str">
        <f t="shared" ca="1" si="0"/>
        <v/>
      </c>
    </row>
    <row r="34" spans="1:7" x14ac:dyDescent="0.2">
      <c r="A34" s="135">
        <v>24</v>
      </c>
      <c r="B34" s="121" t="str">
        <f>IF('1. Halbjahr'!B27&lt;&gt;"", '1. Halbjahr'!B27, "")</f>
        <v/>
      </c>
      <c r="C34" s="136" t="str">
        <f>IF(APRohpunkte!AE27="",'Eingabe Abitur'!Q57,APRohpunkte!AE27)</f>
        <v/>
      </c>
      <c r="D34" s="137" t="str">
        <f>IF(APRohpunkte!AE27="",'Eingabe Abitur'!Q58,APRohpunkte!AE27+APRohpunkte!AF27)</f>
        <v/>
      </c>
      <c r="E34" s="136" t="str">
        <f ca="1">AP!G29</f>
        <v/>
      </c>
      <c r="F34" s="443" t="str">
        <f ca="1">IF(D34="","",IF(AP!$E$42="BE",INDIRECT("AP!P"&amp;MATCH(ROUNDUP(D34, 0) / AP!$E$44 * 100,AP!$Q$4:$Q$20,-1)+4),D34))</f>
        <v/>
      </c>
      <c r="G34" s="404" t="str">
        <f t="shared" ca="1" si="0"/>
        <v/>
      </c>
    </row>
    <row r="35" spans="1:7" x14ac:dyDescent="0.2">
      <c r="A35" s="135">
        <v>25</v>
      </c>
      <c r="B35" s="121" t="str">
        <f>IF('1. Halbjahr'!B28&lt;&gt;"", '1. Halbjahr'!B28, "")</f>
        <v/>
      </c>
      <c r="C35" s="136" t="str">
        <f>IF(APRohpunkte!AE28="",'Eingabe Abitur'!Q59,APRohpunkte!AE28)</f>
        <v/>
      </c>
      <c r="D35" s="137" t="str">
        <f>IF(APRohpunkte!AE28="",'Eingabe Abitur'!Q60,APRohpunkte!AE28+APRohpunkte!AF28)</f>
        <v/>
      </c>
      <c r="E35" s="136" t="str">
        <f ca="1">AP!G30</f>
        <v/>
      </c>
      <c r="F35" s="443" t="str">
        <f ca="1">IF(D35="","",IF(AP!$E$42="BE",INDIRECT("AP!P"&amp;MATCH(ROUNDUP(D35, 0) / AP!$E$44 * 100,AP!$Q$4:$Q$20,-1)+4),D35))</f>
        <v/>
      </c>
      <c r="G35" s="404" t="str">
        <f t="shared" ca="1" si="0"/>
        <v/>
      </c>
    </row>
    <row r="36" spans="1:7" x14ac:dyDescent="0.2">
      <c r="A36" s="135">
        <v>26</v>
      </c>
      <c r="B36" s="121" t="str">
        <f>IF('1. Halbjahr'!B29&lt;&gt;"", '1. Halbjahr'!B29, "")</f>
        <v/>
      </c>
      <c r="C36" s="136" t="str">
        <f>IF(APRohpunkte!AE29="",'Eingabe Abitur'!Q61,APRohpunkte!AE29)</f>
        <v/>
      </c>
      <c r="D36" s="137" t="str">
        <f>IF(APRohpunkte!AE29="",'Eingabe Abitur'!Q62,APRohpunkte!AE29+APRohpunkte!AF29)</f>
        <v/>
      </c>
      <c r="E36" s="136" t="str">
        <f ca="1">AP!G31</f>
        <v/>
      </c>
      <c r="F36" s="443" t="str">
        <f ca="1">IF(D36="","",IF(AP!$E$42="BE",INDIRECT("AP!P"&amp;MATCH(ROUNDUP(D36, 0) / AP!$E$44 * 100,AP!$Q$4:$Q$20,-1)+4),D36))</f>
        <v/>
      </c>
      <c r="G36" s="404" t="str">
        <f t="shared" ca="1" si="0"/>
        <v/>
      </c>
    </row>
    <row r="37" spans="1:7" x14ac:dyDescent="0.2">
      <c r="A37" s="135">
        <v>27</v>
      </c>
      <c r="B37" s="121" t="str">
        <f>IF('1. Halbjahr'!B30&lt;&gt;"", '1. Halbjahr'!B30, "")</f>
        <v/>
      </c>
      <c r="C37" s="136" t="str">
        <f>IF(APRohpunkte!AE30="",'Eingabe Abitur'!Q63,APRohpunkte!AE30)</f>
        <v/>
      </c>
      <c r="D37" s="137" t="str">
        <f>IF(APRohpunkte!AE30="",'Eingabe Abitur'!Q64,APRohpunkte!AE30+APRohpunkte!AF30)</f>
        <v/>
      </c>
      <c r="E37" s="136" t="str">
        <f ca="1">AP!G32</f>
        <v/>
      </c>
      <c r="F37" s="443" t="str">
        <f ca="1">IF(D37="","",IF(AP!$E$42="BE",INDIRECT("AP!P"&amp;MATCH(ROUNDUP(D37, 0) / AP!$E$44 * 100,AP!$Q$4:$Q$20,-1)+4),D37))</f>
        <v/>
      </c>
      <c r="G37" s="404" t="str">
        <f t="shared" ca="1" si="0"/>
        <v/>
      </c>
    </row>
    <row r="38" spans="1:7" x14ac:dyDescent="0.2">
      <c r="A38" s="135">
        <v>28</v>
      </c>
      <c r="B38" s="121" t="str">
        <f>IF('1. Halbjahr'!B31&lt;&gt;"", '1. Halbjahr'!B31, "")</f>
        <v/>
      </c>
      <c r="C38" s="136" t="str">
        <f>IF(APRohpunkte!AE31="",'Eingabe Abitur'!Q65,APRohpunkte!AE31)</f>
        <v/>
      </c>
      <c r="D38" s="137" t="str">
        <f>IF(APRohpunkte!AE31="",'Eingabe Abitur'!Q66,APRohpunkte!AE31+APRohpunkte!AF31)</f>
        <v/>
      </c>
      <c r="E38" s="136" t="str">
        <f ca="1">AP!G33</f>
        <v/>
      </c>
      <c r="F38" s="443" t="str">
        <f ca="1">IF(D38="","",IF(AP!$E$42="BE",INDIRECT("AP!P"&amp;MATCH(ROUNDUP(D38, 0) / AP!$E$44 * 100,AP!$Q$4:$Q$20,-1)+4),D38))</f>
        <v/>
      </c>
      <c r="G38" s="404" t="str">
        <f t="shared" ca="1" si="0"/>
        <v/>
      </c>
    </row>
    <row r="39" spans="1:7" x14ac:dyDescent="0.2">
      <c r="A39" s="135">
        <v>29</v>
      </c>
      <c r="B39" s="121" t="str">
        <f>IF('1. Halbjahr'!B32&lt;&gt;"", '1. Halbjahr'!B32, "")</f>
        <v/>
      </c>
      <c r="C39" s="136" t="str">
        <f>IF(APRohpunkte!AE32="",'Eingabe Abitur'!Q67,APRohpunkte!AE32)</f>
        <v/>
      </c>
      <c r="D39" s="137" t="str">
        <f>IF(APRohpunkte!AE32="",'Eingabe Abitur'!Q68,APRohpunkte!AE32+APRohpunkte!AF32)</f>
        <v/>
      </c>
      <c r="E39" s="136" t="str">
        <f ca="1">AP!G34</f>
        <v/>
      </c>
      <c r="F39" s="443" t="str">
        <f ca="1">IF(D39="","",IF(AP!$E$42="BE",INDIRECT("AP!P"&amp;MATCH(ROUNDUP(D39, 0) / AP!$E$44 * 100,AP!$Q$4:$Q$20,-1)+4),D39))</f>
        <v/>
      </c>
      <c r="G39" s="404" t="str">
        <f t="shared" ca="1" si="0"/>
        <v/>
      </c>
    </row>
    <row r="40" spans="1:7" x14ac:dyDescent="0.2">
      <c r="A40" s="135">
        <v>30</v>
      </c>
      <c r="B40" s="121" t="str">
        <f>IF('1. Halbjahr'!B33&lt;&gt;"", '1. Halbjahr'!B33, "")</f>
        <v/>
      </c>
      <c r="C40" s="136" t="str">
        <f>IF(APRohpunkte!AE33="",'Eingabe Abitur'!Q69,APRohpunkte!AE33)</f>
        <v/>
      </c>
      <c r="D40" s="137" t="str">
        <f>IF(APRohpunkte!AE33="",'Eingabe Abitur'!Q70,APRohpunkte!AE33+APRohpunkte!AF33)</f>
        <v/>
      </c>
      <c r="E40" s="136" t="str">
        <f ca="1">AP!G35</f>
        <v/>
      </c>
      <c r="F40" s="443" t="str">
        <f ca="1">IF(D40="","",IF(AP!$E$42="BE",INDIRECT("AP!P"&amp;MATCH(ROUNDUP(D40, 0) / AP!$E$44 * 100,AP!$Q$4:$Q$20,-1)+4),D40))</f>
        <v/>
      </c>
      <c r="G40" s="404" t="str">
        <f t="shared" ca="1" si="0"/>
        <v/>
      </c>
    </row>
    <row r="41" spans="1:7" x14ac:dyDescent="0.2">
      <c r="A41" s="135">
        <v>31</v>
      </c>
      <c r="B41" s="121" t="str">
        <f>IF('1. Halbjahr'!B34&lt;&gt;"", '1. Halbjahr'!B34, "")</f>
        <v/>
      </c>
      <c r="C41" s="136" t="str">
        <f>IF(APRohpunkte!AE34="",'Eingabe Abitur'!Q71,APRohpunkte!AE34)</f>
        <v/>
      </c>
      <c r="D41" s="137" t="str">
        <f>IF(APRohpunkte!AE34="",'Eingabe Abitur'!Q72,APRohpunkte!AE34+APRohpunkte!AF34)</f>
        <v/>
      </c>
      <c r="E41" s="136" t="str">
        <f ca="1">AP!G36</f>
        <v/>
      </c>
      <c r="F41" s="443" t="str">
        <f ca="1">IF(D41="","",IF(AP!$E$42="BE",INDIRECT("AP!P"&amp;MATCH(ROUNDUP(D41, 0) / AP!$E$44 * 100,AP!$Q$4:$Q$20,-1)+4),D41))</f>
        <v/>
      </c>
      <c r="G41" s="404" t="str">
        <f t="shared" ca="1" si="0"/>
        <v/>
      </c>
    </row>
    <row r="42" spans="1:7" x14ac:dyDescent="0.2">
      <c r="A42" s="135">
        <v>32</v>
      </c>
      <c r="B42" s="121" t="str">
        <f>IF('1. Halbjahr'!B35&lt;&gt;"", '1. Halbjahr'!B35, "")</f>
        <v/>
      </c>
      <c r="C42" s="136" t="str">
        <f>IF(APRohpunkte!AE35="",'Eingabe Abitur'!Q73,APRohpunkte!AE35)</f>
        <v/>
      </c>
      <c r="D42" s="137" t="str">
        <f>IF(APRohpunkte!AE35="",'Eingabe Abitur'!Q74,APRohpunkte!AE35+APRohpunkte!AF35)</f>
        <v/>
      </c>
      <c r="E42" s="136" t="str">
        <f ca="1">AP!G37</f>
        <v/>
      </c>
      <c r="F42" s="443" t="str">
        <f ca="1">IF(D42="","",IF(AP!$E$42="BE",INDIRECT("AP!P"&amp;MATCH(ROUNDUP(D42, 0) / AP!$E$44 * 100,AP!$Q$4:$Q$20,-1)+4),D42))</f>
        <v/>
      </c>
      <c r="G42" s="404" t="str">
        <f t="shared" ca="1" si="0"/>
        <v/>
      </c>
    </row>
    <row r="43" spans="1:7" x14ac:dyDescent="0.2">
      <c r="A43" s="135">
        <v>33</v>
      </c>
      <c r="B43" s="121" t="str">
        <f>IF('1. Halbjahr'!B36&lt;&gt;"", '1. Halbjahr'!B36, "")</f>
        <v/>
      </c>
      <c r="C43" s="136" t="str">
        <f>IF(APRohpunkte!AE36="",'Eingabe Abitur'!Q75,APRohpunkte!AE36)</f>
        <v/>
      </c>
      <c r="D43" s="137" t="str">
        <f>IF(APRohpunkte!AE36="",'Eingabe Abitur'!Q76,APRohpunkte!AE36+APRohpunkte!AF36)</f>
        <v/>
      </c>
      <c r="E43" s="136" t="str">
        <f ca="1">AP!G38</f>
        <v/>
      </c>
      <c r="F43" s="443" t="str">
        <f ca="1">IF(D43="","",IF(AP!$E$42="BE",INDIRECT("AP!P"&amp;MATCH(ROUNDUP(D43, 0) / AP!$E$44 * 100,AP!$Q$4:$Q$20,-1)+4),D43))</f>
        <v/>
      </c>
      <c r="G43" s="404" t="str">
        <f t="shared" ca="1" si="0"/>
        <v/>
      </c>
    </row>
    <row r="44" spans="1:7" x14ac:dyDescent="0.2">
      <c r="A44" s="135">
        <v>34</v>
      </c>
      <c r="B44" s="121" t="str">
        <f>IF('1. Halbjahr'!B37&lt;&gt;"", '1. Halbjahr'!B37, "")</f>
        <v/>
      </c>
      <c r="C44" s="136" t="str">
        <f>IF(APRohpunkte!AE37="",'Eingabe Abitur'!Q77,APRohpunkte!AE37)</f>
        <v/>
      </c>
      <c r="D44" s="137" t="str">
        <f>IF(APRohpunkte!AE37="",'Eingabe Abitur'!Q78,APRohpunkte!AE37+APRohpunkte!AF37)</f>
        <v/>
      </c>
      <c r="E44" s="136" t="str">
        <f ca="1">AP!G39</f>
        <v/>
      </c>
      <c r="F44" s="443" t="str">
        <f ca="1">IF(D44="","",IF(AP!$E$42="BE",INDIRECT("AP!P"&amp;MATCH(ROUNDUP(D44, 0) / AP!$E$44 * 100,AP!$Q$4:$Q$20,-1)+4),D44))</f>
        <v/>
      </c>
      <c r="G44" s="404" t="str">
        <f t="shared" ca="1" si="0"/>
        <v/>
      </c>
    </row>
    <row r="45" spans="1:7" x14ac:dyDescent="0.2">
      <c r="A45" s="135">
        <v>35</v>
      </c>
      <c r="B45" s="121" t="str">
        <f>IF('1. Halbjahr'!B38&lt;&gt;"", '1. Halbjahr'!B38, "")</f>
        <v/>
      </c>
      <c r="C45" s="136" t="str">
        <f>IF(APRohpunkte!AE38="",'Eingabe Abitur'!Q79,APRohpunkte!AE38)</f>
        <v/>
      </c>
      <c r="D45" s="137" t="str">
        <f>IF(APRohpunkte!AE38="",'Eingabe Abitur'!Q80,APRohpunkte!AE38+APRohpunkte!AF38)</f>
        <v/>
      </c>
      <c r="E45" s="136" t="str">
        <f ca="1">AP!G40</f>
        <v/>
      </c>
      <c r="F45" s="443" t="str">
        <f ca="1">IF(D45="","",IF(AP!$E$42="BE",INDIRECT("AP!P"&amp;MATCH(ROUNDUP(D45, 0) / AP!$E$44 * 100,AP!$Q$4:$Q$20,-1)+4),D45))</f>
        <v/>
      </c>
      <c r="G45" s="404" t="str">
        <f t="shared" ca="1" si="0"/>
        <v/>
      </c>
    </row>
    <row r="46" spans="1:7" x14ac:dyDescent="0.2">
      <c r="A46" s="123"/>
      <c r="B46" s="123"/>
      <c r="C46" s="138"/>
      <c r="D46" s="123"/>
      <c r="E46" s="123"/>
      <c r="F46" s="123"/>
      <c r="G46" s="123"/>
    </row>
    <row r="47" spans="1:7" ht="25.5" x14ac:dyDescent="0.2">
      <c r="A47" s="507"/>
      <c r="B47" s="507"/>
      <c r="C47" s="139" t="s">
        <v>85</v>
      </c>
      <c r="D47" s="140" t="s">
        <v>84</v>
      </c>
      <c r="E47" s="139"/>
      <c r="F47" s="139" t="s">
        <v>85</v>
      </c>
      <c r="G47" s="140" t="s">
        <v>84</v>
      </c>
    </row>
    <row r="48" spans="1:7" x14ac:dyDescent="0.2">
      <c r="A48" s="489">
        <v>15</v>
      </c>
      <c r="B48" s="490"/>
      <c r="C48" s="141" t="str">
        <f>AP!E50 &amp;"-"&amp; AP!F50</f>
        <v>100-95,5</v>
      </c>
      <c r="D48" s="141">
        <f t="shared" ref="D48:D55" ca="1" si="1">COUNTIF($E$11:$E$45,A48)</f>
        <v>0</v>
      </c>
      <c r="E48" s="141">
        <v>7</v>
      </c>
      <c r="F48" s="141" t="str">
        <f>AP!E58 &amp;"-"&amp; AP!F58</f>
        <v>60-55,5</v>
      </c>
      <c r="G48" s="141">
        <f t="shared" ref="G48:G55" ca="1" si="2">COUNTIF($E$11:$E$45,E48)</f>
        <v>0</v>
      </c>
    </row>
    <row r="49" spans="1:7" x14ac:dyDescent="0.2">
      <c r="A49" s="489">
        <v>14</v>
      </c>
      <c r="B49" s="490"/>
      <c r="C49" s="141" t="str">
        <f>AP!E51 &amp;"-"&amp; AP!F51</f>
        <v>95-90,5</v>
      </c>
      <c r="D49" s="141">
        <f t="shared" ca="1" si="1"/>
        <v>0</v>
      </c>
      <c r="E49" s="141">
        <v>6</v>
      </c>
      <c r="F49" s="141" t="str">
        <f>AP!E59 &amp;"-"&amp; AP!F59</f>
        <v>55-50,5</v>
      </c>
      <c r="G49" s="141">
        <f t="shared" ca="1" si="2"/>
        <v>0</v>
      </c>
    </row>
    <row r="50" spans="1:7" x14ac:dyDescent="0.2">
      <c r="A50" s="489">
        <v>13</v>
      </c>
      <c r="B50" s="490"/>
      <c r="C50" s="141" t="str">
        <f>AP!E52 &amp;"-"&amp; AP!F52</f>
        <v>90-85,5</v>
      </c>
      <c r="D50" s="141">
        <f t="shared" ca="1" si="1"/>
        <v>0</v>
      </c>
      <c r="E50" s="141">
        <v>5</v>
      </c>
      <c r="F50" s="141" t="str">
        <f>AP!E60 &amp;"-"&amp; AP!F60</f>
        <v>50-45,5</v>
      </c>
      <c r="G50" s="141">
        <f t="shared" ca="1" si="2"/>
        <v>0</v>
      </c>
    </row>
    <row r="51" spans="1:7" x14ac:dyDescent="0.2">
      <c r="A51" s="489">
        <v>12</v>
      </c>
      <c r="B51" s="490"/>
      <c r="C51" s="141" t="str">
        <f>AP!E53 &amp;"-"&amp; AP!F53</f>
        <v>85-80,5</v>
      </c>
      <c r="D51" s="141">
        <f t="shared" ca="1" si="1"/>
        <v>0</v>
      </c>
      <c r="E51" s="141">
        <v>4</v>
      </c>
      <c r="F51" s="141" t="str">
        <f>AP!E61 &amp;"-"&amp; AP!F61</f>
        <v>45-40,5</v>
      </c>
      <c r="G51" s="141">
        <f t="shared" ca="1" si="2"/>
        <v>0</v>
      </c>
    </row>
    <row r="52" spans="1:7" x14ac:dyDescent="0.2">
      <c r="A52" s="489">
        <v>11</v>
      </c>
      <c r="B52" s="490"/>
      <c r="C52" s="141" t="str">
        <f>AP!E54 &amp;"-"&amp; AP!F54</f>
        <v>80-75,5</v>
      </c>
      <c r="D52" s="141">
        <f t="shared" ca="1" si="1"/>
        <v>0</v>
      </c>
      <c r="E52" s="141">
        <v>3</v>
      </c>
      <c r="F52" s="141" t="str">
        <f>AP!E62 &amp;"-"&amp; AP!F62</f>
        <v>40-33,5</v>
      </c>
      <c r="G52" s="141">
        <f t="shared" ca="1" si="2"/>
        <v>0</v>
      </c>
    </row>
    <row r="53" spans="1:7" x14ac:dyDescent="0.2">
      <c r="A53" s="489">
        <v>10</v>
      </c>
      <c r="B53" s="490"/>
      <c r="C53" s="141" t="str">
        <f>AP!E55 &amp;"-"&amp; AP!F55</f>
        <v>75-70,5</v>
      </c>
      <c r="D53" s="141">
        <f t="shared" ca="1" si="1"/>
        <v>0</v>
      </c>
      <c r="E53" s="141">
        <v>2</v>
      </c>
      <c r="F53" s="141" t="str">
        <f>AP!E63 &amp;"-"&amp; AP!F63</f>
        <v>33-26,5</v>
      </c>
      <c r="G53" s="141">
        <f t="shared" ca="1" si="2"/>
        <v>0</v>
      </c>
    </row>
    <row r="54" spans="1:7" x14ac:dyDescent="0.2">
      <c r="A54" s="489">
        <v>9</v>
      </c>
      <c r="B54" s="490"/>
      <c r="C54" s="141" t="str">
        <f>AP!E56 &amp;"-"&amp; AP!F56</f>
        <v>70-65,5</v>
      </c>
      <c r="D54" s="141">
        <f t="shared" ca="1" si="1"/>
        <v>0</v>
      </c>
      <c r="E54" s="141">
        <v>1</v>
      </c>
      <c r="F54" s="141" t="str">
        <f>AP!E64 &amp;"-"&amp; AP!F64</f>
        <v>26-20</v>
      </c>
      <c r="G54" s="141">
        <f t="shared" ca="1" si="2"/>
        <v>0</v>
      </c>
    </row>
    <row r="55" spans="1:7" x14ac:dyDescent="0.2">
      <c r="A55" s="489">
        <v>8</v>
      </c>
      <c r="B55" s="490"/>
      <c r="C55" s="141" t="str">
        <f>AP!E57 &amp;"-"&amp; AP!F57</f>
        <v>65-60,5</v>
      </c>
      <c r="D55" s="141">
        <f t="shared" ca="1" si="1"/>
        <v>0</v>
      </c>
      <c r="E55" s="141">
        <v>0</v>
      </c>
      <c r="F55" s="141" t="str">
        <f>AP!E65 &amp;"-"&amp; AP!F65</f>
        <v>19-0</v>
      </c>
      <c r="G55" s="141">
        <f t="shared" ca="1" si="2"/>
        <v>0</v>
      </c>
    </row>
    <row r="56" spans="1:7" x14ac:dyDescent="0.2">
      <c r="A56" s="111"/>
      <c r="B56" s="112"/>
      <c r="C56" s="112"/>
      <c r="D56" s="112"/>
      <c r="E56" s="112"/>
      <c r="F56" s="112"/>
      <c r="G56" s="115"/>
    </row>
    <row r="57" spans="1:7" x14ac:dyDescent="0.2">
      <c r="A57" s="500" t="s">
        <v>83</v>
      </c>
      <c r="B57" s="501"/>
      <c r="C57" s="501"/>
      <c r="D57" s="501"/>
      <c r="E57" s="501"/>
      <c r="F57" s="501"/>
      <c r="G57" s="502"/>
    </row>
    <row r="58" spans="1:7" x14ac:dyDescent="0.2">
      <c r="A58" s="491" t="e">
        <f ca="1">AVERAGE(E11:E45)</f>
        <v>#DIV/0!</v>
      </c>
      <c r="B58" s="492"/>
      <c r="C58" s="492"/>
      <c r="D58" s="492"/>
      <c r="E58" s="492"/>
      <c r="F58" s="492"/>
      <c r="G58" s="493"/>
    </row>
    <row r="60" spans="1:7" ht="26.25" customHeight="1" x14ac:dyDescent="0.2">
      <c r="A60" s="497" t="s">
        <v>82</v>
      </c>
      <c r="B60" s="498"/>
      <c r="C60" s="498"/>
      <c r="D60" s="498"/>
      <c r="E60" s="498"/>
      <c r="F60" s="498"/>
      <c r="G60" s="499"/>
    </row>
    <row r="65" spans="1:7" x14ac:dyDescent="0.2">
      <c r="A65" s="114"/>
      <c r="B65" s="496"/>
      <c r="C65" s="496"/>
      <c r="D65" s="112"/>
      <c r="E65" s="112"/>
      <c r="F65" s="495"/>
      <c r="G65" s="495"/>
    </row>
    <row r="66" spans="1:7" x14ac:dyDescent="0.2">
      <c r="A66" s="112"/>
      <c r="B66" s="494" t="s">
        <v>81</v>
      </c>
      <c r="C66" s="494"/>
      <c r="D66" s="112"/>
      <c r="E66" s="113"/>
      <c r="F66" s="494" t="s">
        <v>80</v>
      </c>
      <c r="G66" s="494"/>
    </row>
  </sheetData>
  <sheetProtection password="CC71" sheet="1" objects="1" scenarios="1" selectLockedCells="1"/>
  <mergeCells count="18">
    <mergeCell ref="A7:G7"/>
    <mergeCell ref="C9:D9"/>
    <mergeCell ref="A47:B47"/>
    <mergeCell ref="A48:B48"/>
    <mergeCell ref="A53:B53"/>
    <mergeCell ref="A49:B49"/>
    <mergeCell ref="A50:B50"/>
    <mergeCell ref="A51:B51"/>
    <mergeCell ref="A52:B52"/>
    <mergeCell ref="A54:B54"/>
    <mergeCell ref="A55:B55"/>
    <mergeCell ref="A58:G58"/>
    <mergeCell ref="F66:G66"/>
    <mergeCell ref="F65:G65"/>
    <mergeCell ref="B66:C66"/>
    <mergeCell ref="B65:C65"/>
    <mergeCell ref="A60:G60"/>
    <mergeCell ref="A57:G57"/>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extLst>
    <ext xmlns:x14="http://schemas.microsoft.com/office/spreadsheetml/2009/9/main" uri="{78C0D931-6437-407d-A8EE-F0AAD7539E65}">
      <x14:conditionalFormattings>
        <x14:conditionalFormatting xmlns:xm="http://schemas.microsoft.com/office/excel/2006/main">
          <x14:cfRule type="expression" priority="2" id="{F5D4A712-B322-4C5E-B56C-81C701B5A11C}">
            <xm:f>AP!$E$42&lt;&gt;"BE"</xm:f>
            <x14:dxf>
              <fill>
                <patternFill>
                  <fgColor rgb="FFCCFFFF"/>
                  <bgColor rgb="FFCCFFFF"/>
                </patternFill>
              </fill>
            </x14:dxf>
          </x14:cfRule>
          <xm:sqref>F11:F45</xm:sqref>
        </x14:conditionalFormatting>
        <x14:conditionalFormatting xmlns:xm="http://schemas.microsoft.com/office/excel/2006/main">
          <x14:cfRule type="expression" priority="1" id="{2310919D-412C-420E-81FF-A41C02667D1B}">
            <xm:f>AP!$E$42&lt;&gt;"BE"</xm:f>
            <x14:dxf>
              <fill>
                <patternFill patternType="lightTrellis"/>
              </fill>
            </x14:dxf>
          </x14:cfRule>
          <xm:sqref>C11:D45</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ErrorMessage="1" errorTitle="Eingabe momentan nicht erlaubt" error="Die Eingabe in diese Zelle ist nur erlaubt, wenn die Abschlussprüfung über Punkte anstatt Bewertungseinheiten eingegeben wird">
          <x14:formula1>
            <xm:f>AP!$E$42&lt;&gt;"BE"</xm:f>
          </x14:formula1>
          <xm:sqref>F11:F45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zoomScaleNormal="100" workbookViewId="0">
      <selection activeCell="C23" sqref="C23"/>
    </sheetView>
  </sheetViews>
  <sheetFormatPr baseColWidth="10" defaultRowHeight="12.75" x14ac:dyDescent="0.2"/>
  <cols>
    <col min="1" max="1" width="4.7109375" style="370" customWidth="1"/>
    <col min="2" max="2" width="21.140625" style="370" customWidth="1"/>
    <col min="3" max="3" width="20.42578125" style="370" customWidth="1"/>
    <col min="4" max="4" width="6.5703125" style="370" customWidth="1"/>
    <col min="5" max="5" width="14.7109375" style="370" customWidth="1"/>
    <col min="6" max="6" width="6.5703125" style="370" customWidth="1"/>
    <col min="7" max="7" width="14.7109375" style="370" customWidth="1"/>
    <col min="8" max="16384" width="11.42578125" style="370"/>
  </cols>
  <sheetData>
    <row r="2" spans="1:7" ht="18" x14ac:dyDescent="0.25">
      <c r="A2" s="275" t="s">
        <v>91</v>
      </c>
      <c r="B2" s="276"/>
      <c r="C2" s="276"/>
      <c r="D2" s="276"/>
      <c r="E2" s="276" t="str">
        <f>AP!B1</f>
        <v>Abschlussprüfung 2017/18</v>
      </c>
      <c r="F2" s="276"/>
      <c r="G2" s="277"/>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78" t="str">
        <f>AP!B3</f>
        <v xml:space="preserve">Klasse: </v>
      </c>
      <c r="B5" s="130"/>
      <c r="C5" s="116"/>
      <c r="D5" s="130"/>
      <c r="E5" s="116" t="str">
        <f>AP!E3</f>
        <v xml:space="preserve">Lehrer/-in: </v>
      </c>
      <c r="F5" s="130"/>
      <c r="G5" s="131"/>
    </row>
    <row r="7" spans="1:7" ht="15.75" x14ac:dyDescent="0.25">
      <c r="A7" s="509" t="s">
        <v>151</v>
      </c>
      <c r="B7" s="510"/>
      <c r="C7" s="510"/>
      <c r="D7" s="510"/>
      <c r="E7" s="510"/>
      <c r="F7" s="510"/>
      <c r="G7" s="511"/>
    </row>
    <row r="8" spans="1:7" x14ac:dyDescent="0.2">
      <c r="A8" s="375"/>
      <c r="B8" s="371"/>
      <c r="C8" s="371"/>
      <c r="D8" s="371"/>
      <c r="E8" s="371"/>
      <c r="F8" s="371"/>
      <c r="G8" s="372"/>
    </row>
    <row r="9" spans="1:7" ht="25.5" customHeight="1" x14ac:dyDescent="0.2">
      <c r="A9" s="375"/>
      <c r="B9" s="376" t="s">
        <v>89</v>
      </c>
      <c r="C9" s="377" t="s">
        <v>88</v>
      </c>
      <c r="D9" s="371"/>
      <c r="E9" s="371"/>
      <c r="F9" s="371"/>
      <c r="G9" s="372"/>
    </row>
    <row r="10" spans="1:7" x14ac:dyDescent="0.2">
      <c r="A10" s="378">
        <v>1</v>
      </c>
      <c r="B10" s="379" t="str">
        <f>IF('1. Halbjahr'!B4="","",'1. Halbjahr'!B4)</f>
        <v/>
      </c>
      <c r="C10" s="380" t="str">
        <f>'Eingabe Abitur'!X11</f>
        <v/>
      </c>
      <c r="D10" s="371"/>
      <c r="E10" s="371"/>
      <c r="F10" s="371"/>
      <c r="G10" s="372"/>
    </row>
    <row r="11" spans="1:7" x14ac:dyDescent="0.2">
      <c r="A11" s="378">
        <v>2</v>
      </c>
      <c r="B11" s="379" t="str">
        <f>IF('1. Halbjahr'!B5="","",'1. Halbjahr'!B5)</f>
        <v/>
      </c>
      <c r="C11" s="380" t="str">
        <f>'Eingabe Abitur'!X13</f>
        <v/>
      </c>
      <c r="D11" s="371"/>
      <c r="E11" s="371"/>
      <c r="F11" s="371"/>
      <c r="G11" s="372"/>
    </row>
    <row r="12" spans="1:7" x14ac:dyDescent="0.2">
      <c r="A12" s="378">
        <v>3</v>
      </c>
      <c r="B12" s="379" t="str">
        <f>IF('1. Halbjahr'!B6="","",'1. Halbjahr'!B6)</f>
        <v/>
      </c>
      <c r="C12" s="380" t="str">
        <f>'Eingabe Abitur'!X15</f>
        <v/>
      </c>
      <c r="D12" s="371"/>
      <c r="E12" s="371"/>
      <c r="F12" s="371"/>
      <c r="G12" s="372"/>
    </row>
    <row r="13" spans="1:7" x14ac:dyDescent="0.2">
      <c r="A13" s="378">
        <v>4</v>
      </c>
      <c r="B13" s="379" t="str">
        <f>IF('1. Halbjahr'!B7="","",'1. Halbjahr'!B7)</f>
        <v/>
      </c>
      <c r="C13" s="380" t="str">
        <f>'Eingabe Abitur'!X17</f>
        <v/>
      </c>
      <c r="D13" s="371"/>
      <c r="E13" s="371"/>
      <c r="F13" s="371"/>
      <c r="G13" s="372"/>
    </row>
    <row r="14" spans="1:7" x14ac:dyDescent="0.2">
      <c r="A14" s="378">
        <v>5</v>
      </c>
      <c r="B14" s="379" t="str">
        <f>IF('1. Halbjahr'!B8="","",'1. Halbjahr'!B8)</f>
        <v/>
      </c>
      <c r="C14" s="380" t="str">
        <f>'Eingabe Abitur'!X19</f>
        <v/>
      </c>
      <c r="D14" s="371"/>
      <c r="E14" s="371"/>
      <c r="F14" s="371"/>
      <c r="G14" s="372"/>
    </row>
    <row r="15" spans="1:7" x14ac:dyDescent="0.2">
      <c r="A15" s="378">
        <v>6</v>
      </c>
      <c r="B15" s="379" t="str">
        <f>IF('1. Halbjahr'!B9="","",'1. Halbjahr'!B9)</f>
        <v/>
      </c>
      <c r="C15" s="380" t="str">
        <f>'Eingabe Abitur'!X21</f>
        <v/>
      </c>
      <c r="D15" s="371"/>
      <c r="E15" s="371"/>
      <c r="F15" s="371"/>
      <c r="G15" s="372"/>
    </row>
    <row r="16" spans="1:7" x14ac:dyDescent="0.2">
      <c r="A16" s="378">
        <v>7</v>
      </c>
      <c r="B16" s="379" t="str">
        <f>IF('1. Halbjahr'!B10="","",'1. Halbjahr'!B10)</f>
        <v/>
      </c>
      <c r="C16" s="380" t="str">
        <f>'Eingabe Abitur'!X23</f>
        <v/>
      </c>
      <c r="D16" s="371"/>
      <c r="E16" s="371"/>
      <c r="F16" s="371"/>
      <c r="G16" s="372"/>
    </row>
    <row r="17" spans="1:7" x14ac:dyDescent="0.2">
      <c r="A17" s="378">
        <v>8</v>
      </c>
      <c r="B17" s="379" t="str">
        <f>IF('1. Halbjahr'!B11="","",'1. Halbjahr'!B11)</f>
        <v/>
      </c>
      <c r="C17" s="380" t="str">
        <f>'Eingabe Abitur'!X25</f>
        <v/>
      </c>
      <c r="D17" s="371"/>
      <c r="E17" s="371"/>
      <c r="F17" s="371"/>
      <c r="G17" s="372"/>
    </row>
    <row r="18" spans="1:7" x14ac:dyDescent="0.2">
      <c r="A18" s="378">
        <v>9</v>
      </c>
      <c r="B18" s="379" t="str">
        <f>IF('1. Halbjahr'!B12="","",'1. Halbjahr'!B12)</f>
        <v/>
      </c>
      <c r="C18" s="380" t="str">
        <f>'Eingabe Abitur'!X27</f>
        <v/>
      </c>
      <c r="D18" s="371"/>
      <c r="E18" s="371"/>
      <c r="F18" s="371"/>
      <c r="G18" s="372"/>
    </row>
    <row r="19" spans="1:7" x14ac:dyDescent="0.2">
      <c r="A19" s="378">
        <v>10</v>
      </c>
      <c r="B19" s="379" t="str">
        <f>IF('1. Halbjahr'!B13="","",'1. Halbjahr'!B13)</f>
        <v/>
      </c>
      <c r="C19" s="380" t="str">
        <f>'Eingabe Abitur'!X29</f>
        <v/>
      </c>
      <c r="D19" s="371"/>
      <c r="E19" s="371"/>
      <c r="F19" s="371"/>
      <c r="G19" s="372"/>
    </row>
    <row r="20" spans="1:7" x14ac:dyDescent="0.2">
      <c r="A20" s="378">
        <v>11</v>
      </c>
      <c r="B20" s="379" t="str">
        <f>IF('1. Halbjahr'!B14="","",'1. Halbjahr'!B14)</f>
        <v/>
      </c>
      <c r="C20" s="380" t="str">
        <f>'Eingabe Abitur'!X31</f>
        <v/>
      </c>
      <c r="D20" s="371"/>
      <c r="E20" s="371"/>
      <c r="F20" s="371"/>
      <c r="G20" s="372"/>
    </row>
    <row r="21" spans="1:7" x14ac:dyDescent="0.2">
      <c r="A21" s="378">
        <v>12</v>
      </c>
      <c r="B21" s="379" t="str">
        <f>IF('1. Halbjahr'!B15="","",'1. Halbjahr'!B15)</f>
        <v/>
      </c>
      <c r="C21" s="380" t="str">
        <f>'Eingabe Abitur'!X33</f>
        <v/>
      </c>
      <c r="D21" s="371"/>
      <c r="E21" s="371"/>
      <c r="F21" s="371"/>
      <c r="G21" s="372"/>
    </row>
    <row r="22" spans="1:7" x14ac:dyDescent="0.2">
      <c r="A22" s="378">
        <v>13</v>
      </c>
      <c r="B22" s="379" t="str">
        <f>IF('1. Halbjahr'!B16="","",'1. Halbjahr'!B16)</f>
        <v/>
      </c>
      <c r="C22" s="380" t="str">
        <f>'Eingabe Abitur'!X35</f>
        <v/>
      </c>
      <c r="D22" s="371"/>
      <c r="E22" s="371"/>
      <c r="F22" s="371"/>
      <c r="G22" s="372"/>
    </row>
    <row r="23" spans="1:7" x14ac:dyDescent="0.2">
      <c r="A23" s="378">
        <v>14</v>
      </c>
      <c r="B23" s="379" t="str">
        <f>IF('1. Halbjahr'!B17="","",'1. Halbjahr'!B17)</f>
        <v/>
      </c>
      <c r="C23" s="380" t="str">
        <f>'Eingabe Abitur'!X37</f>
        <v/>
      </c>
      <c r="D23" s="371"/>
      <c r="E23" s="371"/>
      <c r="F23" s="371"/>
      <c r="G23" s="372"/>
    </row>
    <row r="24" spans="1:7" x14ac:dyDescent="0.2">
      <c r="A24" s="378">
        <v>15</v>
      </c>
      <c r="B24" s="379" t="str">
        <f>IF('1. Halbjahr'!B18="","",'1. Halbjahr'!B18)</f>
        <v/>
      </c>
      <c r="C24" s="380" t="str">
        <f>'Eingabe Abitur'!X39</f>
        <v/>
      </c>
      <c r="D24" s="371"/>
      <c r="E24" s="371"/>
      <c r="F24" s="371"/>
      <c r="G24" s="372"/>
    </row>
    <row r="25" spans="1:7" x14ac:dyDescent="0.2">
      <c r="A25" s="378">
        <v>16</v>
      </c>
      <c r="B25" s="379" t="str">
        <f>IF('1. Halbjahr'!B19="","",'1. Halbjahr'!B19)</f>
        <v/>
      </c>
      <c r="C25" s="380" t="str">
        <f>'Eingabe Abitur'!X41</f>
        <v/>
      </c>
      <c r="D25" s="371"/>
      <c r="E25" s="371"/>
      <c r="F25" s="371"/>
      <c r="G25" s="372"/>
    </row>
    <row r="26" spans="1:7" x14ac:dyDescent="0.2">
      <c r="A26" s="378">
        <v>17</v>
      </c>
      <c r="B26" s="379" t="str">
        <f>IF('1. Halbjahr'!B20="","",'1. Halbjahr'!B20)</f>
        <v/>
      </c>
      <c r="C26" s="380" t="str">
        <f>'Eingabe Abitur'!X43</f>
        <v/>
      </c>
      <c r="D26" s="371"/>
      <c r="E26" s="371"/>
      <c r="F26" s="371"/>
      <c r="G26" s="372"/>
    </row>
    <row r="27" spans="1:7" x14ac:dyDescent="0.2">
      <c r="A27" s="378">
        <v>18</v>
      </c>
      <c r="B27" s="379" t="str">
        <f>IF('1. Halbjahr'!B21="","",'1. Halbjahr'!B21)</f>
        <v/>
      </c>
      <c r="C27" s="380" t="str">
        <f>'Eingabe Abitur'!X45</f>
        <v/>
      </c>
      <c r="D27" s="371"/>
      <c r="E27" s="371"/>
      <c r="F27" s="371"/>
      <c r="G27" s="372"/>
    </row>
    <row r="28" spans="1:7" x14ac:dyDescent="0.2">
      <c r="A28" s="378">
        <v>19</v>
      </c>
      <c r="B28" s="379" t="str">
        <f>IF('1. Halbjahr'!B22="","",'1. Halbjahr'!B22)</f>
        <v/>
      </c>
      <c r="C28" s="380" t="str">
        <f>'Eingabe Abitur'!X47</f>
        <v/>
      </c>
      <c r="D28" s="371"/>
      <c r="E28" s="371"/>
      <c r="F28" s="371"/>
      <c r="G28" s="372"/>
    </row>
    <row r="29" spans="1:7" x14ac:dyDescent="0.2">
      <c r="A29" s="378">
        <v>20</v>
      </c>
      <c r="B29" s="379" t="str">
        <f>IF('1. Halbjahr'!B23="","",'1. Halbjahr'!B23)</f>
        <v/>
      </c>
      <c r="C29" s="380" t="str">
        <f>'Eingabe Abitur'!X49</f>
        <v/>
      </c>
      <c r="D29" s="371"/>
      <c r="E29" s="371"/>
      <c r="F29" s="371"/>
      <c r="G29" s="372"/>
    </row>
    <row r="30" spans="1:7" x14ac:dyDescent="0.2">
      <c r="A30" s="378">
        <v>21</v>
      </c>
      <c r="B30" s="379" t="str">
        <f>IF('1. Halbjahr'!B24="","",'1. Halbjahr'!B24)</f>
        <v/>
      </c>
      <c r="C30" s="380" t="str">
        <f>'Eingabe Abitur'!X51</f>
        <v/>
      </c>
      <c r="D30" s="371"/>
      <c r="E30" s="371"/>
      <c r="F30" s="371"/>
      <c r="G30" s="372"/>
    </row>
    <row r="31" spans="1:7" x14ac:dyDescent="0.2">
      <c r="A31" s="378">
        <v>22</v>
      </c>
      <c r="B31" s="379" t="str">
        <f>IF('1. Halbjahr'!B25="","",'1. Halbjahr'!B25)</f>
        <v/>
      </c>
      <c r="C31" s="380" t="str">
        <f>'Eingabe Abitur'!X53</f>
        <v/>
      </c>
      <c r="D31" s="371"/>
      <c r="E31" s="371"/>
      <c r="F31" s="371"/>
      <c r="G31" s="372"/>
    </row>
    <row r="32" spans="1:7" x14ac:dyDescent="0.2">
      <c r="A32" s="378">
        <v>23</v>
      </c>
      <c r="B32" s="379" t="str">
        <f>IF('1. Halbjahr'!B26="","",'1. Halbjahr'!B26)</f>
        <v/>
      </c>
      <c r="C32" s="380" t="str">
        <f>'Eingabe Abitur'!X55</f>
        <v/>
      </c>
      <c r="D32" s="371"/>
      <c r="E32" s="371"/>
      <c r="F32" s="371"/>
      <c r="G32" s="372"/>
    </row>
    <row r="33" spans="1:7" x14ac:dyDescent="0.2">
      <c r="A33" s="378">
        <v>24</v>
      </c>
      <c r="B33" s="379" t="str">
        <f>IF('1. Halbjahr'!B27="","",'1. Halbjahr'!B27)</f>
        <v/>
      </c>
      <c r="C33" s="380" t="str">
        <f>'Eingabe Abitur'!X57</f>
        <v/>
      </c>
      <c r="D33" s="371"/>
      <c r="E33" s="371"/>
      <c r="F33" s="371"/>
      <c r="G33" s="372"/>
    </row>
    <row r="34" spans="1:7" x14ac:dyDescent="0.2">
      <c r="A34" s="378">
        <v>25</v>
      </c>
      <c r="B34" s="379" t="str">
        <f>IF('1. Halbjahr'!B28="","",'1. Halbjahr'!B28)</f>
        <v/>
      </c>
      <c r="C34" s="380" t="str">
        <f>'Eingabe Abitur'!X59</f>
        <v/>
      </c>
      <c r="D34" s="371"/>
      <c r="E34" s="371"/>
      <c r="F34" s="371"/>
      <c r="G34" s="372"/>
    </row>
    <row r="35" spans="1:7" x14ac:dyDescent="0.2">
      <c r="A35" s="378">
        <v>26</v>
      </c>
      <c r="B35" s="379" t="str">
        <f>IF('1. Halbjahr'!B29="","",'1. Halbjahr'!B29)</f>
        <v/>
      </c>
      <c r="C35" s="380" t="str">
        <f>'Eingabe Abitur'!X61</f>
        <v/>
      </c>
      <c r="D35" s="371"/>
      <c r="E35" s="371"/>
      <c r="F35" s="371"/>
      <c r="G35" s="372"/>
    </row>
    <row r="36" spans="1:7" x14ac:dyDescent="0.2">
      <c r="A36" s="378">
        <v>27</v>
      </c>
      <c r="B36" s="379" t="str">
        <f>IF('1. Halbjahr'!B30="","",'1. Halbjahr'!B30)</f>
        <v/>
      </c>
      <c r="C36" s="380" t="str">
        <f>'Eingabe Abitur'!X63</f>
        <v/>
      </c>
      <c r="D36" s="371"/>
      <c r="E36" s="371"/>
      <c r="F36" s="371"/>
      <c r="G36" s="372"/>
    </row>
    <row r="37" spans="1:7" x14ac:dyDescent="0.2">
      <c r="A37" s="378">
        <v>28</v>
      </c>
      <c r="B37" s="379" t="str">
        <f>IF('1. Halbjahr'!B31="","",'1. Halbjahr'!B31)</f>
        <v/>
      </c>
      <c r="C37" s="380" t="str">
        <f>'Eingabe Abitur'!X65</f>
        <v/>
      </c>
      <c r="D37" s="371"/>
      <c r="E37" s="371"/>
      <c r="F37" s="371"/>
      <c r="G37" s="372"/>
    </row>
    <row r="38" spans="1:7" x14ac:dyDescent="0.2">
      <c r="A38" s="378">
        <v>29</v>
      </c>
      <c r="B38" s="379" t="str">
        <f>IF('1. Halbjahr'!B32="","",'1. Halbjahr'!B32)</f>
        <v/>
      </c>
      <c r="C38" s="380" t="str">
        <f>'Eingabe Abitur'!X67</f>
        <v/>
      </c>
      <c r="D38" s="371"/>
      <c r="E38" s="371"/>
      <c r="F38" s="371"/>
      <c r="G38" s="372"/>
    </row>
    <row r="39" spans="1:7" x14ac:dyDescent="0.2">
      <c r="A39" s="378">
        <v>30</v>
      </c>
      <c r="B39" s="379" t="str">
        <f>IF('1. Halbjahr'!B33="","",'1. Halbjahr'!B33)</f>
        <v/>
      </c>
      <c r="C39" s="380" t="str">
        <f>'Eingabe Abitur'!X69</f>
        <v/>
      </c>
      <c r="D39" s="371"/>
      <c r="E39" s="371"/>
      <c r="F39" s="371"/>
      <c r="G39" s="372"/>
    </row>
    <row r="40" spans="1:7" x14ac:dyDescent="0.2">
      <c r="A40" s="378">
        <v>31</v>
      </c>
      <c r="B40" s="379" t="str">
        <f>IF('1. Halbjahr'!B34="","",'1. Halbjahr'!B34)</f>
        <v/>
      </c>
      <c r="C40" s="380" t="str">
        <f>'Eingabe Abitur'!X71</f>
        <v/>
      </c>
      <c r="D40" s="371"/>
      <c r="E40" s="371"/>
      <c r="F40" s="371"/>
      <c r="G40" s="372"/>
    </row>
    <row r="41" spans="1:7" x14ac:dyDescent="0.2">
      <c r="A41" s="378">
        <v>32</v>
      </c>
      <c r="B41" s="379" t="str">
        <f>IF('1. Halbjahr'!B35="","",'1. Halbjahr'!B35)</f>
        <v/>
      </c>
      <c r="C41" s="380" t="str">
        <f>'Eingabe Abitur'!X73</f>
        <v/>
      </c>
      <c r="D41" s="371"/>
      <c r="E41" s="371"/>
      <c r="F41" s="371"/>
      <c r="G41" s="372"/>
    </row>
    <row r="42" spans="1:7" x14ac:dyDescent="0.2">
      <c r="A42" s="378">
        <v>33</v>
      </c>
      <c r="B42" s="379" t="str">
        <f>IF('1. Halbjahr'!B36="","",'1. Halbjahr'!B36)</f>
        <v/>
      </c>
      <c r="C42" s="380" t="str">
        <f>'Eingabe Abitur'!X75</f>
        <v/>
      </c>
      <c r="D42" s="371"/>
      <c r="E42" s="371"/>
      <c r="F42" s="371"/>
      <c r="G42" s="372"/>
    </row>
    <row r="43" spans="1:7" x14ac:dyDescent="0.2">
      <c r="A43" s="378">
        <v>34</v>
      </c>
      <c r="B43" s="379" t="str">
        <f>IF('1. Halbjahr'!B37="","",'1. Halbjahr'!B37)</f>
        <v/>
      </c>
      <c r="C43" s="380" t="str">
        <f>'Eingabe Abitur'!X77</f>
        <v/>
      </c>
      <c r="D43" s="371"/>
      <c r="E43" s="371"/>
      <c r="F43" s="371"/>
      <c r="G43" s="372"/>
    </row>
    <row r="44" spans="1:7" x14ac:dyDescent="0.2">
      <c r="A44" s="378">
        <v>35</v>
      </c>
      <c r="B44" s="379" t="str">
        <f>IF('1. Halbjahr'!B38="","",'1. Halbjahr'!B38)</f>
        <v/>
      </c>
      <c r="C44" s="380" t="str">
        <f>'Eingabe Abitur'!X79</f>
        <v/>
      </c>
      <c r="D44" s="373"/>
      <c r="E44" s="373"/>
      <c r="F44" s="373"/>
      <c r="G44" s="374"/>
    </row>
    <row r="46" spans="1:7" ht="25.5" x14ac:dyDescent="0.2">
      <c r="A46" s="381"/>
      <c r="B46" s="369"/>
      <c r="C46" s="369"/>
      <c r="D46" s="382"/>
      <c r="E46" s="383" t="s">
        <v>84</v>
      </c>
      <c r="F46" s="384"/>
      <c r="G46" s="385" t="s">
        <v>84</v>
      </c>
    </row>
    <row r="47" spans="1:7" x14ac:dyDescent="0.2">
      <c r="A47" s="375"/>
      <c r="B47" s="371"/>
      <c r="C47" s="371"/>
      <c r="D47" s="386">
        <v>15</v>
      </c>
      <c r="E47" s="386">
        <f t="shared" ref="E47:E54" si="0">COUNTIF($C$10:$C$44,D47)</f>
        <v>0</v>
      </c>
      <c r="F47" s="386">
        <v>7</v>
      </c>
      <c r="G47" s="386">
        <f t="shared" ref="G47:G54" si="1">COUNTIF($C$10:$C$44,F47)</f>
        <v>0</v>
      </c>
    </row>
    <row r="48" spans="1:7" x14ac:dyDescent="0.2">
      <c r="A48" s="375"/>
      <c r="B48" s="371"/>
      <c r="C48" s="371"/>
      <c r="D48" s="386">
        <v>14</v>
      </c>
      <c r="E48" s="386">
        <f t="shared" si="0"/>
        <v>0</v>
      </c>
      <c r="F48" s="386">
        <v>6</v>
      </c>
      <c r="G48" s="386">
        <f t="shared" si="1"/>
        <v>0</v>
      </c>
    </row>
    <row r="49" spans="1:7" x14ac:dyDescent="0.2">
      <c r="A49" s="375"/>
      <c r="B49" s="371"/>
      <c r="C49" s="371"/>
      <c r="D49" s="386">
        <v>13</v>
      </c>
      <c r="E49" s="386">
        <f t="shared" si="0"/>
        <v>0</v>
      </c>
      <c r="F49" s="386">
        <v>5</v>
      </c>
      <c r="G49" s="386">
        <f t="shared" si="1"/>
        <v>0</v>
      </c>
    </row>
    <row r="50" spans="1:7" x14ac:dyDescent="0.2">
      <c r="A50" s="375"/>
      <c r="B50" s="371"/>
      <c r="C50" s="371"/>
      <c r="D50" s="386">
        <v>12</v>
      </c>
      <c r="E50" s="386">
        <f t="shared" si="0"/>
        <v>0</v>
      </c>
      <c r="F50" s="386">
        <v>4</v>
      </c>
      <c r="G50" s="386">
        <f t="shared" si="1"/>
        <v>0</v>
      </c>
    </row>
    <row r="51" spans="1:7" x14ac:dyDescent="0.2">
      <c r="A51" s="375"/>
      <c r="B51" s="371"/>
      <c r="C51" s="371"/>
      <c r="D51" s="386">
        <v>11</v>
      </c>
      <c r="E51" s="386">
        <f t="shared" si="0"/>
        <v>0</v>
      </c>
      <c r="F51" s="386">
        <v>3</v>
      </c>
      <c r="G51" s="386">
        <f t="shared" si="1"/>
        <v>0</v>
      </c>
    </row>
    <row r="52" spans="1:7" x14ac:dyDescent="0.2">
      <c r="A52" s="375"/>
      <c r="B52" s="371"/>
      <c r="C52" s="371"/>
      <c r="D52" s="386">
        <v>10</v>
      </c>
      <c r="E52" s="386">
        <f t="shared" si="0"/>
        <v>0</v>
      </c>
      <c r="F52" s="386">
        <v>2</v>
      </c>
      <c r="G52" s="386">
        <f t="shared" si="1"/>
        <v>0</v>
      </c>
    </row>
    <row r="53" spans="1:7" x14ac:dyDescent="0.2">
      <c r="A53" s="375"/>
      <c r="B53" s="371"/>
      <c r="C53" s="371"/>
      <c r="D53" s="386">
        <v>9</v>
      </c>
      <c r="E53" s="386">
        <f t="shared" si="0"/>
        <v>0</v>
      </c>
      <c r="F53" s="386">
        <v>1</v>
      </c>
      <c r="G53" s="386">
        <f t="shared" si="1"/>
        <v>0</v>
      </c>
    </row>
    <row r="54" spans="1:7" x14ac:dyDescent="0.2">
      <c r="A54" s="375"/>
      <c r="B54" s="371"/>
      <c r="C54" s="371"/>
      <c r="D54" s="386">
        <v>8</v>
      </c>
      <c r="E54" s="386">
        <f t="shared" si="0"/>
        <v>0</v>
      </c>
      <c r="F54" s="386">
        <v>0</v>
      </c>
      <c r="G54" s="386">
        <f t="shared" si="1"/>
        <v>0</v>
      </c>
    </row>
    <row r="55" spans="1:7" x14ac:dyDescent="0.2">
      <c r="A55" s="375"/>
      <c r="B55" s="371"/>
      <c r="C55" s="371"/>
      <c r="D55" s="373"/>
      <c r="E55" s="371"/>
      <c r="F55" s="371"/>
      <c r="G55" s="374"/>
    </row>
    <row r="56" spans="1:7" x14ac:dyDescent="0.2">
      <c r="A56" s="375"/>
      <c r="B56" s="371"/>
      <c r="C56" s="371"/>
      <c r="D56" s="512" t="s">
        <v>83</v>
      </c>
      <c r="E56" s="513"/>
      <c r="F56" s="513"/>
      <c r="G56" s="514"/>
    </row>
    <row r="57" spans="1:7" x14ac:dyDescent="0.2">
      <c r="A57" s="387"/>
      <c r="B57" s="373"/>
      <c r="C57" s="373"/>
      <c r="D57" s="515" t="str">
        <f>IF(SUM(C10:C44)=0,"",AVERAGE(C10:C44))</f>
        <v/>
      </c>
      <c r="E57" s="516"/>
      <c r="F57" s="516"/>
      <c r="G57" s="517"/>
    </row>
    <row r="58" spans="1:7" ht="25.5" customHeight="1" x14ac:dyDescent="0.2">
      <c r="A58" s="518" t="s">
        <v>152</v>
      </c>
      <c r="B58" s="519"/>
      <c r="C58" s="519"/>
      <c r="D58" s="519"/>
      <c r="E58" s="519"/>
      <c r="F58" s="519"/>
      <c r="G58" s="520"/>
    </row>
    <row r="60" spans="1:7" x14ac:dyDescent="0.2">
      <c r="A60" s="521"/>
      <c r="B60" s="521"/>
      <c r="C60" s="371"/>
      <c r="D60" s="371"/>
      <c r="E60" s="371"/>
      <c r="F60" s="388"/>
      <c r="G60" s="388"/>
    </row>
    <row r="61" spans="1:7" x14ac:dyDescent="0.2">
      <c r="B61" s="389" t="s">
        <v>81</v>
      </c>
      <c r="C61" s="371"/>
      <c r="D61" s="508" t="s">
        <v>80</v>
      </c>
      <c r="E61" s="508"/>
      <c r="F61" s="508"/>
      <c r="G61" s="508"/>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tabSelected="1"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hidden="1" customWidth="1"/>
    <col min="13" max="17" width="11.42578125" style="47"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27</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6"/>
      <c r="N2" s="26"/>
    </row>
    <row r="3" spans="1:18" x14ac:dyDescent="0.2">
      <c r="A3" s="8" t="s">
        <v>2</v>
      </c>
      <c r="B3" s="44" t="s">
        <v>3</v>
      </c>
      <c r="C3" s="8" t="s">
        <v>14</v>
      </c>
      <c r="D3" s="8" t="s">
        <v>15</v>
      </c>
      <c r="E3" s="22" t="s">
        <v>26</v>
      </c>
      <c r="F3" s="29"/>
      <c r="G3" s="50" t="s">
        <v>32</v>
      </c>
      <c r="H3" s="25" t="s">
        <v>15</v>
      </c>
      <c r="I3" s="47"/>
      <c r="J3" s="47"/>
      <c r="K3" s="28"/>
      <c r="L3" s="30"/>
      <c r="M3" s="30" t="s">
        <v>106</v>
      </c>
      <c r="N3" s="26"/>
      <c r="O3" s="242" t="s">
        <v>107</v>
      </c>
      <c r="Q3" s="242"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6"/>
      <c r="O4" s="243">
        <f>IF($H$32="M", $H$35+12*(100-$H$35)/12, $H$35+30*(100-$H$35)/30)</f>
        <v>100</v>
      </c>
      <c r="Q4" s="47">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6"/>
      <c r="O5" s="243">
        <f>IF($H$32="M", $H$35+11*(100-$H$35)/12, $H$35+27*(100-$H$35)/30)</f>
        <v>95</v>
      </c>
      <c r="P5" s="244">
        <v>15</v>
      </c>
      <c r="Q5" s="245">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6"/>
      <c r="O6" s="243">
        <f>IF($H$32="M", $H$35+10*(100-$H$35)/12, $H$35+24*(100-$H$35)/30)</f>
        <v>90</v>
      </c>
      <c r="P6" s="244">
        <v>14</v>
      </c>
      <c r="Q6" s="245">
        <f>(O6-100*SUM($A$43:A44)/$H$30)</f>
        <v>90</v>
      </c>
    </row>
    <row r="7" spans="1:18" x14ac:dyDescent="0.2">
      <c r="A7" s="8">
        <v>4</v>
      </c>
      <c r="B7" s="44" t="str">
        <f>IF('1. Halbjahr'!B7&lt;&gt;"", '1. Halbjahr'!B7, "")</f>
        <v/>
      </c>
      <c r="C7" s="45" t="str">
        <f t="shared" ca="1" si="1"/>
        <v/>
      </c>
      <c r="D7" s="5"/>
      <c r="E7" s="23"/>
      <c r="F7" s="59">
        <v>15</v>
      </c>
      <c r="G7" s="14">
        <f ca="1">IF(G$25="","",COUNTIF(C$4:C$38,F7))</f>
        <v>0</v>
      </c>
      <c r="H7" s="15" t="e">
        <f t="shared" ref="H7:H12" ca="1" si="3">IF(G$25="","",G7/G$25)</f>
        <v>#DIV/0!</v>
      </c>
      <c r="I7" s="47"/>
      <c r="J7" s="57" t="str">
        <f t="shared" si="0"/>
        <v/>
      </c>
      <c r="K7" s="28"/>
      <c r="L7" s="29"/>
      <c r="M7" s="199" t="str">
        <f t="shared" si="2"/>
        <v/>
      </c>
      <c r="N7" s="26"/>
      <c r="O7" s="243">
        <f>IF($H$32="M", $H$35+9*(100-$H$35)/12, $H$35+21*(100-$H$35)/30)</f>
        <v>85</v>
      </c>
      <c r="P7" s="244">
        <v>13</v>
      </c>
      <c r="Q7" s="245">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6"/>
      <c r="O8" s="243">
        <f>IF($H$32="M", $H$35+8*(100-$H$35)/12, $H$35+18*(100-$H$35)/30)</f>
        <v>80</v>
      </c>
      <c r="P8" s="244">
        <v>12</v>
      </c>
      <c r="Q8" s="245">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6"/>
      <c r="O9" s="243">
        <f>IF($H$32="M", $H$35+7*(100-$H$35)/12, $H$35+15*(100-$H$35)/30)</f>
        <v>75</v>
      </c>
      <c r="P9" s="244">
        <v>11</v>
      </c>
      <c r="Q9" s="245">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6"/>
      <c r="O10" s="243">
        <f>IF($H$32="M", $H$35+6*(100-$H$35)/12, $H$35+12*(100-$H$35)/30)</f>
        <v>70</v>
      </c>
      <c r="P10" s="244">
        <v>10</v>
      </c>
      <c r="Q10" s="245">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6"/>
      <c r="O11" s="243">
        <f>IF($H$32="M", $H$35+5*(100-$H$35)/12, $H$35+10*(100-$H$35)/30)</f>
        <v>65</v>
      </c>
      <c r="P11" s="244">
        <v>9</v>
      </c>
      <c r="Q11" s="245">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6"/>
      <c r="O12" s="243">
        <f>IF($H$32="M", $H$35+4*(100-$H$35)/12, $H$35+8*(100-$H$35)/30)</f>
        <v>60</v>
      </c>
      <c r="P12" s="244">
        <v>8</v>
      </c>
      <c r="Q12" s="245">
        <f>(O12-100*SUM($A$43:A50)/$H$30)</f>
        <v>60</v>
      </c>
    </row>
    <row r="13" spans="1:18" x14ac:dyDescent="0.2">
      <c r="A13" s="8">
        <v>10</v>
      </c>
      <c r="B13" s="44" t="str">
        <f>IF('1. Halbjahr'!B13&lt;&gt;"", '1. Halbjahr'!B13, "")</f>
        <v/>
      </c>
      <c r="C13" s="45" t="str">
        <f t="shared" ca="1" si="1"/>
        <v/>
      </c>
      <c r="D13" s="5"/>
      <c r="E13" s="23"/>
      <c r="F13" s="20">
        <v>9</v>
      </c>
      <c r="G13" s="14">
        <f t="shared" ca="1" si="4"/>
        <v>0</v>
      </c>
      <c r="H13" s="15" t="e">
        <f t="shared" ref="H13:H22" ca="1" si="5">IF(G$25="","",G13/G$25)</f>
        <v>#DIV/0!</v>
      </c>
      <c r="I13" s="47"/>
      <c r="J13" s="57" t="str">
        <f t="shared" si="0"/>
        <v/>
      </c>
      <c r="K13" s="28"/>
      <c r="L13" s="26"/>
      <c r="M13" s="199" t="str">
        <f t="shared" si="2"/>
        <v/>
      </c>
      <c r="N13" s="26"/>
      <c r="O13" s="243">
        <f>IF($H$32="M", $H$35+3*(100-$H$35)/12, $H$35+6*(100-$H$35)/30)</f>
        <v>55</v>
      </c>
      <c r="P13" s="244">
        <v>7</v>
      </c>
      <c r="Q13" s="245">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5"/>
        <v>#DIV/0!</v>
      </c>
      <c r="I14" s="24" t="e">
        <f ca="1">+H13+H14+H15</f>
        <v>#DIV/0!</v>
      </c>
      <c r="J14" s="57" t="str">
        <f t="shared" si="0"/>
        <v/>
      </c>
      <c r="K14" s="28"/>
      <c r="L14" s="29"/>
      <c r="M14" s="199" t="str">
        <f t="shared" si="2"/>
        <v/>
      </c>
      <c r="N14" s="26"/>
      <c r="O14" s="243">
        <f>IF($H$32="M", $H$35+2*(100-$H$35)/12, $H$35+4*(100-$H$35)/30)</f>
        <v>50</v>
      </c>
      <c r="P14" s="244">
        <v>6</v>
      </c>
      <c r="Q14" s="245">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5"/>
        <v>#DIV/0!</v>
      </c>
      <c r="I15" s="47">
        <f ca="1">+G13+G14+G15</f>
        <v>0</v>
      </c>
      <c r="J15" s="57" t="str">
        <f t="shared" si="0"/>
        <v/>
      </c>
      <c r="K15" s="62"/>
      <c r="M15" s="199" t="str">
        <f t="shared" si="2"/>
        <v/>
      </c>
      <c r="O15" s="243">
        <f>IF($H$32="M", $H$35+1*(100-$H$35)/12, $H$35+2*(100-$H$35)/30)</f>
        <v>45</v>
      </c>
      <c r="P15" s="244">
        <v>5</v>
      </c>
      <c r="Q15" s="245">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5"/>
        <v>#DIV/0!</v>
      </c>
      <c r="I16" s="47"/>
      <c r="J16" s="57" t="str">
        <f t="shared" si="0"/>
        <v/>
      </c>
      <c r="K16" s="62"/>
      <c r="M16" s="199" t="str">
        <f t="shared" si="2"/>
        <v/>
      </c>
      <c r="O16" s="243">
        <f>$H$35</f>
        <v>40</v>
      </c>
      <c r="P16" s="244">
        <v>4</v>
      </c>
      <c r="Q16" s="245">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5"/>
        <v>#DIV/0!</v>
      </c>
      <c r="I17" s="24" t="e">
        <f ca="1">+H16+H17+H18</f>
        <v>#DIV/0!</v>
      </c>
      <c r="J17" s="57" t="str">
        <f t="shared" si="0"/>
        <v/>
      </c>
      <c r="K17" s="62"/>
      <c r="M17" s="199" t="str">
        <f t="shared" si="2"/>
        <v/>
      </c>
      <c r="O17" s="243">
        <f>($H$34+2*($H$35-$H$34)/3)</f>
        <v>33.333333333333336</v>
      </c>
      <c r="P17" s="244">
        <v>3</v>
      </c>
      <c r="Q17" s="245">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5"/>
        <v>#DIV/0!</v>
      </c>
      <c r="I18" s="47">
        <f ca="1">+G16+G17+G18</f>
        <v>0</v>
      </c>
      <c r="J18" s="57" t="str">
        <f t="shared" si="0"/>
        <v/>
      </c>
      <c r="K18" s="47"/>
      <c r="M18" s="199" t="str">
        <f t="shared" si="2"/>
        <v/>
      </c>
      <c r="O18" s="243">
        <f>($H$34+($H$35-$H$34)/3)</f>
        <v>26.666666666666668</v>
      </c>
      <c r="P18" s="244">
        <v>2</v>
      </c>
      <c r="Q18" s="245">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5"/>
        <v>#DIV/0!</v>
      </c>
      <c r="I19" s="47"/>
      <c r="J19" s="57" t="str">
        <f t="shared" si="0"/>
        <v/>
      </c>
      <c r="K19" s="47"/>
      <c r="M19" s="199" t="str">
        <f t="shared" si="2"/>
        <v/>
      </c>
      <c r="O19" s="243">
        <f>$H$34-0.1</f>
        <v>19.899999999999999</v>
      </c>
      <c r="P19" s="244">
        <v>1</v>
      </c>
      <c r="Q19" s="245">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5"/>
        <v>#DIV/0!</v>
      </c>
      <c r="I20" s="24" t="e">
        <f ca="1">+H19+H20+H21</f>
        <v>#DIV/0!</v>
      </c>
      <c r="J20" s="57" t="str">
        <f t="shared" si="0"/>
        <v/>
      </c>
      <c r="K20" s="47"/>
      <c r="M20" s="199" t="str">
        <f t="shared" si="2"/>
        <v/>
      </c>
      <c r="O20" s="243">
        <v>0</v>
      </c>
      <c r="P20" s="244">
        <v>0</v>
      </c>
      <c r="Q20" s="47">
        <v>0</v>
      </c>
    </row>
    <row r="21" spans="1:17" x14ac:dyDescent="0.2">
      <c r="A21" s="8">
        <v>18</v>
      </c>
      <c r="B21" s="44" t="str">
        <f>IF('1. Halbjahr'!B21&lt;&gt;"", '1. Halbjahr'!B21, "")</f>
        <v/>
      </c>
      <c r="C21" s="45" t="str">
        <f t="shared" ca="1" si="1"/>
        <v/>
      </c>
      <c r="D21" s="5"/>
      <c r="E21" s="23"/>
      <c r="F21" s="61">
        <v>1</v>
      </c>
      <c r="G21" s="17">
        <f t="shared" ca="1" si="4"/>
        <v>0</v>
      </c>
      <c r="H21" s="18" t="e">
        <f t="shared" ca="1" si="5"/>
        <v>#DIV/0!</v>
      </c>
      <c r="I21" s="47">
        <f ca="1">+G19+G20+G21</f>
        <v>0</v>
      </c>
      <c r="J21" s="57" t="str">
        <f t="shared" si="0"/>
        <v/>
      </c>
      <c r="K21" s="47"/>
      <c r="M21" s="199" t="str">
        <f t="shared" si="2"/>
        <v/>
      </c>
      <c r="O21" s="55"/>
    </row>
    <row r="22" spans="1:17" x14ac:dyDescent="0.2">
      <c r="A22" s="8">
        <v>19</v>
      </c>
      <c r="B22" s="44" t="str">
        <f>IF('1. Halbjahr'!B22&lt;&gt;"", '1. Halbjahr'!B22, "")</f>
        <v/>
      </c>
      <c r="C22" s="45" t="str">
        <f t="shared" ca="1" si="1"/>
        <v/>
      </c>
      <c r="D22" s="5"/>
      <c r="E22" s="23"/>
      <c r="F22" s="80">
        <v>0</v>
      </c>
      <c r="G22" s="81">
        <f t="shared" ca="1" si="4"/>
        <v>0</v>
      </c>
      <c r="H22" s="82" t="e">
        <f t="shared" ca="1" si="5"/>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AL41" s="67"/>
      <c r="AM41" s="67"/>
      <c r="AN41" s="67"/>
      <c r="AO41" s="67"/>
      <c r="AP41" s="67"/>
      <c r="AQ41" s="67"/>
      <c r="AR41" s="67"/>
      <c r="AS41" s="67"/>
      <c r="AT41" s="67"/>
      <c r="AU41" s="67"/>
      <c r="AV41" s="67"/>
      <c r="AW41" s="67"/>
    </row>
    <row r="42" spans="1:49" ht="12.75" customHeight="1" x14ac:dyDescent="0.2">
      <c r="A42" s="465"/>
      <c r="B42" s="29"/>
      <c r="C42" s="86" t="s">
        <v>21</v>
      </c>
      <c r="D42" s="87" t="s">
        <v>22</v>
      </c>
      <c r="E42" s="477" t="s">
        <v>155</v>
      </c>
      <c r="F42" s="477"/>
      <c r="G42" s="478"/>
      <c r="H42" s="67"/>
      <c r="I42" s="67"/>
      <c r="J42" s="67"/>
      <c r="K42" s="67"/>
      <c r="L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6">ROUNDDOWN(Q5/500*$H$30, 1)*5</f>
        <v>33</v>
      </c>
      <c r="D44" s="200">
        <f t="shared" ref="D44:D56" si="7">C45+0.5</f>
        <v>32</v>
      </c>
      <c r="E44" s="221"/>
      <c r="F44" s="222" t="str">
        <f>IF(ABS(SUM($A$43:A44))&gt;1, "ALARM","")</f>
        <v/>
      </c>
      <c r="G44" s="223"/>
      <c r="H44" s="67"/>
      <c r="I44" s="67"/>
      <c r="J44" s="67"/>
      <c r="K44" s="67"/>
      <c r="L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6"/>
        <v>31.5</v>
      </c>
      <c r="D45" s="203">
        <f t="shared" si="7"/>
        <v>30</v>
      </c>
      <c r="E45" s="221"/>
      <c r="F45" s="222" t="str">
        <f>IF(ABS(SUM($A$43:A45))&gt;1, "ALARM","")</f>
        <v/>
      </c>
      <c r="G45" s="223"/>
      <c r="H45" s="67"/>
      <c r="I45" s="67"/>
      <c r="J45" s="67"/>
      <c r="K45" s="67"/>
      <c r="L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6"/>
        <v>29.5</v>
      </c>
      <c r="D46" s="202">
        <f t="shared" si="7"/>
        <v>28.5</v>
      </c>
      <c r="E46" s="218"/>
      <c r="F46" s="219" t="str">
        <f>IF(ABS(SUM($A$43:A46))&gt;1, "ALARM","")</f>
        <v/>
      </c>
      <c r="G46" s="220"/>
      <c r="H46" s="67"/>
      <c r="I46" s="67"/>
      <c r="J46" s="67"/>
      <c r="K46" s="67"/>
      <c r="L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6"/>
        <v>28</v>
      </c>
      <c r="D47" s="200">
        <f t="shared" si="7"/>
        <v>26.5</v>
      </c>
      <c r="E47" s="221"/>
      <c r="F47" s="222" t="str">
        <f>IF(ABS(SUM($A$43:A47))&gt;1, "ALARM","")</f>
        <v/>
      </c>
      <c r="G47" s="223"/>
      <c r="H47" s="67"/>
      <c r="I47" s="67"/>
      <c r="J47" s="67"/>
      <c r="K47" s="67"/>
      <c r="L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6"/>
        <v>26</v>
      </c>
      <c r="D48" s="203">
        <f t="shared" si="7"/>
        <v>25</v>
      </c>
      <c r="E48" s="221"/>
      <c r="F48" s="222" t="str">
        <f>IF(ABS(SUM($A$43:A48))&gt;1, "ALARM","")</f>
        <v/>
      </c>
      <c r="G48" s="223"/>
      <c r="H48" s="67"/>
      <c r="I48" s="67"/>
      <c r="J48" s="67"/>
      <c r="K48" s="67"/>
      <c r="L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6"/>
        <v>24.5</v>
      </c>
      <c r="D49" s="202">
        <f t="shared" si="7"/>
        <v>23</v>
      </c>
      <c r="E49" s="218"/>
      <c r="F49" s="219" t="str">
        <f>IF(ABS(SUM($A$43:A49))&gt;1, "ALARM","")</f>
        <v/>
      </c>
      <c r="G49" s="220"/>
      <c r="H49" s="67"/>
      <c r="I49" s="67"/>
      <c r="J49" s="67"/>
      <c r="K49" s="67"/>
      <c r="L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6"/>
        <v>22.5</v>
      </c>
      <c r="D50" s="200">
        <f t="shared" si="7"/>
        <v>21.5</v>
      </c>
      <c r="E50" s="221"/>
      <c r="F50" s="222" t="str">
        <f>IF(ABS(SUM($A$43:A50))&gt;1, "ALARM","")</f>
        <v/>
      </c>
      <c r="G50" s="223"/>
      <c r="H50" s="67"/>
      <c r="I50" s="67"/>
      <c r="J50" s="67"/>
      <c r="K50" s="67"/>
      <c r="L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6"/>
        <v>21</v>
      </c>
      <c r="D51" s="203">
        <f t="shared" si="7"/>
        <v>19.5</v>
      </c>
      <c r="E51" s="221"/>
      <c r="F51" s="222" t="str">
        <f>IF(ABS(SUM($A$43:A51))&gt;1, "ALARM","")</f>
        <v/>
      </c>
      <c r="G51" s="223"/>
      <c r="H51" s="67"/>
      <c r="I51" s="67"/>
      <c r="J51" s="67"/>
      <c r="K51" s="67"/>
      <c r="L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6"/>
        <v>19</v>
      </c>
      <c r="D52" s="202">
        <f t="shared" si="7"/>
        <v>18</v>
      </c>
      <c r="E52" s="218"/>
      <c r="F52" s="219" t="str">
        <f>IF(ABS(SUM($A$43:A52))&gt;1, "ALARM","")</f>
        <v/>
      </c>
      <c r="G52" s="220"/>
      <c r="H52" s="67"/>
      <c r="I52" s="67"/>
      <c r="J52" s="67"/>
      <c r="K52" s="67"/>
      <c r="L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6"/>
        <v>17.5</v>
      </c>
      <c r="D53" s="200">
        <f t="shared" si="7"/>
        <v>16</v>
      </c>
      <c r="E53" s="221"/>
      <c r="F53" s="222" t="str">
        <f>IF(ABS(SUM($A$43:A53))&gt;1, "ALARM","")</f>
        <v/>
      </c>
      <c r="G53" s="223"/>
      <c r="H53" s="67"/>
      <c r="I53" s="67"/>
      <c r="J53" s="67"/>
      <c r="K53" s="67"/>
      <c r="L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6"/>
        <v>15.5</v>
      </c>
      <c r="D54" s="203">
        <f t="shared" si="7"/>
        <v>14.5</v>
      </c>
      <c r="E54" s="221"/>
      <c r="F54" s="222" t="str">
        <f>IF(ABS(SUM($A$43:A54))&gt;1, "ALARM","")</f>
        <v/>
      </c>
      <c r="G54" s="223"/>
      <c r="H54" s="67"/>
      <c r="I54" s="67"/>
      <c r="J54" s="67"/>
      <c r="K54" s="67"/>
      <c r="L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6"/>
        <v>14</v>
      </c>
      <c r="D55" s="202">
        <f t="shared" si="7"/>
        <v>12</v>
      </c>
      <c r="E55" s="218"/>
      <c r="F55" s="219" t="str">
        <f>IF(ABS(SUM($A$43:A55))&gt;1, "ALARM","")</f>
        <v/>
      </c>
      <c r="G55" s="220"/>
      <c r="H55" s="67"/>
      <c r="I55" s="67"/>
      <c r="J55" s="67"/>
      <c r="K55" s="67"/>
      <c r="L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6"/>
        <v>11.5</v>
      </c>
      <c r="D56" s="200">
        <f t="shared" si="7"/>
        <v>9.5</v>
      </c>
      <c r="E56" s="221"/>
      <c r="F56" s="222" t="str">
        <f>IF(ABS(SUM($A$43:A56))&gt;1, "ALARM","")</f>
        <v/>
      </c>
      <c r="G56" s="223"/>
      <c r="H56" s="67"/>
      <c r="I56" s="67"/>
      <c r="J56" s="67"/>
      <c r="K56" s="67"/>
      <c r="L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6"/>
        <v>9</v>
      </c>
      <c r="D57" s="203">
        <f>ROUNDUP(H34/500*$H$30,1)*5</f>
        <v>7</v>
      </c>
      <c r="E57" s="224"/>
      <c r="F57" s="222" t="str">
        <f>IF(ABS(SUM($A$43:A57))&gt;1, "ALARM","")</f>
        <v/>
      </c>
      <c r="G57" s="225"/>
      <c r="H57" s="67"/>
      <c r="I57" s="67"/>
      <c r="J57" s="67"/>
      <c r="K57" s="67"/>
      <c r="L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9" priority="3" stopIfTrue="1">
      <formula>$H$3="Punkte"</formula>
    </cfRule>
    <cfRule type="expression" dxfId="98" priority="4" stopIfTrue="1">
      <formula>$H$3="BE"</formula>
    </cfRule>
  </conditionalFormatting>
  <conditionalFormatting sqref="F43:F58">
    <cfRule type="cellIs" dxfId="97" priority="2" operator="equal">
      <formula>"ALARM"</formula>
    </cfRule>
  </conditionalFormatting>
  <conditionalFormatting sqref="B43:B58">
    <cfRule type="cellIs" dxfId="96"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sheetPr>
  <dimension ref="A1:AG40"/>
  <sheetViews>
    <sheetView workbookViewId="0">
      <selection activeCell="AD5" sqref="AD5"/>
    </sheetView>
  </sheetViews>
  <sheetFormatPr baseColWidth="10" defaultRowHeight="12.75" x14ac:dyDescent="0.2"/>
  <cols>
    <col min="1" max="1" width="3.85546875" style="85" customWidth="1"/>
    <col min="2" max="2" width="22" style="85" bestFit="1" customWidth="1"/>
    <col min="3" max="29" width="5.28515625" style="83" customWidth="1"/>
    <col min="30" max="30" width="5.42578125" style="83" customWidth="1"/>
    <col min="31" max="31" width="6.28515625" style="77" customWidth="1"/>
    <col min="32" max="32" width="14.7109375" style="119" customWidth="1"/>
    <col min="33" max="33" width="13.7109375" customWidth="1"/>
  </cols>
  <sheetData>
    <row r="1" spans="1:33" x14ac:dyDescent="0.2">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F1" s="118"/>
    </row>
    <row r="2" spans="1:33" x14ac:dyDescent="0.2">
      <c r="B2" s="102"/>
      <c r="C2" s="179">
        <v>3</v>
      </c>
      <c r="D2" s="179">
        <v>3</v>
      </c>
      <c r="E2" s="179">
        <v>3</v>
      </c>
      <c r="F2" s="179">
        <v>4</v>
      </c>
      <c r="G2" s="179">
        <v>4</v>
      </c>
      <c r="H2" s="179">
        <v>3</v>
      </c>
      <c r="I2" s="179">
        <v>2</v>
      </c>
      <c r="J2" s="179">
        <v>3</v>
      </c>
      <c r="K2" s="179">
        <v>3</v>
      </c>
      <c r="L2" s="179">
        <v>3</v>
      </c>
      <c r="M2" s="179">
        <v>3</v>
      </c>
      <c r="N2" s="179">
        <v>4</v>
      </c>
      <c r="O2" s="179">
        <v>4</v>
      </c>
      <c r="P2" s="179">
        <v>3</v>
      </c>
      <c r="Q2" s="179">
        <v>2</v>
      </c>
      <c r="R2" s="179">
        <v>3</v>
      </c>
      <c r="S2" s="179">
        <v>4</v>
      </c>
      <c r="T2" s="179">
        <v>5</v>
      </c>
      <c r="U2" s="179">
        <v>4</v>
      </c>
      <c r="V2" s="179">
        <v>4</v>
      </c>
      <c r="W2" s="179">
        <v>2</v>
      </c>
      <c r="X2" s="179">
        <v>8</v>
      </c>
      <c r="Y2" s="179">
        <v>3</v>
      </c>
      <c r="Z2" s="179">
        <v>5</v>
      </c>
      <c r="AA2" s="179">
        <v>3</v>
      </c>
      <c r="AB2" s="179">
        <v>4</v>
      </c>
      <c r="AC2" s="179">
        <v>4</v>
      </c>
      <c r="AD2" s="179">
        <v>4</v>
      </c>
      <c r="AE2" s="78">
        <f>SUM(C2:AD2)</f>
        <v>100</v>
      </c>
      <c r="AF2" s="522" t="s">
        <v>92</v>
      </c>
      <c r="AG2" s="182" t="s">
        <v>104</v>
      </c>
    </row>
    <row r="3" spans="1:33" x14ac:dyDescent="0.2">
      <c r="B3" s="102"/>
      <c r="C3" s="180" t="s">
        <v>44</v>
      </c>
      <c r="D3" s="181" t="s">
        <v>45</v>
      </c>
      <c r="E3" s="181" t="s">
        <v>46</v>
      </c>
      <c r="F3" s="181" t="s">
        <v>47</v>
      </c>
      <c r="G3" s="181" t="s">
        <v>48</v>
      </c>
      <c r="H3" s="181" t="s">
        <v>49</v>
      </c>
      <c r="I3" s="181" t="s">
        <v>50</v>
      </c>
      <c r="J3" s="181" t="s">
        <v>51</v>
      </c>
      <c r="K3" s="181" t="s">
        <v>52</v>
      </c>
      <c r="L3" s="181" t="s">
        <v>53</v>
      </c>
      <c r="M3" s="181" t="s">
        <v>54</v>
      </c>
      <c r="N3" s="181" t="s">
        <v>55</v>
      </c>
      <c r="O3" s="181" t="s">
        <v>56</v>
      </c>
      <c r="P3" s="181" t="s">
        <v>57</v>
      </c>
      <c r="Q3" s="181" t="s">
        <v>58</v>
      </c>
      <c r="R3" s="181" t="s">
        <v>59</v>
      </c>
      <c r="S3" s="181" t="s">
        <v>60</v>
      </c>
      <c r="T3" s="181" t="s">
        <v>61</v>
      </c>
      <c r="U3" s="181" t="s">
        <v>62</v>
      </c>
      <c r="V3" s="181" t="s">
        <v>63</v>
      </c>
      <c r="W3" s="181" t="s">
        <v>64</v>
      </c>
      <c r="X3" s="181" t="s">
        <v>65</v>
      </c>
      <c r="Y3" s="181" t="s">
        <v>66</v>
      </c>
      <c r="Z3" s="181" t="s">
        <v>67</v>
      </c>
      <c r="AA3" s="181" t="s">
        <v>68</v>
      </c>
      <c r="AB3" s="181" t="s">
        <v>69</v>
      </c>
      <c r="AC3" s="181" t="s">
        <v>70</v>
      </c>
      <c r="AD3" s="181" t="s">
        <v>71</v>
      </c>
      <c r="AE3" s="78"/>
      <c r="AF3" s="523"/>
      <c r="AG3" s="178" t="s">
        <v>103</v>
      </c>
    </row>
    <row r="4" spans="1:33" ht="31.5" customHeight="1" x14ac:dyDescent="0.2">
      <c r="A4" s="85">
        <v>1</v>
      </c>
      <c r="B4" s="103" t="str">
        <f>+AP!B6</f>
        <v/>
      </c>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79" t="str">
        <f t="shared" ref="AE4:AE38" si="0">IF(COUNT(C4:AD4)&gt;0,SUM(C4:AD4),"")</f>
        <v/>
      </c>
      <c r="AF4" s="143"/>
      <c r="AG4" s="183" t="str">
        <f>IF(AE4="","",(AE4+AF4))</f>
        <v/>
      </c>
    </row>
    <row r="5" spans="1:33" ht="31.5" customHeight="1" x14ac:dyDescent="0.2">
      <c r="A5" s="85">
        <f t="shared" ref="A5:A37" si="1">+A4+1</f>
        <v>2</v>
      </c>
      <c r="B5" s="103" t="str">
        <f>+AP!B7</f>
        <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79" t="str">
        <f t="shared" si="0"/>
        <v/>
      </c>
      <c r="AF5" s="143"/>
      <c r="AG5" s="183" t="str">
        <f t="shared" ref="AG5:AG38" si="2">IF(AE5="","",(AE5+AF5))</f>
        <v/>
      </c>
    </row>
    <row r="6" spans="1:33" ht="31.5" customHeight="1" x14ac:dyDescent="0.2">
      <c r="A6" s="85">
        <f t="shared" si="1"/>
        <v>3</v>
      </c>
      <c r="B6" s="103" t="str">
        <f>+AP!B8</f>
        <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79" t="str">
        <f t="shared" si="0"/>
        <v/>
      </c>
      <c r="AF6" s="143"/>
      <c r="AG6" s="183" t="str">
        <f t="shared" si="2"/>
        <v/>
      </c>
    </row>
    <row r="7" spans="1:33" ht="31.5" customHeight="1" x14ac:dyDescent="0.2">
      <c r="A7" s="85">
        <f>+A6+1</f>
        <v>4</v>
      </c>
      <c r="B7" s="103" t="str">
        <f>+AP!B9</f>
        <v/>
      </c>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79" t="str">
        <f t="shared" si="0"/>
        <v/>
      </c>
      <c r="AF7" s="143"/>
      <c r="AG7" s="183" t="str">
        <f t="shared" si="2"/>
        <v/>
      </c>
    </row>
    <row r="8" spans="1:33" ht="31.5" customHeight="1" x14ac:dyDescent="0.2">
      <c r="A8" s="85">
        <f t="shared" si="1"/>
        <v>5</v>
      </c>
      <c r="B8" s="103" t="str">
        <f>+AP!B10</f>
        <v/>
      </c>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79" t="str">
        <f t="shared" si="0"/>
        <v/>
      </c>
      <c r="AF8" s="143"/>
      <c r="AG8" s="183" t="str">
        <f t="shared" si="2"/>
        <v/>
      </c>
    </row>
    <row r="9" spans="1:33" ht="31.5" customHeight="1" x14ac:dyDescent="0.2">
      <c r="A9" s="85">
        <f t="shared" si="1"/>
        <v>6</v>
      </c>
      <c r="B9" s="103" t="str">
        <f>+AP!B11</f>
        <v/>
      </c>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79" t="str">
        <f t="shared" si="0"/>
        <v/>
      </c>
      <c r="AF9" s="143"/>
      <c r="AG9" s="183" t="str">
        <f t="shared" si="2"/>
        <v/>
      </c>
    </row>
    <row r="10" spans="1:33" ht="31.5" customHeight="1" x14ac:dyDescent="0.2">
      <c r="A10" s="85">
        <f t="shared" si="1"/>
        <v>7</v>
      </c>
      <c r="B10" s="103" t="str">
        <f>+AP!B12</f>
        <v/>
      </c>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79" t="str">
        <f t="shared" si="0"/>
        <v/>
      </c>
      <c r="AF10" s="143"/>
      <c r="AG10" s="183" t="str">
        <f t="shared" si="2"/>
        <v/>
      </c>
    </row>
    <row r="11" spans="1:33" ht="31.5" customHeight="1" x14ac:dyDescent="0.2">
      <c r="A11" s="85">
        <f t="shared" si="1"/>
        <v>8</v>
      </c>
      <c r="B11" s="103" t="str">
        <f>+AP!B13</f>
        <v/>
      </c>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79" t="str">
        <f t="shared" si="0"/>
        <v/>
      </c>
      <c r="AF11" s="143"/>
      <c r="AG11" s="183" t="str">
        <f t="shared" si="2"/>
        <v/>
      </c>
    </row>
    <row r="12" spans="1:33" ht="31.5" customHeight="1" x14ac:dyDescent="0.2">
      <c r="A12" s="85">
        <f t="shared" si="1"/>
        <v>9</v>
      </c>
      <c r="B12" s="103" t="str">
        <f>+AP!B14</f>
        <v/>
      </c>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79" t="str">
        <f t="shared" si="0"/>
        <v/>
      </c>
      <c r="AF12" s="143"/>
      <c r="AG12" s="183" t="str">
        <f t="shared" si="2"/>
        <v/>
      </c>
    </row>
    <row r="13" spans="1:33" ht="31.5" customHeight="1" x14ac:dyDescent="0.2">
      <c r="A13" s="85">
        <f t="shared" si="1"/>
        <v>10</v>
      </c>
      <c r="B13" s="103" t="str">
        <f>+AP!B15</f>
        <v/>
      </c>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79" t="str">
        <f t="shared" si="0"/>
        <v/>
      </c>
      <c r="AF13" s="143"/>
      <c r="AG13" s="183" t="str">
        <f t="shared" si="2"/>
        <v/>
      </c>
    </row>
    <row r="14" spans="1:33" ht="31.5" customHeight="1" x14ac:dyDescent="0.2">
      <c r="A14" s="85">
        <f t="shared" si="1"/>
        <v>11</v>
      </c>
      <c r="B14" s="103" t="str">
        <f>+AP!B16</f>
        <v/>
      </c>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79" t="str">
        <f t="shared" si="0"/>
        <v/>
      </c>
      <c r="AF14" s="143"/>
      <c r="AG14" s="183" t="str">
        <f t="shared" si="2"/>
        <v/>
      </c>
    </row>
    <row r="15" spans="1:33" ht="31.5" customHeight="1" x14ac:dyDescent="0.2">
      <c r="A15" s="85">
        <f t="shared" si="1"/>
        <v>12</v>
      </c>
      <c r="B15" s="103" t="str">
        <f>+AP!B17</f>
        <v/>
      </c>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79" t="str">
        <f t="shared" si="0"/>
        <v/>
      </c>
      <c r="AF15" s="143"/>
      <c r="AG15" s="183" t="str">
        <f t="shared" si="2"/>
        <v/>
      </c>
    </row>
    <row r="16" spans="1:33" ht="31.5" customHeight="1" x14ac:dyDescent="0.2">
      <c r="A16" s="85">
        <f t="shared" si="1"/>
        <v>13</v>
      </c>
      <c r="B16" s="103" t="str">
        <f>+AP!B18</f>
        <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79" t="str">
        <f t="shared" si="0"/>
        <v/>
      </c>
      <c r="AF16" s="143"/>
      <c r="AG16" s="183" t="str">
        <f t="shared" si="2"/>
        <v/>
      </c>
    </row>
    <row r="17" spans="1:33" ht="31.5" customHeight="1" x14ac:dyDescent="0.2">
      <c r="A17" s="85">
        <f t="shared" si="1"/>
        <v>14</v>
      </c>
      <c r="B17" s="103" t="str">
        <f>+AP!B19</f>
        <v/>
      </c>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79" t="str">
        <f t="shared" si="0"/>
        <v/>
      </c>
      <c r="AF17" s="143"/>
      <c r="AG17" s="183" t="str">
        <f t="shared" si="2"/>
        <v/>
      </c>
    </row>
    <row r="18" spans="1:33" ht="31.5" customHeight="1" x14ac:dyDescent="0.2">
      <c r="A18" s="85">
        <f t="shared" si="1"/>
        <v>15</v>
      </c>
      <c r="B18" s="103" t="str">
        <f>+AP!B20</f>
        <v/>
      </c>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79" t="str">
        <f t="shared" si="0"/>
        <v/>
      </c>
      <c r="AF18" s="143"/>
      <c r="AG18" s="183" t="str">
        <f t="shared" si="2"/>
        <v/>
      </c>
    </row>
    <row r="19" spans="1:33" ht="31.5" customHeight="1" x14ac:dyDescent="0.2">
      <c r="A19" s="85">
        <f t="shared" si="1"/>
        <v>16</v>
      </c>
      <c r="B19" s="103" t="str">
        <f>+AP!B21</f>
        <v/>
      </c>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79" t="str">
        <f t="shared" si="0"/>
        <v/>
      </c>
      <c r="AF19" s="143"/>
      <c r="AG19" s="183" t="str">
        <f t="shared" si="2"/>
        <v/>
      </c>
    </row>
    <row r="20" spans="1:33" ht="31.5" customHeight="1" x14ac:dyDescent="0.2">
      <c r="A20" s="85">
        <f t="shared" si="1"/>
        <v>17</v>
      </c>
      <c r="B20" s="103" t="str">
        <f>+AP!B22</f>
        <v/>
      </c>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79" t="str">
        <f t="shared" si="0"/>
        <v/>
      </c>
      <c r="AF20" s="143"/>
      <c r="AG20" s="183" t="str">
        <f t="shared" si="2"/>
        <v/>
      </c>
    </row>
    <row r="21" spans="1:33" ht="31.5" customHeight="1" x14ac:dyDescent="0.2">
      <c r="A21" s="85">
        <f t="shared" si="1"/>
        <v>18</v>
      </c>
      <c r="B21" s="103" t="str">
        <f>+AP!B23</f>
        <v/>
      </c>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79" t="str">
        <f t="shared" si="0"/>
        <v/>
      </c>
      <c r="AF21" s="143"/>
      <c r="AG21" s="183" t="str">
        <f t="shared" si="2"/>
        <v/>
      </c>
    </row>
    <row r="22" spans="1:33" ht="31.5" customHeight="1" x14ac:dyDescent="0.2">
      <c r="A22" s="85">
        <f t="shared" si="1"/>
        <v>19</v>
      </c>
      <c r="B22" s="103" t="str">
        <f>+AP!B24</f>
        <v/>
      </c>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79" t="str">
        <f t="shared" si="0"/>
        <v/>
      </c>
      <c r="AF22" s="143"/>
      <c r="AG22" s="183" t="str">
        <f t="shared" si="2"/>
        <v/>
      </c>
    </row>
    <row r="23" spans="1:33" ht="31.5" customHeight="1" x14ac:dyDescent="0.2">
      <c r="A23" s="85">
        <f t="shared" si="1"/>
        <v>20</v>
      </c>
      <c r="B23" s="103" t="str">
        <f>+AP!B25</f>
        <v/>
      </c>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79" t="str">
        <f t="shared" si="0"/>
        <v/>
      </c>
      <c r="AF23" s="143"/>
      <c r="AG23" s="183" t="str">
        <f t="shared" si="2"/>
        <v/>
      </c>
    </row>
    <row r="24" spans="1:33" ht="31.5" customHeight="1" x14ac:dyDescent="0.2">
      <c r="A24" s="85">
        <f t="shared" si="1"/>
        <v>21</v>
      </c>
      <c r="B24" s="103" t="str">
        <f>+AP!B26</f>
        <v/>
      </c>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2"/>
      <c r="AB24" s="142"/>
      <c r="AC24" s="142"/>
      <c r="AD24" s="142"/>
      <c r="AE24" s="79" t="str">
        <f t="shared" si="0"/>
        <v/>
      </c>
      <c r="AF24" s="143"/>
      <c r="AG24" s="183" t="str">
        <f t="shared" si="2"/>
        <v/>
      </c>
    </row>
    <row r="25" spans="1:33" ht="31.5" customHeight="1" x14ac:dyDescent="0.2">
      <c r="A25" s="85">
        <f t="shared" si="1"/>
        <v>22</v>
      </c>
      <c r="B25" s="103" t="str">
        <f>+AP!B27</f>
        <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79" t="str">
        <f t="shared" si="0"/>
        <v/>
      </c>
      <c r="AF25" s="143"/>
      <c r="AG25" s="183" t="str">
        <f t="shared" si="2"/>
        <v/>
      </c>
    </row>
    <row r="26" spans="1:33" ht="31.5" customHeight="1" x14ac:dyDescent="0.2">
      <c r="A26" s="85">
        <f t="shared" si="1"/>
        <v>23</v>
      </c>
      <c r="B26" s="103" t="str">
        <f>+AP!B28</f>
        <v/>
      </c>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79" t="str">
        <f t="shared" si="0"/>
        <v/>
      </c>
      <c r="AF26" s="143"/>
      <c r="AG26" s="183" t="str">
        <f t="shared" si="2"/>
        <v/>
      </c>
    </row>
    <row r="27" spans="1:33" ht="31.5" customHeight="1" x14ac:dyDescent="0.2">
      <c r="A27" s="85">
        <f t="shared" si="1"/>
        <v>24</v>
      </c>
      <c r="B27" s="103" t="str">
        <f>+AP!B29</f>
        <v/>
      </c>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79" t="str">
        <f t="shared" si="0"/>
        <v/>
      </c>
      <c r="AF27" s="143"/>
      <c r="AG27" s="183" t="str">
        <f t="shared" si="2"/>
        <v/>
      </c>
    </row>
    <row r="28" spans="1:33" ht="31.5" customHeight="1" x14ac:dyDescent="0.2">
      <c r="A28" s="85">
        <f t="shared" si="1"/>
        <v>25</v>
      </c>
      <c r="B28" s="103" t="str">
        <f>+AP!B30</f>
        <v/>
      </c>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79" t="str">
        <f t="shared" si="0"/>
        <v/>
      </c>
      <c r="AF28" s="143"/>
      <c r="AG28" s="183" t="str">
        <f t="shared" si="2"/>
        <v/>
      </c>
    </row>
    <row r="29" spans="1:33" ht="31.5" customHeight="1" x14ac:dyDescent="0.2">
      <c r="A29" s="85">
        <f t="shared" si="1"/>
        <v>26</v>
      </c>
      <c r="B29" s="103" t="str">
        <f>+AP!B31</f>
        <v/>
      </c>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79" t="str">
        <f t="shared" si="0"/>
        <v/>
      </c>
      <c r="AF29" s="143"/>
      <c r="AG29" s="183" t="str">
        <f t="shared" si="2"/>
        <v/>
      </c>
    </row>
    <row r="30" spans="1:33" ht="31.5" customHeight="1" x14ac:dyDescent="0.2">
      <c r="A30" s="85">
        <f t="shared" si="1"/>
        <v>27</v>
      </c>
      <c r="B30" s="103" t="str">
        <f>+AP!B32</f>
        <v/>
      </c>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79" t="str">
        <f t="shared" si="0"/>
        <v/>
      </c>
      <c r="AF30" s="143"/>
      <c r="AG30" s="183" t="str">
        <f t="shared" si="2"/>
        <v/>
      </c>
    </row>
    <row r="31" spans="1:33" ht="31.5" customHeight="1" x14ac:dyDescent="0.2">
      <c r="A31" s="85">
        <f t="shared" si="1"/>
        <v>28</v>
      </c>
      <c r="B31" s="103" t="str">
        <f>+AP!B33</f>
        <v/>
      </c>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79" t="str">
        <f t="shared" si="0"/>
        <v/>
      </c>
      <c r="AF31" s="143"/>
      <c r="AG31" s="183" t="str">
        <f t="shared" si="2"/>
        <v/>
      </c>
    </row>
    <row r="32" spans="1:33" ht="31.5" customHeight="1" x14ac:dyDescent="0.2">
      <c r="A32" s="85">
        <f t="shared" si="1"/>
        <v>29</v>
      </c>
      <c r="B32" s="103" t="str">
        <f>+AP!B34</f>
        <v/>
      </c>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79" t="str">
        <f t="shared" si="0"/>
        <v/>
      </c>
      <c r="AF32" s="143"/>
      <c r="AG32" s="183" t="str">
        <f t="shared" si="2"/>
        <v/>
      </c>
    </row>
    <row r="33" spans="1:33" ht="31.5" customHeight="1" x14ac:dyDescent="0.2">
      <c r="A33" s="85">
        <f t="shared" si="1"/>
        <v>30</v>
      </c>
      <c r="B33" s="103" t="str">
        <f>+AP!B35</f>
        <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79" t="str">
        <f t="shared" si="0"/>
        <v/>
      </c>
      <c r="AF33" s="143"/>
      <c r="AG33" s="183" t="str">
        <f t="shared" si="2"/>
        <v/>
      </c>
    </row>
    <row r="34" spans="1:33" ht="31.5" customHeight="1" x14ac:dyDescent="0.2">
      <c r="A34" s="85">
        <f t="shared" si="1"/>
        <v>31</v>
      </c>
      <c r="B34" s="103" t="str">
        <f>+AP!B36</f>
        <v/>
      </c>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79" t="str">
        <f t="shared" si="0"/>
        <v/>
      </c>
      <c r="AF34" s="143"/>
      <c r="AG34" s="183" t="str">
        <f t="shared" si="2"/>
        <v/>
      </c>
    </row>
    <row r="35" spans="1:33" ht="31.5" customHeight="1" x14ac:dyDescent="0.2">
      <c r="A35" s="85">
        <f t="shared" si="1"/>
        <v>32</v>
      </c>
      <c r="B35" s="103" t="str">
        <f>+AP!B37</f>
        <v/>
      </c>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79" t="str">
        <f t="shared" si="0"/>
        <v/>
      </c>
      <c r="AF35" s="143"/>
      <c r="AG35" s="183" t="str">
        <f t="shared" si="2"/>
        <v/>
      </c>
    </row>
    <row r="36" spans="1:33" ht="31.5" customHeight="1" x14ac:dyDescent="0.2">
      <c r="A36" s="85">
        <f t="shared" si="1"/>
        <v>33</v>
      </c>
      <c r="B36" s="103" t="str">
        <f>+AP!B38</f>
        <v/>
      </c>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79" t="str">
        <f t="shared" si="0"/>
        <v/>
      </c>
      <c r="AF36" s="143"/>
      <c r="AG36" s="183" t="str">
        <f t="shared" si="2"/>
        <v/>
      </c>
    </row>
    <row r="37" spans="1:33" ht="31.5" customHeight="1" x14ac:dyDescent="0.2">
      <c r="A37" s="85">
        <f t="shared" si="1"/>
        <v>34</v>
      </c>
      <c r="B37" s="103" t="str">
        <f>+AP!B39</f>
        <v/>
      </c>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79" t="str">
        <f t="shared" si="0"/>
        <v/>
      </c>
      <c r="AF37" s="143"/>
      <c r="AG37" s="183" t="str">
        <f t="shared" si="2"/>
        <v/>
      </c>
    </row>
    <row r="38" spans="1:33" ht="31.5" customHeight="1" x14ac:dyDescent="0.2">
      <c r="A38" s="85">
        <f>+A37+1</f>
        <v>35</v>
      </c>
      <c r="B38" s="103" t="str">
        <f>+AP!B40</f>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79" t="str">
        <f t="shared" si="0"/>
        <v/>
      </c>
      <c r="AF38" s="143"/>
      <c r="AG38" s="183" t="str">
        <f t="shared" si="2"/>
        <v/>
      </c>
    </row>
    <row r="39" spans="1:33" s="52" customFormat="1" ht="31.5" customHeight="1" x14ac:dyDescent="0.2">
      <c r="A39" s="85"/>
      <c r="B39" s="85"/>
      <c r="C39" s="83" t="e">
        <f>SUM(C4:C38)/COUNT(C4:C38)</f>
        <v>#DIV/0!</v>
      </c>
      <c r="D39" s="83" t="e">
        <f t="shared" ref="D39:AD39" si="3">SUM(D4:D38)/COUNT(D4:D38)</f>
        <v>#DIV/0!</v>
      </c>
      <c r="E39" s="83" t="e">
        <f t="shared" si="3"/>
        <v>#DIV/0!</v>
      </c>
      <c r="F39" s="83" t="e">
        <f t="shared" si="3"/>
        <v>#DIV/0!</v>
      </c>
      <c r="G39" s="83" t="e">
        <f t="shared" si="3"/>
        <v>#DIV/0!</v>
      </c>
      <c r="H39" s="83" t="e">
        <f t="shared" si="3"/>
        <v>#DIV/0!</v>
      </c>
      <c r="I39" s="83" t="e">
        <f t="shared" si="3"/>
        <v>#DIV/0!</v>
      </c>
      <c r="J39" s="83" t="e">
        <f t="shared" si="3"/>
        <v>#DIV/0!</v>
      </c>
      <c r="K39" s="83" t="e">
        <f t="shared" si="3"/>
        <v>#DIV/0!</v>
      </c>
      <c r="L39" s="83" t="e">
        <f t="shared" si="3"/>
        <v>#DIV/0!</v>
      </c>
      <c r="M39" s="83" t="e">
        <f t="shared" si="3"/>
        <v>#DIV/0!</v>
      </c>
      <c r="N39" s="83" t="e">
        <f t="shared" si="3"/>
        <v>#DIV/0!</v>
      </c>
      <c r="O39" s="83" t="e">
        <f t="shared" si="3"/>
        <v>#DIV/0!</v>
      </c>
      <c r="P39" s="83" t="e">
        <f t="shared" si="3"/>
        <v>#DIV/0!</v>
      </c>
      <c r="Q39" s="83" t="e">
        <f t="shared" si="3"/>
        <v>#DIV/0!</v>
      </c>
      <c r="R39" s="83" t="e">
        <f t="shared" si="3"/>
        <v>#DIV/0!</v>
      </c>
      <c r="S39" s="83" t="e">
        <f t="shared" si="3"/>
        <v>#DIV/0!</v>
      </c>
      <c r="T39" s="83" t="e">
        <f t="shared" si="3"/>
        <v>#DIV/0!</v>
      </c>
      <c r="U39" s="83" t="e">
        <f t="shared" si="3"/>
        <v>#DIV/0!</v>
      </c>
      <c r="V39" s="83" t="e">
        <f t="shared" si="3"/>
        <v>#DIV/0!</v>
      </c>
      <c r="W39" s="83" t="e">
        <f t="shared" si="3"/>
        <v>#DIV/0!</v>
      </c>
      <c r="X39" s="83" t="e">
        <f t="shared" si="3"/>
        <v>#DIV/0!</v>
      </c>
      <c r="Y39" s="83" t="e">
        <f t="shared" si="3"/>
        <v>#DIV/0!</v>
      </c>
      <c r="Z39" s="83" t="e">
        <f t="shared" si="3"/>
        <v>#DIV/0!</v>
      </c>
      <c r="AA39" s="83" t="e">
        <f>SUM(AA4:AA38)/COUNT(AA4:AA38)</f>
        <v>#DIV/0!</v>
      </c>
      <c r="AB39" s="83" t="e">
        <f>SUM(AB4:AB38)/COUNT(AB4:AB38)</f>
        <v>#DIV/0!</v>
      </c>
      <c r="AC39" s="83" t="e">
        <f>SUM(AC4:AC38)/COUNT(AC4:AC38)</f>
        <v>#DIV/0!</v>
      </c>
      <c r="AD39" s="83" t="e">
        <f t="shared" si="3"/>
        <v>#DIV/0!</v>
      </c>
      <c r="AE39" s="83" t="e">
        <f>SUM(AE4:AE38)/COUNT(AE4:AE38)</f>
        <v>#DIV/0!</v>
      </c>
      <c r="AF39" s="119" t="e">
        <f>SUM(AF4:AF38)/COUNT(AF4:AF38)</f>
        <v>#DIV/0!</v>
      </c>
    </row>
    <row r="40" spans="1:33" s="52" customFormat="1" x14ac:dyDescent="0.2">
      <c r="A40" s="85"/>
      <c r="B40" s="85"/>
      <c r="C40" s="84" t="e">
        <f t="shared" ref="C40:AE40" si="4">+C39/C2</f>
        <v>#DIV/0!</v>
      </c>
      <c r="D40" s="84" t="e">
        <f t="shared" si="4"/>
        <v>#DIV/0!</v>
      </c>
      <c r="E40" s="84" t="e">
        <f t="shared" si="4"/>
        <v>#DIV/0!</v>
      </c>
      <c r="F40" s="84" t="e">
        <f t="shared" si="4"/>
        <v>#DIV/0!</v>
      </c>
      <c r="G40" s="84" t="e">
        <f t="shared" si="4"/>
        <v>#DIV/0!</v>
      </c>
      <c r="H40" s="84" t="e">
        <f t="shared" si="4"/>
        <v>#DIV/0!</v>
      </c>
      <c r="I40" s="84" t="e">
        <f t="shared" si="4"/>
        <v>#DIV/0!</v>
      </c>
      <c r="J40" s="84" t="e">
        <f t="shared" si="4"/>
        <v>#DIV/0!</v>
      </c>
      <c r="K40" s="84" t="e">
        <f t="shared" si="4"/>
        <v>#DIV/0!</v>
      </c>
      <c r="L40" s="84" t="e">
        <f t="shared" si="4"/>
        <v>#DIV/0!</v>
      </c>
      <c r="M40" s="84" t="e">
        <f t="shared" si="4"/>
        <v>#DIV/0!</v>
      </c>
      <c r="N40" s="84" t="e">
        <f t="shared" si="4"/>
        <v>#DIV/0!</v>
      </c>
      <c r="O40" s="84" t="e">
        <f t="shared" si="4"/>
        <v>#DIV/0!</v>
      </c>
      <c r="P40" s="84" t="e">
        <f t="shared" si="4"/>
        <v>#DIV/0!</v>
      </c>
      <c r="Q40" s="84" t="e">
        <f t="shared" si="4"/>
        <v>#DIV/0!</v>
      </c>
      <c r="R40" s="84" t="e">
        <f t="shared" si="4"/>
        <v>#DIV/0!</v>
      </c>
      <c r="S40" s="84" t="e">
        <f t="shared" si="4"/>
        <v>#DIV/0!</v>
      </c>
      <c r="T40" s="84" t="e">
        <f t="shared" si="4"/>
        <v>#DIV/0!</v>
      </c>
      <c r="U40" s="84" t="e">
        <f t="shared" si="4"/>
        <v>#DIV/0!</v>
      </c>
      <c r="V40" s="84" t="e">
        <f t="shared" si="4"/>
        <v>#DIV/0!</v>
      </c>
      <c r="W40" s="84" t="e">
        <f t="shared" si="4"/>
        <v>#DIV/0!</v>
      </c>
      <c r="X40" s="84" t="e">
        <f t="shared" si="4"/>
        <v>#DIV/0!</v>
      </c>
      <c r="Y40" s="84" t="e">
        <f t="shared" si="4"/>
        <v>#DIV/0!</v>
      </c>
      <c r="Z40" s="84" t="e">
        <f t="shared" si="4"/>
        <v>#DIV/0!</v>
      </c>
      <c r="AA40" s="84" t="e">
        <f>+AA39/AA2</f>
        <v>#DIV/0!</v>
      </c>
      <c r="AB40" s="84" t="e">
        <f>+AB39/AB2</f>
        <v>#DIV/0!</v>
      </c>
      <c r="AC40" s="84" t="e">
        <f>+AC39/AC2</f>
        <v>#DIV/0!</v>
      </c>
      <c r="AD40" s="84" t="e">
        <f t="shared" si="4"/>
        <v>#DIV/0!</v>
      </c>
      <c r="AE40" s="84" t="e">
        <f t="shared" si="4"/>
        <v>#DIV/0!</v>
      </c>
      <c r="AF40" s="120" t="e">
        <f>+AF39/AF2</f>
        <v>#DIV/0!</v>
      </c>
    </row>
  </sheetData>
  <sheetProtection password="CC71" sheet="1" objects="1" scenarios="1"/>
  <mergeCells count="1">
    <mergeCell ref="AF2:AF3"/>
  </mergeCells>
  <phoneticPr fontId="0" type="noConversion"/>
  <pageMargins left="0.43" right="0.45" top="0.41" bottom="0.52" header="0.31" footer="0.4921259845"/>
  <pageSetup paperSize="9" scale="90" orientation="portrait" horizontalDpi="0" verticalDpi="0"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12" sqref="C12"/>
    </sheetView>
  </sheetViews>
  <sheetFormatPr baseColWidth="10" defaultColWidth="11.5703125" defaultRowHeight="12.75" x14ac:dyDescent="0.2"/>
  <cols>
    <col min="1" max="1" width="3.85546875" style="289" bestFit="1" customWidth="1"/>
    <col min="2" max="2" width="41" style="289" bestFit="1" customWidth="1"/>
    <col min="3" max="3" width="6.28515625" style="356" customWidth="1"/>
    <col min="4" max="5" width="6.42578125" style="356" bestFit="1" customWidth="1"/>
    <col min="6" max="8" width="4.85546875" style="356" customWidth="1"/>
    <col min="9" max="9" width="5" style="356" customWidth="1"/>
    <col min="10" max="10" width="8.140625" style="356" bestFit="1" customWidth="1"/>
    <col min="11" max="12" width="5.28515625" style="356" bestFit="1" customWidth="1"/>
    <col min="13" max="13" width="6.140625" style="356" bestFit="1" customWidth="1"/>
    <col min="14" max="14" width="5.5703125" style="356" bestFit="1" customWidth="1"/>
    <col min="15" max="15" width="5.7109375" style="356" bestFit="1" customWidth="1"/>
    <col min="16" max="16" width="8.140625" style="356" bestFit="1" customWidth="1"/>
    <col min="17" max="17" width="8" style="356" bestFit="1" customWidth="1"/>
    <col min="18" max="18" width="8.28515625" style="356" bestFit="1" customWidth="1"/>
    <col min="19" max="19" width="7" style="356" customWidth="1"/>
    <col min="20" max="20" width="5.85546875" style="356" bestFit="1" customWidth="1"/>
    <col min="21" max="21" width="6.140625" style="356" bestFit="1" customWidth="1"/>
    <col min="22" max="22" width="8.42578125" style="356" bestFit="1" customWidth="1"/>
    <col min="23" max="23" width="10.7109375" style="356" bestFit="1" customWidth="1"/>
    <col min="24" max="24" width="9.85546875" style="356" bestFit="1" customWidth="1"/>
    <col min="25" max="25" width="10.140625" style="366" bestFit="1" customWidth="1"/>
    <col min="26" max="26" width="9.28515625" style="356" bestFit="1" customWidth="1"/>
    <col min="27" max="16384" width="11.5703125" style="289"/>
  </cols>
  <sheetData>
    <row r="1" spans="1:28" s="285" customFormat="1" ht="15.75" x14ac:dyDescent="0.25">
      <c r="A1" s="279"/>
      <c r="B1" s="280" t="s">
        <v>91</v>
      </c>
      <c r="C1" s="281"/>
      <c r="D1" s="281"/>
      <c r="E1" s="281"/>
      <c r="F1" s="282"/>
      <c r="G1" s="282"/>
      <c r="H1" s="282"/>
      <c r="I1" s="282"/>
      <c r="J1" s="282"/>
      <c r="K1" s="282"/>
      <c r="L1" s="282"/>
      <c r="M1" s="282"/>
      <c r="N1" s="282"/>
      <c r="O1" s="282"/>
      <c r="P1" s="282"/>
      <c r="Q1" s="282"/>
      <c r="R1" s="282"/>
      <c r="S1" s="282"/>
      <c r="T1" s="282"/>
      <c r="U1" s="282"/>
      <c r="V1" s="282"/>
      <c r="W1" s="282"/>
      <c r="X1" s="282"/>
      <c r="Y1" s="283"/>
      <c r="Z1" s="284"/>
    </row>
    <row r="2" spans="1:28" s="285" customFormat="1" ht="15.75" x14ac:dyDescent="0.25">
      <c r="A2" s="279"/>
      <c r="B2" s="280" t="str">
        <f>AP!B1</f>
        <v>Abschlussprüfung 2017/18</v>
      </c>
      <c r="C2" s="281"/>
      <c r="D2" s="281"/>
      <c r="E2" s="281"/>
      <c r="F2" s="282"/>
      <c r="G2" s="282"/>
      <c r="H2" s="282"/>
      <c r="I2" s="282"/>
      <c r="J2" s="282"/>
      <c r="K2" s="282"/>
      <c r="L2" s="282"/>
      <c r="M2" s="282"/>
      <c r="N2" s="282"/>
      <c r="O2" s="282"/>
      <c r="P2" s="282"/>
      <c r="Q2" s="282"/>
      <c r="R2" s="282"/>
      <c r="S2" s="282"/>
      <c r="T2" s="282"/>
      <c r="U2" s="282"/>
      <c r="V2" s="282"/>
      <c r="W2" s="282"/>
      <c r="X2" s="282"/>
      <c r="Y2" s="283"/>
      <c r="Z2" s="284"/>
    </row>
    <row r="3" spans="1:28" s="285" customFormat="1" ht="15.75" x14ac:dyDescent="0.25">
      <c r="A3" s="279"/>
      <c r="B3" s="280" t="s">
        <v>128</v>
      </c>
      <c r="C3" s="281"/>
      <c r="D3" s="281"/>
      <c r="E3" s="281"/>
      <c r="F3" s="282"/>
      <c r="G3" s="282"/>
      <c r="H3" s="282"/>
      <c r="I3" s="282"/>
      <c r="J3" s="282"/>
      <c r="K3" s="282"/>
      <c r="L3" s="282"/>
      <c r="M3" s="282"/>
      <c r="N3" s="282"/>
      <c r="O3" s="282"/>
      <c r="P3" s="282"/>
      <c r="Q3" s="282"/>
      <c r="R3" s="282"/>
      <c r="S3" s="282"/>
      <c r="T3" s="282"/>
      <c r="U3" s="282"/>
      <c r="V3" s="282"/>
      <c r="W3" s="282"/>
      <c r="X3" s="282"/>
      <c r="Y3" s="283"/>
      <c r="Z3" s="284"/>
    </row>
    <row r="4" spans="1:28" s="285" customFormat="1" ht="15.75" x14ac:dyDescent="0.25">
      <c r="A4" s="279"/>
      <c r="B4" s="368" t="str">
        <f xml:space="preserve"> AP!B3</f>
        <v xml:space="preserve">Klasse: </v>
      </c>
      <c r="E4" s="281"/>
      <c r="F4" s="282"/>
      <c r="G4" s="282"/>
      <c r="H4" s="282"/>
      <c r="I4" s="282"/>
      <c r="J4" s="282"/>
      <c r="K4" s="282"/>
      <c r="L4" s="282"/>
      <c r="M4" s="282"/>
      <c r="N4" s="282"/>
      <c r="O4" s="282"/>
      <c r="P4" s="282"/>
      <c r="Q4" s="282"/>
      <c r="R4" s="282"/>
      <c r="S4" s="282"/>
      <c r="T4" s="282"/>
      <c r="U4" s="282"/>
      <c r="V4" s="282"/>
      <c r="W4" s="282"/>
      <c r="X4" s="282"/>
      <c r="Y4" s="283"/>
      <c r="Z4" s="284"/>
    </row>
    <row r="5" spans="1:28" ht="16.5" thickBot="1" x14ac:dyDescent="0.3">
      <c r="A5" s="279"/>
      <c r="B5" s="367" t="str">
        <f>AP!E3</f>
        <v xml:space="preserve">Lehrer/-in: </v>
      </c>
      <c r="C5" s="286"/>
      <c r="D5" s="287"/>
      <c r="E5" s="287"/>
      <c r="F5" s="288"/>
      <c r="G5" s="288"/>
      <c r="H5" s="288"/>
      <c r="I5" s="288"/>
      <c r="J5" s="288"/>
      <c r="K5" s="282"/>
      <c r="L5" s="282"/>
      <c r="M5" s="282"/>
      <c r="N5" s="282"/>
      <c r="O5" s="282"/>
      <c r="P5" s="282"/>
      <c r="Q5" s="282"/>
      <c r="R5" s="282"/>
      <c r="S5" s="282"/>
      <c r="T5" s="282"/>
      <c r="U5" s="282"/>
      <c r="V5" s="282"/>
      <c r="W5" s="282"/>
      <c r="X5" s="282"/>
      <c r="Y5" s="283"/>
      <c r="Z5" s="284"/>
    </row>
    <row r="6" spans="1:28" x14ac:dyDescent="0.2">
      <c r="A6" s="279"/>
      <c r="B6" s="285"/>
      <c r="C6" s="547" t="s">
        <v>129</v>
      </c>
      <c r="D6" s="548"/>
      <c r="E6" s="548"/>
      <c r="F6" s="548"/>
      <c r="G6" s="548"/>
      <c r="H6" s="548"/>
      <c r="I6" s="548"/>
      <c r="J6" s="548"/>
      <c r="K6" s="548"/>
      <c r="L6" s="548"/>
      <c r="M6" s="548"/>
      <c r="N6" s="548"/>
      <c r="O6" s="548"/>
      <c r="P6" s="548"/>
      <c r="Q6" s="548"/>
      <c r="R6" s="549"/>
      <c r="S6" s="547" t="s">
        <v>130</v>
      </c>
      <c r="T6" s="548"/>
      <c r="U6" s="548"/>
      <c r="V6" s="548"/>
      <c r="W6" s="548"/>
      <c r="X6" s="549"/>
      <c r="Y6" s="550" t="s">
        <v>131</v>
      </c>
      <c r="Z6" s="551"/>
    </row>
    <row r="7" spans="1:28" x14ac:dyDescent="0.2">
      <c r="A7" s="285"/>
      <c r="B7" s="285"/>
      <c r="C7" s="552" t="s">
        <v>132</v>
      </c>
      <c r="D7" s="543"/>
      <c r="E7" s="543"/>
      <c r="F7" s="543"/>
      <c r="G7" s="543"/>
      <c r="H7" s="543"/>
      <c r="I7" s="543"/>
      <c r="J7" s="553"/>
      <c r="K7" s="542" t="s">
        <v>133</v>
      </c>
      <c r="L7" s="543"/>
      <c r="M7" s="543"/>
      <c r="N7" s="543"/>
      <c r="O7" s="543"/>
      <c r="P7" s="553"/>
      <c r="Q7" s="290"/>
      <c r="R7" s="291"/>
      <c r="S7" s="554" t="s">
        <v>134</v>
      </c>
      <c r="T7" s="545"/>
      <c r="U7" s="545"/>
      <c r="V7" s="546"/>
      <c r="W7" s="292"/>
      <c r="X7" s="291"/>
      <c r="Y7" s="293"/>
      <c r="Z7" s="294"/>
    </row>
    <row r="8" spans="1:28" x14ac:dyDescent="0.2">
      <c r="A8" s="285"/>
      <c r="B8" s="285"/>
      <c r="C8" s="295" t="s">
        <v>135</v>
      </c>
      <c r="D8" s="296" t="s">
        <v>135</v>
      </c>
      <c r="E8" s="297" t="s">
        <v>135</v>
      </c>
      <c r="F8" s="296" t="s">
        <v>135</v>
      </c>
      <c r="G8" s="297" t="s">
        <v>135</v>
      </c>
      <c r="H8" s="296" t="s">
        <v>135</v>
      </c>
      <c r="I8" s="298" t="s">
        <v>135</v>
      </c>
      <c r="J8" s="299"/>
      <c r="K8" s="542" t="s">
        <v>136</v>
      </c>
      <c r="L8" s="543"/>
      <c r="M8" s="544" t="s">
        <v>137</v>
      </c>
      <c r="N8" s="545"/>
      <c r="O8" s="546"/>
      <c r="P8" s="299"/>
      <c r="Q8" s="300"/>
      <c r="R8" s="291"/>
      <c r="S8" s="301"/>
      <c r="T8" s="302"/>
      <c r="U8" s="302"/>
      <c r="V8" s="303"/>
      <c r="W8" s="292"/>
      <c r="X8" s="291"/>
      <c r="Y8" s="293"/>
      <c r="Z8" s="294"/>
    </row>
    <row r="9" spans="1:28" x14ac:dyDescent="0.2">
      <c r="A9" s="282"/>
      <c r="B9" s="282"/>
      <c r="C9" s="304"/>
      <c r="D9" s="305"/>
      <c r="E9" s="305"/>
      <c r="F9" s="305"/>
      <c r="G9" s="305"/>
      <c r="H9" s="305"/>
      <c r="I9" s="306"/>
      <c r="J9" s="299" t="s">
        <v>104</v>
      </c>
      <c r="K9" s="307"/>
      <c r="L9" s="282"/>
      <c r="M9" s="307" t="s">
        <v>138</v>
      </c>
      <c r="N9" s="282" t="s">
        <v>139</v>
      </c>
      <c r="O9" s="308" t="s">
        <v>140</v>
      </c>
      <c r="P9" s="299" t="s">
        <v>104</v>
      </c>
      <c r="Q9" s="300" t="s">
        <v>141</v>
      </c>
      <c r="R9" s="309" t="s">
        <v>142</v>
      </c>
      <c r="S9" s="310" t="s">
        <v>143</v>
      </c>
      <c r="T9" s="282" t="s">
        <v>144</v>
      </c>
      <c r="U9" s="282" t="s">
        <v>145</v>
      </c>
      <c r="V9" s="311" t="s">
        <v>12</v>
      </c>
      <c r="W9" s="312" t="s">
        <v>146</v>
      </c>
      <c r="X9" s="313" t="s">
        <v>142</v>
      </c>
      <c r="Y9" s="293" t="s">
        <v>146</v>
      </c>
      <c r="Z9" s="314" t="s">
        <v>142</v>
      </c>
    </row>
    <row r="10" spans="1:28" ht="13.5" thickBot="1" x14ac:dyDescent="0.25">
      <c r="A10" s="315"/>
      <c r="B10" s="316" t="s">
        <v>147</v>
      </c>
      <c r="C10" s="317" t="s">
        <v>135</v>
      </c>
      <c r="D10" s="318" t="s">
        <v>135</v>
      </c>
      <c r="E10" s="318" t="s">
        <v>135</v>
      </c>
      <c r="F10" s="318" t="s">
        <v>135</v>
      </c>
      <c r="G10" s="318" t="s">
        <v>135</v>
      </c>
      <c r="H10" s="318" t="s">
        <v>135</v>
      </c>
      <c r="I10" s="319" t="s">
        <v>135</v>
      </c>
      <c r="J10" s="320">
        <f>SUM(C10:I10)</f>
        <v>0</v>
      </c>
      <c r="K10" s="321" t="s">
        <v>135</v>
      </c>
      <c r="L10" s="318" t="s">
        <v>135</v>
      </c>
      <c r="M10" s="321" t="s">
        <v>135</v>
      </c>
      <c r="N10" s="321" t="s">
        <v>135</v>
      </c>
      <c r="O10" s="321" t="s">
        <v>135</v>
      </c>
      <c r="P10" s="320">
        <f>SUM(K10:O10)</f>
        <v>0</v>
      </c>
      <c r="Q10" s="322">
        <f>ROUND(J10+P10,0)</f>
        <v>0</v>
      </c>
      <c r="R10" s="323" t="s">
        <v>148</v>
      </c>
      <c r="S10" s="324">
        <v>15</v>
      </c>
      <c r="T10" s="287">
        <v>15</v>
      </c>
      <c r="U10" s="287">
        <v>15</v>
      </c>
      <c r="V10" s="311">
        <f>SUM(S10:U10)</f>
        <v>45</v>
      </c>
      <c r="W10" s="312" t="s">
        <v>149</v>
      </c>
      <c r="X10" s="313" t="s">
        <v>149</v>
      </c>
      <c r="Y10" s="293" t="s">
        <v>150</v>
      </c>
      <c r="Z10" s="314" t="s">
        <v>150</v>
      </c>
    </row>
    <row r="11" spans="1:28" ht="12.75" customHeight="1" x14ac:dyDescent="0.2">
      <c r="A11" s="528">
        <v>1</v>
      </c>
      <c r="B11" s="528" t="str">
        <f>IF('1. Halbjahr'!B4&lt;&gt;"", '1. Halbjahr'!B4, "")</f>
        <v/>
      </c>
      <c r="C11" s="325"/>
      <c r="D11" s="325"/>
      <c r="E11" s="325"/>
      <c r="F11" s="325"/>
      <c r="G11" s="325"/>
      <c r="H11" s="325"/>
      <c r="I11" s="326"/>
      <c r="J11" s="327" t="str">
        <f>IF(OR(B11="",COUNT(C11:I11)=0),"",SUM(C11:I11))</f>
        <v/>
      </c>
      <c r="K11" s="328"/>
      <c r="L11" s="329"/>
      <c r="M11" s="328"/>
      <c r="N11" s="330"/>
      <c r="O11" s="329"/>
      <c r="P11" s="331" t="str">
        <f>IF(OR(B11="",COUNT(K11:O11)=0),"",SUM(K11:O11))</f>
        <v/>
      </c>
      <c r="Q11" s="332" t="str">
        <f>IF(OR(B11="",COUNT(C11:I11)+COUNT(K11:O11)=0),"",ROUND(SUM(P11,J11),0))</f>
        <v/>
      </c>
      <c r="R11" s="333" t="str">
        <f ca="1">IF(Q11="","",IF(AP!$E$42="BE",INDIRECT("AP!P"&amp;MATCH(100*Q11/AP!$E$44,AP!$Q$4:$Q$20,-1)+4),Q11))</f>
        <v/>
      </c>
      <c r="S11" s="530"/>
      <c r="T11" s="532"/>
      <c r="U11" s="534"/>
      <c r="V11" s="536" t="str">
        <f>IF(B11="","",SUM(S11:U11))</f>
        <v/>
      </c>
      <c r="W11" s="524" t="str">
        <f>IF(B11="","",IF(ISBLANK(S11),"",IF(AVERAGE(S11:U11)&lt;10,LEFT(AVERAGE(S11:U11),4),LEFT(AVERAGE(S11:U11),5))))</f>
        <v/>
      </c>
      <c r="X11" s="526" t="str">
        <f>IF(B11="","",IF(W11="","",IF(LEFT(W11,1)="0",0,ROUND(W11,0))))</f>
        <v/>
      </c>
      <c r="Y11" s="334" t="str">
        <f>IF(B11="","",ROUNDUP(AVERAGE(R11,R11,X11),2))</f>
        <v/>
      </c>
      <c r="Z11" s="335" t="str">
        <f>IF(B11="","",IF(TRUNC(Y11,0)=0,0,ROUND(Y11,0)))</f>
        <v/>
      </c>
      <c r="AB11" s="336"/>
    </row>
    <row r="12" spans="1:28" ht="13.5" customHeight="1" thickBot="1" x14ac:dyDescent="0.25">
      <c r="A12" s="529"/>
      <c r="B12" s="529"/>
      <c r="C12" s="337"/>
      <c r="D12" s="337"/>
      <c r="E12" s="337"/>
      <c r="F12" s="337"/>
      <c r="G12" s="337"/>
      <c r="H12" s="337"/>
      <c r="I12" s="337"/>
      <c r="J12" s="338" t="str">
        <f>IF(OR(B11="",COUNT(C12:I12)=0),"",SUM(C12:I12))</f>
        <v/>
      </c>
      <c r="K12" s="337"/>
      <c r="L12" s="337"/>
      <c r="M12" s="339"/>
      <c r="N12" s="337"/>
      <c r="O12" s="340"/>
      <c r="P12" s="341" t="str">
        <f>IF(OR(B11="",COUNT(K12:O12)=0),"",SUM(K12:O12))</f>
        <v/>
      </c>
      <c r="Q12" s="342" t="str">
        <f>IF(OR(B11="",COUNT(C12:I12)+COUNT(K12:O12)=0),"",ROUND(SUM(P12,J12),0))</f>
        <v/>
      </c>
      <c r="R12" s="442" t="str">
        <f ca="1">IF(Q12="","",IF(AP!$E$42="BE",INDIRECT("AP!P"&amp;MATCH(100*Q12/AP!$E$44,AP!$Q$4:$Q$20,-1)+4),Q12))</f>
        <v/>
      </c>
      <c r="S12" s="531"/>
      <c r="T12" s="533"/>
      <c r="U12" s="535"/>
      <c r="V12" s="537"/>
      <c r="W12" s="525"/>
      <c r="X12" s="527"/>
      <c r="Y12" s="343" t="str">
        <f>IF(B11="","",ROUNDUP(AVERAGE(R12,R12,X11),2))</f>
        <v/>
      </c>
      <c r="Z12" s="344" t="str">
        <f>IF(B11="","",IF(TRUNC(Y12,0)=0,0,ROUND(Y12,0)))</f>
        <v/>
      </c>
    </row>
    <row r="13" spans="1:28" ht="12.75" customHeight="1" x14ac:dyDescent="0.2">
      <c r="A13" s="528">
        <v>2</v>
      </c>
      <c r="B13" s="528" t="str">
        <f>IF('1. Halbjahr'!B5&lt;&gt;"", '1. Halbjahr'!B5, "")</f>
        <v/>
      </c>
      <c r="C13" s="345"/>
      <c r="D13" s="325"/>
      <c r="E13" s="325"/>
      <c r="F13" s="325"/>
      <c r="G13" s="325"/>
      <c r="H13" s="325"/>
      <c r="I13" s="325"/>
      <c r="J13" s="346" t="str">
        <f>IF(OR(B13="",COUNT(C13:I13)=0),"",SUM(C13:I13))</f>
        <v/>
      </c>
      <c r="K13" s="328"/>
      <c r="L13" s="329"/>
      <c r="M13" s="328"/>
      <c r="N13" s="330"/>
      <c r="O13" s="329"/>
      <c r="P13" s="331" t="str">
        <f>IF(OR(B13="",COUNT(K13:O13)=0),"",SUM(K13:O13))</f>
        <v/>
      </c>
      <c r="Q13" s="332" t="str">
        <f>IF(OR(B13="",COUNT(C13:I13)+COUNT(K13:O13)=0),"",ROUND(SUM(P13,J13),0))</f>
        <v/>
      </c>
      <c r="R13" s="335" t="str">
        <f ca="1">IF(Q13="","",IF(AP!$E$42="BE",INDIRECT("AP!P"&amp;MATCH(100*Q13/AP!$E$44,AP!$Q$4:$Q$20,-1)+4),Q13))</f>
        <v/>
      </c>
      <c r="S13" s="530"/>
      <c r="T13" s="532"/>
      <c r="U13" s="534"/>
      <c r="V13" s="536" t="str">
        <f>IF(B13="","",SUM(S13:U13))</f>
        <v/>
      </c>
      <c r="W13" s="524" t="str">
        <f>IF(B13="","",IF(ISBLANK(S13),"",IF(AVERAGE(S13:U13)&lt;10,LEFT(AVERAGE(S13:U13),4),LEFT(AVERAGE(S13:U13),5))))</f>
        <v/>
      </c>
      <c r="X13" s="526" t="str">
        <f>IF(B13="","",IF(W13="","",IF(LEFT(W13,1)="0",0,ROUND(W13,0))))</f>
        <v/>
      </c>
      <c r="Y13" s="334" t="str">
        <f>IF(B13="","",ROUNDUP(AVERAGE(R13,R13,X13),2))</f>
        <v/>
      </c>
      <c r="Z13" s="335" t="str">
        <f>IF(B13="","",IF(TRUNC(Y13,0)=0,0,ROUND(Y13,0)))</f>
        <v/>
      </c>
      <c r="AA13" s="347"/>
    </row>
    <row r="14" spans="1:28" ht="13.5" customHeight="1" thickBot="1" x14ac:dyDescent="0.25">
      <c r="A14" s="529"/>
      <c r="B14" s="529"/>
      <c r="C14" s="348"/>
      <c r="D14" s="337"/>
      <c r="E14" s="337"/>
      <c r="F14" s="337"/>
      <c r="G14" s="337"/>
      <c r="H14" s="337"/>
      <c r="I14" s="337"/>
      <c r="J14" s="349" t="str">
        <f>IF(OR(B13="",COUNT(C14:I14)=0),"",SUM(C14:I14))</f>
        <v/>
      </c>
      <c r="K14" s="337"/>
      <c r="L14" s="337"/>
      <c r="M14" s="350"/>
      <c r="N14" s="337"/>
      <c r="O14" s="351"/>
      <c r="P14" s="349" t="str">
        <f>IF(OR(B13="",COUNT(K14:O14)=0),"",SUM(K14:O14))</f>
        <v/>
      </c>
      <c r="Q14" s="342" t="str">
        <f>IF(OR(B13="",COUNT(C14:I14)+COUNT(K14:O14)=0),"",ROUND(SUM(P14,J14),0))</f>
        <v/>
      </c>
      <c r="R14" s="442" t="str">
        <f ca="1">IF(Q14="","",IF(AP!$E$42="BE",INDIRECT("AP!P"&amp;MATCH(100*Q14/AP!$E$44,AP!$Q$4:$Q$20,-1)+4),Q14))</f>
        <v/>
      </c>
      <c r="S14" s="531"/>
      <c r="T14" s="533"/>
      <c r="U14" s="535"/>
      <c r="V14" s="537"/>
      <c r="W14" s="525"/>
      <c r="X14" s="527"/>
      <c r="Y14" s="343" t="str">
        <f>IF(B13="","",ROUNDUP(AVERAGE(R14,R14,X13),2))</f>
        <v/>
      </c>
      <c r="Z14" s="344" t="str">
        <f>IF(B13="","",IF(TRUNC(Y14,0)=0,0,ROUND(Y14,0)))</f>
        <v/>
      </c>
    </row>
    <row r="15" spans="1:28" ht="12.75" customHeight="1" x14ac:dyDescent="0.2">
      <c r="A15" s="528">
        <v>3</v>
      </c>
      <c r="B15" s="528" t="str">
        <f>IF('1. Halbjahr'!B6&lt;&gt;"", '1. Halbjahr'!B6, "")</f>
        <v/>
      </c>
      <c r="C15" s="345"/>
      <c r="D15" s="325"/>
      <c r="E15" s="325"/>
      <c r="F15" s="325"/>
      <c r="G15" s="325"/>
      <c r="H15" s="325"/>
      <c r="I15" s="325"/>
      <c r="J15" s="327" t="str">
        <f>IF(OR(B15="",COUNT(C15:I15)=0),"",SUM(C15:I15))</f>
        <v/>
      </c>
      <c r="K15" s="328"/>
      <c r="L15" s="329"/>
      <c r="M15" s="328"/>
      <c r="N15" s="330"/>
      <c r="O15" s="329"/>
      <c r="P15" s="331" t="str">
        <f>IF(OR(B15="",COUNT(K15:O15)=0),"",SUM(K15:O15))</f>
        <v/>
      </c>
      <c r="Q15" s="332" t="str">
        <f>IF(OR(B15="",COUNT(C15:I15)+COUNT(K15:O15)=0),"",ROUND(SUM(P15,J15),0))</f>
        <v/>
      </c>
      <c r="R15" s="335" t="str">
        <f ca="1">IF(Q15="","",IF(AP!$E$42="BE",INDIRECT("AP!P"&amp;MATCH(100*Q15/AP!$E$44,AP!$Q$4:$Q$20,-1)+4),Q15))</f>
        <v/>
      </c>
      <c r="S15" s="530"/>
      <c r="T15" s="532"/>
      <c r="U15" s="534"/>
      <c r="V15" s="536" t="str">
        <f>IF(B15="","",SUM(S15:U15))</f>
        <v/>
      </c>
      <c r="W15" s="524" t="str">
        <f>IF(B15="","",IF(ISBLANK(S15),"",IF(AVERAGE(S15:U15)&lt;10,LEFT(AVERAGE(S15:U15),4),LEFT(AVERAGE(S15:U15),5))))</f>
        <v/>
      </c>
      <c r="X15" s="526" t="str">
        <f>IF(B15="","",IF(W15="","",IF(LEFT(W15,1)="0",0,ROUND(W15,0))))</f>
        <v/>
      </c>
      <c r="Y15" s="334" t="str">
        <f>IF(B15="","",ROUNDUP(AVERAGE(R15,R15,X15),2))</f>
        <v/>
      </c>
      <c r="Z15" s="335" t="str">
        <f>IF(B15="","",IF(TRUNC(Y15,0)=0,0,ROUND(Y15,0)))</f>
        <v/>
      </c>
    </row>
    <row r="16" spans="1:28" ht="13.5" customHeight="1" thickBot="1" x14ac:dyDescent="0.25">
      <c r="A16" s="529"/>
      <c r="B16" s="529"/>
      <c r="C16" s="348"/>
      <c r="D16" s="337"/>
      <c r="E16" s="337"/>
      <c r="F16" s="337"/>
      <c r="G16" s="337"/>
      <c r="H16" s="337"/>
      <c r="I16" s="337"/>
      <c r="J16" s="352" t="str">
        <f>IF(OR(B15="",COUNT(C16:I16)=0),"",SUM(C16:I16))</f>
        <v/>
      </c>
      <c r="K16" s="337"/>
      <c r="L16" s="337"/>
      <c r="M16" s="350"/>
      <c r="N16" s="337"/>
      <c r="O16" s="351"/>
      <c r="P16" s="349" t="str">
        <f>IF(OR(B15="",COUNT(K16:O16)=0),"",SUM(K16:O16))</f>
        <v/>
      </c>
      <c r="Q16" s="342" t="str">
        <f>IF(OR(B15="",COUNT(C16:I16)+COUNT(K16:O16)=0),"",ROUND(SUM(P16,J16),0))</f>
        <v/>
      </c>
      <c r="R16" s="442" t="str">
        <f ca="1">IF(Q16="","",IF(AP!$E$42="BE",INDIRECT("AP!P"&amp;MATCH(100*Q16/AP!$E$44,AP!$Q$4:$Q$20,-1)+4),Q16))</f>
        <v/>
      </c>
      <c r="S16" s="531"/>
      <c r="T16" s="533"/>
      <c r="U16" s="535"/>
      <c r="V16" s="537"/>
      <c r="W16" s="525"/>
      <c r="X16" s="527"/>
      <c r="Y16" s="343" t="str">
        <f>IF(B15="","",ROUNDUP(AVERAGE(R16,R16,X15),2))</f>
        <v/>
      </c>
      <c r="Z16" s="344" t="str">
        <f>IF(B15="","",IF(TRUNC(Y16,0)=0,0,ROUND(Y16,0)))</f>
        <v/>
      </c>
    </row>
    <row r="17" spans="1:26" ht="12.75" customHeight="1" x14ac:dyDescent="0.2">
      <c r="A17" s="528">
        <v>4</v>
      </c>
      <c r="B17" s="528" t="str">
        <f>IF('1. Halbjahr'!B7&lt;&gt;"", '1. Halbjahr'!B7, "")</f>
        <v/>
      </c>
      <c r="C17" s="345"/>
      <c r="D17" s="325"/>
      <c r="E17" s="325"/>
      <c r="F17" s="325"/>
      <c r="G17" s="325"/>
      <c r="H17" s="325"/>
      <c r="I17" s="325"/>
      <c r="J17" s="327" t="str">
        <f>IF(OR(B17="",COUNT(C17:I17)=0),"",SUM(C17:I17))</f>
        <v/>
      </c>
      <c r="K17" s="328"/>
      <c r="L17" s="329"/>
      <c r="M17" s="328"/>
      <c r="N17" s="330"/>
      <c r="O17" s="329"/>
      <c r="P17" s="331" t="str">
        <f>IF(OR(B17="",COUNT(K17:O17)=0),"",SUM(K17:O17))</f>
        <v/>
      </c>
      <c r="Q17" s="332" t="str">
        <f>IF(OR(B17="",COUNT(C17:I17)+COUNT(K17:O17)=0),"",ROUND(SUM(P17,J17),0))</f>
        <v/>
      </c>
      <c r="R17" s="335" t="str">
        <f ca="1">IF(Q17="","",IF(AP!$E$42="BE",INDIRECT("AP!P"&amp;MATCH(100*Q17/AP!$E$44,AP!$Q$4:$Q$20,-1)+4),Q17))</f>
        <v/>
      </c>
      <c r="S17" s="530"/>
      <c r="T17" s="532"/>
      <c r="U17" s="534"/>
      <c r="V17" s="536" t="str">
        <f>IF(B17="","",SUM(S17:U17))</f>
        <v/>
      </c>
      <c r="W17" s="524" t="str">
        <f>IF(B17="","",IF(ISBLANK(S17),"",IF(AVERAGE(S17:U17)&lt;10,LEFT(AVERAGE(S17:U17),4),LEFT(AVERAGE(S17:U17),5))))</f>
        <v/>
      </c>
      <c r="X17" s="526" t="str">
        <f>IF(B17="","",IF(W17="","",IF(LEFT(W17,1)="0",0,ROUND(W17,0))))</f>
        <v/>
      </c>
      <c r="Y17" s="334" t="str">
        <f>IF(B17="","",ROUNDUP(AVERAGE(R17,R17,X17),2))</f>
        <v/>
      </c>
      <c r="Z17" s="335" t="str">
        <f>IF(B17="","",IF(TRUNC(Y17,0)=0,0,ROUND(Y17,0)))</f>
        <v/>
      </c>
    </row>
    <row r="18" spans="1:26" ht="13.5" customHeight="1" thickBot="1" x14ac:dyDescent="0.25">
      <c r="A18" s="529"/>
      <c r="B18" s="529"/>
      <c r="C18" s="348"/>
      <c r="D18" s="337"/>
      <c r="E18" s="337"/>
      <c r="F18" s="337"/>
      <c r="G18" s="337"/>
      <c r="H18" s="337"/>
      <c r="I18" s="337"/>
      <c r="J18" s="352" t="str">
        <f>IF(OR(B17="",COUNT(C18:I18)=0),"",SUM(C18:I18))</f>
        <v/>
      </c>
      <c r="K18" s="337"/>
      <c r="L18" s="337"/>
      <c r="M18" s="350"/>
      <c r="N18" s="337"/>
      <c r="O18" s="351"/>
      <c r="P18" s="349" t="str">
        <f>IF(OR(B17="",COUNT(K18:O18)=0),"",SUM(K18:O18))</f>
        <v/>
      </c>
      <c r="Q18" s="342" t="str">
        <f>IF(OR(B17="",COUNT(C18:I18)+COUNT(K18:O18)=0),"",ROUND(SUM(P18,J18),0))</f>
        <v/>
      </c>
      <c r="R18" s="442" t="str">
        <f ca="1">IF(Q18="","",IF(AP!$E$42="BE",INDIRECT("AP!P"&amp;MATCH(100*Q18/AP!$E$44,AP!$Q$4:$Q$20,-1)+4),Q18))</f>
        <v/>
      </c>
      <c r="S18" s="531"/>
      <c r="T18" s="533"/>
      <c r="U18" s="535"/>
      <c r="V18" s="537"/>
      <c r="W18" s="525"/>
      <c r="X18" s="527"/>
      <c r="Y18" s="343" t="str">
        <f>IF(B17="","",ROUNDUP(AVERAGE(R18,R18,X17),2))</f>
        <v/>
      </c>
      <c r="Z18" s="344" t="str">
        <f>IF(B17="","",IF(TRUNC(Y18,0)=0,0,ROUND(Y18,0)))</f>
        <v/>
      </c>
    </row>
    <row r="19" spans="1:26" ht="12.75" customHeight="1" x14ac:dyDescent="0.2">
      <c r="A19" s="528">
        <v>5</v>
      </c>
      <c r="B19" s="528" t="str">
        <f>IF('1. Halbjahr'!B8&lt;&gt;"", '1. Halbjahr'!B8, "")</f>
        <v/>
      </c>
      <c r="C19" s="345"/>
      <c r="D19" s="325"/>
      <c r="E19" s="325"/>
      <c r="F19" s="325"/>
      <c r="G19" s="325"/>
      <c r="H19" s="325"/>
      <c r="I19" s="325"/>
      <c r="J19" s="346" t="str">
        <f>IF(OR(B19="",COUNT(C19:I19)=0),"",SUM(C19:I19))</f>
        <v/>
      </c>
      <c r="K19" s="328"/>
      <c r="L19" s="329"/>
      <c r="M19" s="328"/>
      <c r="N19" s="330"/>
      <c r="O19" s="329"/>
      <c r="P19" s="331" t="str">
        <f>IF(OR(B19="",COUNT(K19:O19)=0),"",SUM(K19:O19))</f>
        <v/>
      </c>
      <c r="Q19" s="332" t="str">
        <f>IF(OR(B19="",COUNT(C19:I19)+COUNT(K19:O19)=0),"",ROUND(SUM(P19,J19),0))</f>
        <v/>
      </c>
      <c r="R19" s="335" t="str">
        <f ca="1">IF(Q19="","",IF(AP!$E$42="BE",INDIRECT("AP!P"&amp;MATCH(100*Q19/AP!$E$44,AP!$Q$4:$Q$20,-1)+4),Q19))</f>
        <v/>
      </c>
      <c r="S19" s="530"/>
      <c r="T19" s="532"/>
      <c r="U19" s="534"/>
      <c r="V19" s="536" t="str">
        <f>IF(B19="","",SUM(S19:U19))</f>
        <v/>
      </c>
      <c r="W19" s="524" t="str">
        <f>IF(B19="","",IF(ISBLANK(S19),"",IF(AVERAGE(S19:U19)&lt;10,LEFT(AVERAGE(S19:U19),4),LEFT(AVERAGE(S19:U19),5))))</f>
        <v/>
      </c>
      <c r="X19" s="526" t="str">
        <f>IF(B19="","",IF(W19="","",IF(LEFT(W19,1)="0",0,ROUND(W19,0))))</f>
        <v/>
      </c>
      <c r="Y19" s="334" t="str">
        <f>IF(B19="","",ROUNDUP(AVERAGE(R19,R19,X19),2))</f>
        <v/>
      </c>
      <c r="Z19" s="335" t="str">
        <f>IF(B19="","",IF(TRUNC(Y19,0)=0,0,ROUND(Y19,0)))</f>
        <v/>
      </c>
    </row>
    <row r="20" spans="1:26" ht="13.5" customHeight="1" thickBot="1" x14ac:dyDescent="0.25">
      <c r="A20" s="529"/>
      <c r="B20" s="529"/>
      <c r="C20" s="348"/>
      <c r="D20" s="337"/>
      <c r="E20" s="337"/>
      <c r="F20" s="337"/>
      <c r="G20" s="337"/>
      <c r="H20" s="337"/>
      <c r="I20" s="337"/>
      <c r="J20" s="349" t="str">
        <f>IF(OR(B19="",COUNT(C20:I20)=0),"",SUM(C20:I20))</f>
        <v/>
      </c>
      <c r="K20" s="337"/>
      <c r="L20" s="337"/>
      <c r="M20" s="350"/>
      <c r="N20" s="337"/>
      <c r="O20" s="351"/>
      <c r="P20" s="349" t="str">
        <f>IF(OR(B19="",COUNT(K20:O20)=0),"",SUM(K20:O20))</f>
        <v/>
      </c>
      <c r="Q20" s="342" t="str">
        <f>IF(OR(B19="",COUNT(C20:I20)+COUNT(K20:O20)=0),"",ROUND(SUM(P20,J20),0))</f>
        <v/>
      </c>
      <c r="R20" s="442" t="str">
        <f ca="1">IF(Q20="","",IF(AP!$E$42="BE",INDIRECT("AP!P"&amp;MATCH(100*Q20/AP!$E$44,AP!$Q$4:$Q$20,-1)+4),Q20))</f>
        <v/>
      </c>
      <c r="S20" s="531"/>
      <c r="T20" s="533"/>
      <c r="U20" s="535"/>
      <c r="V20" s="537"/>
      <c r="W20" s="525"/>
      <c r="X20" s="527"/>
      <c r="Y20" s="343" t="str">
        <f>IF(B19="","",ROUNDUP(AVERAGE(R20,R20,X19),2))</f>
        <v/>
      </c>
      <c r="Z20" s="344" t="str">
        <f>IF(B19="","",IF(TRUNC(Y20,0)=0,0,ROUND(Y20,0)))</f>
        <v/>
      </c>
    </row>
    <row r="21" spans="1:26" ht="12.75" customHeight="1" x14ac:dyDescent="0.2">
      <c r="A21" s="528">
        <v>6</v>
      </c>
      <c r="B21" s="528" t="str">
        <f>IF('1. Halbjahr'!B9&lt;&gt;"", '1. Halbjahr'!B9, "")</f>
        <v/>
      </c>
      <c r="C21" s="345"/>
      <c r="D21" s="325"/>
      <c r="E21" s="325"/>
      <c r="F21" s="325"/>
      <c r="G21" s="325"/>
      <c r="H21" s="325"/>
      <c r="I21" s="325"/>
      <c r="J21" s="346" t="str">
        <f>IF(OR(B21="",COUNT(C21:I21)=0),"",SUM(C21:I21))</f>
        <v/>
      </c>
      <c r="K21" s="328"/>
      <c r="L21" s="329"/>
      <c r="M21" s="328"/>
      <c r="N21" s="330"/>
      <c r="O21" s="329"/>
      <c r="P21" s="331" t="str">
        <f>IF(OR(B21="",COUNT(K21:O21)=0),"",SUM(K21:O21))</f>
        <v/>
      </c>
      <c r="Q21" s="332" t="str">
        <f>IF(OR(B21="",COUNT(C21:I21)+COUNT(K21:O21)=0),"",ROUND(SUM(P21,J21),0))</f>
        <v/>
      </c>
      <c r="R21" s="335" t="str">
        <f ca="1">IF(Q21="","",IF(AP!$E$42="BE",INDIRECT("AP!P"&amp;MATCH(100*Q21/AP!$E$44,AP!$Q$4:$Q$20,-1)+4),Q21))</f>
        <v/>
      </c>
      <c r="S21" s="530"/>
      <c r="T21" s="532"/>
      <c r="U21" s="534"/>
      <c r="V21" s="536" t="str">
        <f>IF(B21="","",SUM(S21:U21))</f>
        <v/>
      </c>
      <c r="W21" s="524" t="str">
        <f>IF(B21="","",IF(ISBLANK(S21),"",IF(AVERAGE(S21:U21)&lt;10,LEFT(AVERAGE(S21:U21),4),LEFT(AVERAGE(S21:U21),5))))</f>
        <v/>
      </c>
      <c r="X21" s="526" t="str">
        <f>IF(B21="","",IF(W21="","",IF(LEFT(W21,1)="0",0,ROUND(W21,0))))</f>
        <v/>
      </c>
      <c r="Y21" s="334" t="str">
        <f>IF(B21="","",ROUNDUP(AVERAGE(R21,R21,X21),2))</f>
        <v/>
      </c>
      <c r="Z21" s="335" t="str">
        <f>IF(B21="","",IF(TRUNC(Y21,0)=0,0,ROUND(Y21,0)))</f>
        <v/>
      </c>
    </row>
    <row r="22" spans="1:26" ht="13.5" customHeight="1" thickBot="1" x14ac:dyDescent="0.25">
      <c r="A22" s="529"/>
      <c r="B22" s="529"/>
      <c r="C22" s="348"/>
      <c r="D22" s="337"/>
      <c r="E22" s="337"/>
      <c r="F22" s="337"/>
      <c r="G22" s="337"/>
      <c r="H22" s="337"/>
      <c r="I22" s="337"/>
      <c r="J22" s="349" t="str">
        <f>IF(OR(B21="",COUNT(C22:I22)=0),"",SUM(C22:I22))</f>
        <v/>
      </c>
      <c r="K22" s="337"/>
      <c r="L22" s="337"/>
      <c r="M22" s="350"/>
      <c r="N22" s="337"/>
      <c r="O22" s="351"/>
      <c r="P22" s="349" t="str">
        <f>IF(OR(B21="",COUNT(K22:O22)=0),"",SUM(K22:O22))</f>
        <v/>
      </c>
      <c r="Q22" s="342" t="str">
        <f>IF(OR(B21="",COUNT(C22:I22)+COUNT(K22:O22)=0),"",ROUND(SUM(P22,J22),0))</f>
        <v/>
      </c>
      <c r="R22" s="355" t="str">
        <f ca="1">IF(Q22="","",IF(AP!$E$42="BE",INDIRECT("AP!P"&amp;MATCH(100*Q22/AP!$E$44,AP!$Q$4:$Q$20,-1)+4),Q22))</f>
        <v/>
      </c>
      <c r="S22" s="531"/>
      <c r="T22" s="533"/>
      <c r="U22" s="535"/>
      <c r="V22" s="537"/>
      <c r="W22" s="525"/>
      <c r="X22" s="527"/>
      <c r="Y22" s="343" t="str">
        <f>IF(B21="","",ROUNDUP(AVERAGE(R22,R22,X21),2))</f>
        <v/>
      </c>
      <c r="Z22" s="344" t="str">
        <f>IF(B21="","",IF(TRUNC(Y22,0)=0,0,ROUND(Y22,0)))</f>
        <v/>
      </c>
    </row>
    <row r="23" spans="1:26" ht="12.75" customHeight="1" x14ac:dyDescent="0.2">
      <c r="A23" s="528">
        <v>7</v>
      </c>
      <c r="B23" s="528" t="str">
        <f>IF('1. Halbjahr'!B10&lt;&gt;"", '1. Halbjahr'!B10, "")</f>
        <v/>
      </c>
      <c r="C23" s="345"/>
      <c r="D23" s="325"/>
      <c r="E23" s="325"/>
      <c r="F23" s="325"/>
      <c r="G23" s="325"/>
      <c r="H23" s="325"/>
      <c r="I23" s="325"/>
      <c r="J23" s="346" t="str">
        <f>IF(OR(B23="",COUNT(C23:I23)=0),"",SUM(C23:I23))</f>
        <v/>
      </c>
      <c r="K23" s="328"/>
      <c r="L23" s="329"/>
      <c r="M23" s="328"/>
      <c r="N23" s="330"/>
      <c r="O23" s="329"/>
      <c r="P23" s="331" t="str">
        <f>IF(OR(B23="",COUNT(K23:O23)=0),"",SUM(K23:O23))</f>
        <v/>
      </c>
      <c r="Q23" s="332" t="str">
        <f>IF(OR(B23="",COUNT(C23:I23)+COUNT(K23:O23)=0),"",ROUND(SUM(P23,J23),0))</f>
        <v/>
      </c>
      <c r="R23" s="333" t="str">
        <f ca="1">IF(Q23="","",IF(AP!$E$42="BE",INDIRECT("AP!P"&amp;MATCH(100*Q23/AP!$E$44,AP!$Q$4:$Q$20,-1)+4),Q23))</f>
        <v/>
      </c>
      <c r="S23" s="530"/>
      <c r="T23" s="532"/>
      <c r="U23" s="534"/>
      <c r="V23" s="536" t="str">
        <f>IF(B23="","",SUM(S23:U23))</f>
        <v/>
      </c>
      <c r="W23" s="524" t="str">
        <f>IF(B23="","",IF(ISBLANK(S23),"",IF(AVERAGE(S23:U23)&lt;10,LEFT(AVERAGE(S23:U23),4),LEFT(AVERAGE(S23:U23),5))))</f>
        <v/>
      </c>
      <c r="X23" s="526" t="str">
        <f>IF(B23="","",IF(W23="","",IF(LEFT(W23,1)="0",0,ROUND(W23,0))))</f>
        <v/>
      </c>
      <c r="Y23" s="334" t="str">
        <f>IF(B23="","",ROUNDUP(AVERAGE(R23,R23,X23),2))</f>
        <v/>
      </c>
      <c r="Z23" s="335" t="str">
        <f>IF(B23="","",IF(TRUNC(Y23,0)=0,0,ROUND(Y23,0)))</f>
        <v/>
      </c>
    </row>
    <row r="24" spans="1:26" ht="13.5" customHeight="1" thickBot="1" x14ac:dyDescent="0.25">
      <c r="A24" s="529"/>
      <c r="B24" s="529"/>
      <c r="C24" s="348"/>
      <c r="D24" s="337"/>
      <c r="E24" s="337"/>
      <c r="F24" s="337"/>
      <c r="G24" s="337"/>
      <c r="H24" s="337"/>
      <c r="I24" s="337"/>
      <c r="J24" s="349" t="str">
        <f>IF(OR(B23="",COUNT(C24:I24)=0),"",SUM(C24:I24))</f>
        <v/>
      </c>
      <c r="K24" s="337"/>
      <c r="L24" s="337"/>
      <c r="M24" s="350"/>
      <c r="N24" s="337"/>
      <c r="O24" s="351"/>
      <c r="P24" s="349" t="str">
        <f>IF(OR(B23="",COUNT(K24:O24)=0),"",SUM(K24:O24))</f>
        <v/>
      </c>
      <c r="Q24" s="342" t="str">
        <f>IF(OR(B23="",COUNT(C24:I24)+COUNT(K24:O24)=0),"",ROUND(SUM(P24,J24),0))</f>
        <v/>
      </c>
      <c r="R24" s="442" t="str">
        <f ca="1">IF(Q24="","",IF(AP!$E$42="BE",INDIRECT("AP!P"&amp;MATCH(100*Q24/AP!$E$44,AP!$Q$4:$Q$20,-1)+4),Q24))</f>
        <v/>
      </c>
      <c r="S24" s="531"/>
      <c r="T24" s="533"/>
      <c r="U24" s="535"/>
      <c r="V24" s="537"/>
      <c r="W24" s="525"/>
      <c r="X24" s="527"/>
      <c r="Y24" s="343" t="str">
        <f>IF(B23="","",ROUNDUP(AVERAGE(R24,R24,X23),2))</f>
        <v/>
      </c>
      <c r="Z24" s="344" t="str">
        <f>IF(B23="","",IF(TRUNC(Y24,0)=0,0,ROUND(Y24,0)))</f>
        <v/>
      </c>
    </row>
    <row r="25" spans="1:26" ht="12.75" customHeight="1" x14ac:dyDescent="0.2">
      <c r="A25" s="528">
        <v>8</v>
      </c>
      <c r="B25" s="528" t="str">
        <f>IF('1. Halbjahr'!B11&lt;&gt;"", '1. Halbjahr'!B11, "")</f>
        <v/>
      </c>
      <c r="C25" s="345"/>
      <c r="D25" s="325"/>
      <c r="E25" s="325"/>
      <c r="F25" s="325"/>
      <c r="G25" s="325"/>
      <c r="H25" s="325"/>
      <c r="I25" s="325"/>
      <c r="J25" s="346" t="str">
        <f>IF(OR(B25="",COUNT(C25:I25)=0),"",SUM(C25:I25))</f>
        <v/>
      </c>
      <c r="K25" s="328"/>
      <c r="L25" s="329"/>
      <c r="M25" s="328"/>
      <c r="N25" s="330"/>
      <c r="O25" s="329"/>
      <c r="P25" s="331" t="str">
        <f>IF(OR(B25="",COUNT(K25:O25)=0),"",SUM(K25:O25))</f>
        <v/>
      </c>
      <c r="Q25" s="332" t="str">
        <f>IF(OR(B25="",COUNT(C25:I25)+COUNT(K25:O25)=0),"",ROUND(SUM(P25,J25),0))</f>
        <v/>
      </c>
      <c r="R25" s="335" t="str">
        <f ca="1">IF(Q25="","",IF(AP!$E$42="BE",INDIRECT("AP!P"&amp;MATCH(100*Q25/AP!$E$44,AP!$Q$4:$Q$20,-1)+4),Q25))</f>
        <v/>
      </c>
      <c r="S25" s="530"/>
      <c r="T25" s="532"/>
      <c r="U25" s="534"/>
      <c r="V25" s="536" t="str">
        <f>IF(B25="","",SUM(S25:U25))</f>
        <v/>
      </c>
      <c r="W25" s="524" t="str">
        <f>IF(B25="","",IF(ISBLANK(S25),"",IF(AVERAGE(S25:U25)&lt;10,LEFT(AVERAGE(S25:U25),4),LEFT(AVERAGE(S25:U25),5))))</f>
        <v/>
      </c>
      <c r="X25" s="526" t="str">
        <f>IF(B25="","",IF(W25="","",IF(LEFT(W25,1)="0",0,ROUND(W25,0))))</f>
        <v/>
      </c>
      <c r="Y25" s="334" t="str">
        <f>IF(B25="","",ROUNDUP(AVERAGE(R25,R25,X25),2))</f>
        <v/>
      </c>
      <c r="Z25" s="335" t="str">
        <f>IF(B25="","",IF(TRUNC(Y25,0)=0,0,ROUND(Y25,0)))</f>
        <v/>
      </c>
    </row>
    <row r="26" spans="1:26" ht="13.5" customHeight="1" thickBot="1" x14ac:dyDescent="0.25">
      <c r="A26" s="529"/>
      <c r="B26" s="529"/>
      <c r="C26" s="348"/>
      <c r="D26" s="337"/>
      <c r="E26" s="337"/>
      <c r="F26" s="337"/>
      <c r="G26" s="337"/>
      <c r="H26" s="337"/>
      <c r="I26" s="337"/>
      <c r="J26" s="349" t="str">
        <f>IF(OR(B25="",COUNT(C26:I26)=0),"",SUM(C26:I26))</f>
        <v/>
      </c>
      <c r="K26" s="337"/>
      <c r="L26" s="337"/>
      <c r="M26" s="350"/>
      <c r="N26" s="337"/>
      <c r="O26" s="351"/>
      <c r="P26" s="349" t="str">
        <f>IF(OR(B25="",COUNT(K26:O26)=0),"",SUM(K26:O26))</f>
        <v/>
      </c>
      <c r="Q26" s="342" t="str">
        <f>IF(OR(B25="",COUNT(C26:I26)+COUNT(K26:O26)=0),"",ROUND(SUM(P26,J26),0))</f>
        <v/>
      </c>
      <c r="R26" s="355" t="str">
        <f ca="1">IF(Q26="","",IF(AP!$E$42="BE",INDIRECT("AP!P"&amp;MATCH(100*Q26/AP!$E$44,AP!$Q$4:$Q$20,-1)+4),Q26))</f>
        <v/>
      </c>
      <c r="S26" s="531"/>
      <c r="T26" s="533"/>
      <c r="U26" s="535"/>
      <c r="V26" s="537"/>
      <c r="W26" s="525"/>
      <c r="X26" s="527"/>
      <c r="Y26" s="343" t="str">
        <f>IF(B25="","",ROUNDUP(AVERAGE(R26,R26,X25),2))</f>
        <v/>
      </c>
      <c r="Z26" s="344" t="str">
        <f>IF(B25="","",IF(TRUNC(Y26,0)=0,0,ROUND(Y26,0)))</f>
        <v/>
      </c>
    </row>
    <row r="27" spans="1:26" ht="12.75" customHeight="1" x14ac:dyDescent="0.2">
      <c r="A27" s="528">
        <v>9</v>
      </c>
      <c r="B27" s="528" t="str">
        <f>IF('1. Halbjahr'!B12&lt;&gt;"", '1. Halbjahr'!B12, "")</f>
        <v/>
      </c>
      <c r="C27" s="345"/>
      <c r="D27" s="325"/>
      <c r="E27" s="325"/>
      <c r="F27" s="325"/>
      <c r="G27" s="325"/>
      <c r="H27" s="325"/>
      <c r="I27" s="325"/>
      <c r="J27" s="346" t="str">
        <f>IF(OR(B27="",COUNT(C27:I27)=0),"",SUM(C27:I27))</f>
        <v/>
      </c>
      <c r="K27" s="328"/>
      <c r="L27" s="329"/>
      <c r="M27" s="328"/>
      <c r="N27" s="330"/>
      <c r="O27" s="329"/>
      <c r="P27" s="331" t="str">
        <f>IF(OR(B27="",COUNT(K27:O27)=0),"",SUM(K27:O27))</f>
        <v/>
      </c>
      <c r="Q27" s="332" t="str">
        <f>IF(OR(B27="",COUNT(C27:I27)+COUNT(K27:O27)=0),"",ROUND(SUM(P27,J27),0))</f>
        <v/>
      </c>
      <c r="R27" s="333" t="str">
        <f ca="1">IF(Q27="","",IF(AP!$E$42="BE",INDIRECT("AP!P"&amp;MATCH(100*Q27/AP!$E$44,AP!$Q$4:$Q$20,-1)+4),Q27))</f>
        <v/>
      </c>
      <c r="S27" s="530"/>
      <c r="T27" s="532"/>
      <c r="U27" s="534"/>
      <c r="V27" s="536" t="str">
        <f>IF(B27="","",SUM(S27:U27))</f>
        <v/>
      </c>
      <c r="W27" s="524" t="str">
        <f>IF(B27="","",IF(ISBLANK(S27),"",IF(AVERAGE(S27:U27)&lt;10,LEFT(AVERAGE(S27:U27),4),LEFT(AVERAGE(S27:U27),5))))</f>
        <v/>
      </c>
      <c r="X27" s="526" t="str">
        <f>IF(B27="","",IF(W27="","",IF(LEFT(W27,1)="0",0,ROUND(W27,0))))</f>
        <v/>
      </c>
      <c r="Y27" s="334" t="str">
        <f>IF(B27="","",ROUNDUP(AVERAGE(R27,R27,X27),2))</f>
        <v/>
      </c>
      <c r="Z27" s="335" t="str">
        <f>IF(B27="","",IF(TRUNC(Y27,0)=0,0,ROUND(Y27,0)))</f>
        <v/>
      </c>
    </row>
    <row r="28" spans="1:26" ht="13.5" customHeight="1" thickBot="1" x14ac:dyDescent="0.25">
      <c r="A28" s="529"/>
      <c r="B28" s="529"/>
      <c r="C28" s="348"/>
      <c r="D28" s="337"/>
      <c r="E28" s="337"/>
      <c r="F28" s="337"/>
      <c r="G28" s="337"/>
      <c r="H28" s="337"/>
      <c r="I28" s="337"/>
      <c r="J28" s="349" t="str">
        <f>IF(OR(B27="",COUNT(C28:I28)=0),"",SUM(C28:I28))</f>
        <v/>
      </c>
      <c r="K28" s="337"/>
      <c r="L28" s="337"/>
      <c r="M28" s="350"/>
      <c r="N28" s="337"/>
      <c r="O28" s="351"/>
      <c r="P28" s="349" t="str">
        <f>IF(OR(B27="",COUNT(K28:O28)=0),"",SUM(K28:O28))</f>
        <v/>
      </c>
      <c r="Q28" s="342" t="str">
        <f>IF(OR(B27="",COUNT(C28:I28)+COUNT(K28:O28)=0),"",ROUND(SUM(P28,J28),0))</f>
        <v/>
      </c>
      <c r="R28" s="442" t="str">
        <f ca="1">IF(Q28="","",IF(AP!$E$42="BE",INDIRECT("AP!P"&amp;MATCH(100*Q28/AP!$E$44,AP!$Q$4:$Q$20,-1)+4),Q28))</f>
        <v/>
      </c>
      <c r="S28" s="531"/>
      <c r="T28" s="533"/>
      <c r="U28" s="535"/>
      <c r="V28" s="537"/>
      <c r="W28" s="525"/>
      <c r="X28" s="527"/>
      <c r="Y28" s="343" t="str">
        <f>IF(B27="","",ROUNDUP(AVERAGE(R28,R28,X27),2))</f>
        <v/>
      </c>
      <c r="Z28" s="344" t="str">
        <f>IF(B27="","",IF(TRUNC(Y28,0)=0,0,ROUND(Y28,0)))</f>
        <v/>
      </c>
    </row>
    <row r="29" spans="1:26" ht="12.75" customHeight="1" x14ac:dyDescent="0.2">
      <c r="A29" s="528">
        <v>10</v>
      </c>
      <c r="B29" s="528" t="str">
        <f>IF('1. Halbjahr'!B13&lt;&gt;"", '1. Halbjahr'!B13, "")</f>
        <v/>
      </c>
      <c r="C29" s="345"/>
      <c r="D29" s="325"/>
      <c r="E29" s="325"/>
      <c r="F29" s="325"/>
      <c r="G29" s="325"/>
      <c r="H29" s="325"/>
      <c r="I29" s="325"/>
      <c r="J29" s="346" t="str">
        <f>IF(OR(B29="",COUNT(C29:I29)=0),"",SUM(C29:I29))</f>
        <v/>
      </c>
      <c r="K29" s="328"/>
      <c r="L29" s="329"/>
      <c r="M29" s="328"/>
      <c r="N29" s="330"/>
      <c r="O29" s="329"/>
      <c r="P29" s="331" t="str">
        <f>IF(OR(B29="",COUNT(K29:O29)=0),"",SUM(K29:O29))</f>
        <v/>
      </c>
      <c r="Q29" s="332" t="str">
        <f>IF(OR(B29="",COUNT(C29:I29)+COUNT(K29:O29)=0),"",ROUND(SUM(P29,J29),0))</f>
        <v/>
      </c>
      <c r="R29" s="335" t="str">
        <f ca="1">IF(Q29="","",IF(AP!$E$42="BE",INDIRECT("AP!P"&amp;MATCH(100*Q29/AP!$E$44,AP!$Q$4:$Q$20,-1)+4),Q29))</f>
        <v/>
      </c>
      <c r="S29" s="530"/>
      <c r="T29" s="532"/>
      <c r="U29" s="534"/>
      <c r="V29" s="536" t="str">
        <f>IF(B29="","",SUM(S29:U29))</f>
        <v/>
      </c>
      <c r="W29" s="524" t="str">
        <f>IF(B29="","",IF(ISBLANK(S29),"",IF(AVERAGE(S29:U29)&lt;10,LEFT(AVERAGE(S29:U29),4),LEFT(AVERAGE(S29:U29),5))))</f>
        <v/>
      </c>
      <c r="X29" s="526" t="str">
        <f>IF(B29="","",IF(W29="","",IF(LEFT(W29,1)="0",0,ROUND(W29,0))))</f>
        <v/>
      </c>
      <c r="Y29" s="334" t="str">
        <f>IF(B29="","",ROUNDUP(AVERAGE(R29,R29,X29),2))</f>
        <v/>
      </c>
      <c r="Z29" s="335" t="str">
        <f>IF(B29="","",IF(TRUNC(Y29,0)=0,0,ROUND(Y29,0)))</f>
        <v/>
      </c>
    </row>
    <row r="30" spans="1:26" ht="13.5" customHeight="1" thickBot="1" x14ac:dyDescent="0.25">
      <c r="A30" s="529"/>
      <c r="B30" s="529"/>
      <c r="C30" s="348"/>
      <c r="D30" s="337"/>
      <c r="E30" s="337"/>
      <c r="F30" s="337"/>
      <c r="G30" s="337"/>
      <c r="H30" s="337"/>
      <c r="I30" s="337"/>
      <c r="J30" s="349" t="str">
        <f>IF(OR(B29="",COUNT(C30:I30)=0),"",SUM(C30:I30))</f>
        <v/>
      </c>
      <c r="K30" s="337"/>
      <c r="L30" s="337"/>
      <c r="M30" s="350"/>
      <c r="N30" s="337"/>
      <c r="O30" s="351"/>
      <c r="P30" s="349" t="str">
        <f>IF(OR(B29="",COUNT(K30:O30)=0),"",SUM(K30:O30))</f>
        <v/>
      </c>
      <c r="Q30" s="342" t="str">
        <f>IF(OR(B29="",COUNT(C30:I30)+COUNT(K30:O30)=0),"",ROUND(SUM(P30,J30),0))</f>
        <v/>
      </c>
      <c r="R30" s="355" t="str">
        <f ca="1">IF(Q30="","",IF(AP!$E$42="BE",INDIRECT("AP!P"&amp;MATCH(100*Q30/AP!$E$44,AP!$Q$4:$Q$20,-1)+4),Q30))</f>
        <v/>
      </c>
      <c r="S30" s="531"/>
      <c r="T30" s="533"/>
      <c r="U30" s="535"/>
      <c r="V30" s="537"/>
      <c r="W30" s="525"/>
      <c r="X30" s="527"/>
      <c r="Y30" s="343" t="str">
        <f>IF(B29="","",ROUNDUP(AVERAGE(R30,R30,X29),2))</f>
        <v/>
      </c>
      <c r="Z30" s="344" t="str">
        <f>IF(B29="","",IF(TRUNC(Y30,0)=0,0,ROUND(Y30,0)))</f>
        <v/>
      </c>
    </row>
    <row r="31" spans="1:26" ht="12.75" customHeight="1" x14ac:dyDescent="0.2">
      <c r="A31" s="528">
        <v>11</v>
      </c>
      <c r="B31" s="528" t="str">
        <f>IF('1. Halbjahr'!B14&lt;&gt;"", '1. Halbjahr'!B14, "")</f>
        <v/>
      </c>
      <c r="C31" s="345"/>
      <c r="D31" s="325"/>
      <c r="E31" s="325"/>
      <c r="F31" s="325"/>
      <c r="G31" s="325"/>
      <c r="H31" s="325"/>
      <c r="I31" s="325"/>
      <c r="J31" s="346" t="str">
        <f>IF(OR(B31="",COUNT(C31:I31)=0),"",SUM(C31:I31))</f>
        <v/>
      </c>
      <c r="K31" s="328"/>
      <c r="L31" s="329"/>
      <c r="M31" s="328"/>
      <c r="N31" s="330"/>
      <c r="O31" s="329"/>
      <c r="P31" s="331" t="str">
        <f>IF(OR(B31="",COUNT(K31:O31)=0),"",SUM(K31:O31))</f>
        <v/>
      </c>
      <c r="Q31" s="332" t="str">
        <f>IF(OR(B31="",COUNT(C31:I31)+COUNT(K31:O31)=0),"",ROUND(SUM(P31,J31),0))</f>
        <v/>
      </c>
      <c r="R31" s="333" t="str">
        <f ca="1">IF(Q31="","",IF(AP!$E$42="BE",INDIRECT("AP!P"&amp;MATCH(100*Q31/AP!$E$44,AP!$Q$4:$Q$20,-1)+4),Q31))</f>
        <v/>
      </c>
      <c r="S31" s="530"/>
      <c r="T31" s="532"/>
      <c r="U31" s="534"/>
      <c r="V31" s="536" t="str">
        <f>IF(B31="","",SUM(S31:U31))</f>
        <v/>
      </c>
      <c r="W31" s="524" t="str">
        <f>IF(B31="","",IF(ISBLANK(S31),"",IF(AVERAGE(S31:U31)&lt;10,LEFT(AVERAGE(S31:U31),4),LEFT(AVERAGE(S31:U31),5))))</f>
        <v/>
      </c>
      <c r="X31" s="526" t="str">
        <f>IF(B31="","",IF(W31="","",IF(LEFT(W31,1)="0",0,ROUND(W31,0))))</f>
        <v/>
      </c>
      <c r="Y31" s="334" t="str">
        <f>IF(B31="","",ROUNDUP(AVERAGE(R31,R31,X31),2))</f>
        <v/>
      </c>
      <c r="Z31" s="335" t="str">
        <f>IF(B31="","",IF(TRUNC(Y31,0)=0,0,ROUND(Y31,0)))</f>
        <v/>
      </c>
    </row>
    <row r="32" spans="1:26" ht="13.5" customHeight="1" thickBot="1" x14ac:dyDescent="0.25">
      <c r="A32" s="529"/>
      <c r="B32" s="529"/>
      <c r="C32" s="348"/>
      <c r="D32" s="337"/>
      <c r="E32" s="337"/>
      <c r="F32" s="337"/>
      <c r="G32" s="337"/>
      <c r="H32" s="337"/>
      <c r="I32" s="337"/>
      <c r="J32" s="349" t="str">
        <f>IF(OR(B31="",COUNT(C32:I32)=0),"",SUM(C32:I32))</f>
        <v/>
      </c>
      <c r="K32" s="337"/>
      <c r="L32" s="337"/>
      <c r="M32" s="350"/>
      <c r="N32" s="337"/>
      <c r="O32" s="351"/>
      <c r="P32" s="349" t="str">
        <f>IF(OR(B31="",COUNT(K32:O32)=0),"",SUM(K32:O32))</f>
        <v/>
      </c>
      <c r="Q32" s="342" t="str">
        <f>IF(OR(B31="",COUNT(C32:I32)+COUNT(K32:O32)=0),"",ROUND(SUM(P32,J32),0))</f>
        <v/>
      </c>
      <c r="R32" s="442" t="str">
        <f ca="1">IF(Q32="","",IF(AP!$E$42="BE",INDIRECT("AP!P"&amp;MATCH(100*Q32/AP!$E$44,AP!$Q$4:$Q$20,-1)+4),Q32))</f>
        <v/>
      </c>
      <c r="S32" s="531"/>
      <c r="T32" s="533"/>
      <c r="U32" s="535"/>
      <c r="V32" s="537"/>
      <c r="W32" s="525"/>
      <c r="X32" s="527"/>
      <c r="Y32" s="343" t="str">
        <f>IF(B31="","",ROUNDUP(AVERAGE(R32,R32,X31),2))</f>
        <v/>
      </c>
      <c r="Z32" s="344" t="str">
        <f>IF(B31="","",IF(TRUNC(Y32,0)=0,0,ROUND(Y32,0)))</f>
        <v/>
      </c>
    </row>
    <row r="33" spans="1:26" ht="12.75" customHeight="1" x14ac:dyDescent="0.2">
      <c r="A33" s="528">
        <v>12</v>
      </c>
      <c r="B33" s="528" t="str">
        <f>IF('1. Halbjahr'!B15&lt;&gt;"", '1. Halbjahr'!B15, "")</f>
        <v/>
      </c>
      <c r="C33" s="345"/>
      <c r="D33" s="325"/>
      <c r="E33" s="325"/>
      <c r="F33" s="325"/>
      <c r="G33" s="325"/>
      <c r="H33" s="325"/>
      <c r="I33" s="325"/>
      <c r="J33" s="346" t="str">
        <f>IF(OR(B33="",COUNT(C33:I33)=0),"",SUM(C33:I33))</f>
        <v/>
      </c>
      <c r="K33" s="328"/>
      <c r="L33" s="329"/>
      <c r="M33" s="328"/>
      <c r="N33" s="330"/>
      <c r="O33" s="329"/>
      <c r="P33" s="331" t="str">
        <f>IF(OR(B33="",COUNT(K33:O33)=0),"",SUM(K33:O33))</f>
        <v/>
      </c>
      <c r="Q33" s="332" t="str">
        <f>IF(OR(B33="",COUNT(C33:I33)+COUNT(K33:O33)=0),"",ROUND(SUM(P33,J33),0))</f>
        <v/>
      </c>
      <c r="R33" s="335" t="str">
        <f ca="1">IF(Q33="","",IF(AP!$E$42="BE",INDIRECT("AP!P"&amp;MATCH(100*Q33/AP!$E$44,AP!$Q$4:$Q$20,-1)+4),Q33))</f>
        <v/>
      </c>
      <c r="S33" s="530"/>
      <c r="T33" s="532"/>
      <c r="U33" s="534"/>
      <c r="V33" s="536" t="str">
        <f>IF(B33="","",SUM(S33:U33))</f>
        <v/>
      </c>
      <c r="W33" s="524" t="str">
        <f>IF(B33="","",IF(ISBLANK(S33),"",IF(AVERAGE(S33:U33)&lt;10,LEFT(AVERAGE(S33:U33),4),LEFT(AVERAGE(S33:U33),5))))</f>
        <v/>
      </c>
      <c r="X33" s="526" t="str">
        <f>IF(B33="","",IF(W33="","",IF(LEFT(W33,1)="0",0,ROUND(W33,0))))</f>
        <v/>
      </c>
      <c r="Y33" s="334" t="str">
        <f>IF(B33="","",ROUNDUP(AVERAGE(R33,R33,X33),2))</f>
        <v/>
      </c>
      <c r="Z33" s="335" t="str">
        <f>IF(B33="","",IF(TRUNC(Y33,0)=0,0,ROUND(Y33,0)))</f>
        <v/>
      </c>
    </row>
    <row r="34" spans="1:26" ht="13.5" customHeight="1" thickBot="1" x14ac:dyDescent="0.25">
      <c r="A34" s="529"/>
      <c r="B34" s="529"/>
      <c r="C34" s="348"/>
      <c r="D34" s="337"/>
      <c r="E34" s="337"/>
      <c r="F34" s="337"/>
      <c r="G34" s="337"/>
      <c r="H34" s="337"/>
      <c r="I34" s="337"/>
      <c r="J34" s="349" t="str">
        <f>IF(OR(B33="",COUNT(C34:I34)=0),"",SUM(C34:I34))</f>
        <v/>
      </c>
      <c r="K34" s="337"/>
      <c r="L34" s="337"/>
      <c r="M34" s="350"/>
      <c r="N34" s="337"/>
      <c r="O34" s="351"/>
      <c r="P34" s="349" t="str">
        <f>IF(OR(B33="",COUNT(K34:O34)=0),"",SUM(K34:O34))</f>
        <v/>
      </c>
      <c r="Q34" s="342" t="str">
        <f>IF(OR(B33="",COUNT(C34:I34)+COUNT(K34:O34)=0),"",ROUND(SUM(P34,J34),0))</f>
        <v/>
      </c>
      <c r="R34" s="442" t="str">
        <f ca="1">IF(Q34="","",IF(AP!$E$42="BE",INDIRECT("AP!P"&amp;MATCH(100*Q34/AP!$E$44,AP!$Q$4:$Q$20,-1)+4),Q34))</f>
        <v/>
      </c>
      <c r="S34" s="531"/>
      <c r="T34" s="533"/>
      <c r="U34" s="535"/>
      <c r="V34" s="537"/>
      <c r="W34" s="525"/>
      <c r="X34" s="527"/>
      <c r="Y34" s="343" t="str">
        <f>IF(B33="","",ROUNDUP(AVERAGE(R34,R34,X33),2))</f>
        <v/>
      </c>
      <c r="Z34" s="344" t="str">
        <f>IF(B33="","",IF(TRUNC(Y34,0)=0,0,ROUND(Y34,0)))</f>
        <v/>
      </c>
    </row>
    <row r="35" spans="1:26" ht="12.75" customHeight="1" x14ac:dyDescent="0.2">
      <c r="A35" s="528">
        <v>13</v>
      </c>
      <c r="B35" s="528" t="str">
        <f>IF('1. Halbjahr'!B16&lt;&gt;"", '1. Halbjahr'!B16, "")</f>
        <v/>
      </c>
      <c r="C35" s="345"/>
      <c r="D35" s="325"/>
      <c r="E35" s="325"/>
      <c r="F35" s="325"/>
      <c r="G35" s="325"/>
      <c r="H35" s="325"/>
      <c r="I35" s="325"/>
      <c r="J35" s="327" t="str">
        <f>IF(OR(B35="",COUNT(C35:I35)=0),"",SUM(C35:I35))</f>
        <v/>
      </c>
      <c r="K35" s="328"/>
      <c r="L35" s="329"/>
      <c r="M35" s="328"/>
      <c r="N35" s="330"/>
      <c r="O35" s="329"/>
      <c r="P35" s="331" t="str">
        <f>IF(OR(B35="",COUNT(K35:O35)=0),"",SUM(K35:O35))</f>
        <v/>
      </c>
      <c r="Q35" s="332" t="str">
        <f>IF(OR(B35="",COUNT(C35:I35)+COUNT(K35:O35)=0),"",ROUND(SUM(P35,J35),0))</f>
        <v/>
      </c>
      <c r="R35" s="335" t="str">
        <f ca="1">IF(Q35="","",IF(AP!$E$42="BE",INDIRECT("AP!P"&amp;MATCH(100*Q35/AP!$E$44,AP!$Q$4:$Q$20,-1)+4),Q35))</f>
        <v/>
      </c>
      <c r="S35" s="530"/>
      <c r="T35" s="532"/>
      <c r="U35" s="534"/>
      <c r="V35" s="536" t="str">
        <f>IF(B35="","",SUM(S35:U35))</f>
        <v/>
      </c>
      <c r="W35" s="524" t="str">
        <f>IF(B35="","",IF(ISBLANK(S35),"",IF(AVERAGE(S35:U35)&lt;10,LEFT(AVERAGE(S35:U35),4),LEFT(AVERAGE(S35:U35),5))))</f>
        <v/>
      </c>
      <c r="X35" s="526" t="str">
        <f>IF(B35="","",IF(W35="","",IF(LEFT(W35,1)="0",0,ROUND(W35,0))))</f>
        <v/>
      </c>
      <c r="Y35" s="334" t="str">
        <f>IF(B35="","",ROUNDUP(AVERAGE(R35,R35,X35),2))</f>
        <v/>
      </c>
      <c r="Z35" s="335" t="str">
        <f>IF(B35="","",IF(TRUNC(Y35,0)=0,0,ROUND(Y35,0)))</f>
        <v/>
      </c>
    </row>
    <row r="36" spans="1:26" ht="13.5" customHeight="1" thickBot="1" x14ac:dyDescent="0.25">
      <c r="A36" s="529"/>
      <c r="B36" s="529"/>
      <c r="C36" s="348"/>
      <c r="D36" s="337"/>
      <c r="E36" s="337"/>
      <c r="F36" s="337"/>
      <c r="G36" s="337"/>
      <c r="H36" s="337"/>
      <c r="I36" s="337"/>
      <c r="J36" s="352" t="str">
        <f>IF(OR(B35="",COUNT(C36:I36)=0),"",SUM(C36:I36))</f>
        <v/>
      </c>
      <c r="K36" s="337"/>
      <c r="L36" s="337"/>
      <c r="M36" s="350"/>
      <c r="N36" s="337"/>
      <c r="O36" s="351"/>
      <c r="P36" s="349" t="str">
        <f>IF(OR(B35="",COUNT(K36:O36)=0),"",SUM(K36:O36))</f>
        <v/>
      </c>
      <c r="Q36" s="342" t="str">
        <f>IF(OR(B35="",COUNT(C36:I36)+COUNT(K36:O36)=0),"",ROUND(SUM(P36,J36),0))</f>
        <v/>
      </c>
      <c r="R36" s="442" t="str">
        <f ca="1">IF(Q36="","",IF(AP!$E$42="BE",INDIRECT("AP!P"&amp;MATCH(100*Q36/AP!$E$44,AP!$Q$4:$Q$20,-1)+4),Q36))</f>
        <v/>
      </c>
      <c r="S36" s="531"/>
      <c r="T36" s="533"/>
      <c r="U36" s="535"/>
      <c r="V36" s="537"/>
      <c r="W36" s="525"/>
      <c r="X36" s="527"/>
      <c r="Y36" s="343" t="str">
        <f>IF(B35="","",ROUNDUP(AVERAGE(R36,R36,X35),2))</f>
        <v/>
      </c>
      <c r="Z36" s="344" t="str">
        <f>IF(B35="","",IF(TRUNC(Y36,0)=0,0,ROUND(Y36,0)))</f>
        <v/>
      </c>
    </row>
    <row r="37" spans="1:26" ht="12.75" customHeight="1" x14ac:dyDescent="0.2">
      <c r="A37" s="528">
        <v>14</v>
      </c>
      <c r="B37" s="528" t="str">
        <f>IF('1. Halbjahr'!B17&lt;&gt;"", '1. Halbjahr'!B17, "")</f>
        <v/>
      </c>
      <c r="C37" s="345"/>
      <c r="D37" s="325"/>
      <c r="E37" s="325"/>
      <c r="F37" s="325"/>
      <c r="G37" s="325"/>
      <c r="H37" s="325"/>
      <c r="I37" s="325"/>
      <c r="J37" s="346" t="str">
        <f>IF(OR(B37="",COUNT(C37:I37)=0),"",SUM(C37:I37))</f>
        <v/>
      </c>
      <c r="K37" s="328"/>
      <c r="L37" s="329"/>
      <c r="M37" s="328"/>
      <c r="N37" s="330"/>
      <c r="O37" s="329"/>
      <c r="P37" s="331" t="str">
        <f>IF(OR(B37="",COUNT(K37:O37)=0),"",SUM(K37:O37))</f>
        <v/>
      </c>
      <c r="Q37" s="332" t="str">
        <f>IF(OR(B37="",COUNT(C37:I37)+COUNT(K37:O37)=0),"",ROUND(SUM(P37,J37),0))</f>
        <v/>
      </c>
      <c r="R37" s="335" t="str">
        <f ca="1">IF(Q37="","",IF(AP!$E$42="BE",INDIRECT("AP!P"&amp;MATCH(100*Q37/AP!$E$44,AP!$Q$4:$Q$20,-1)+4),Q37))</f>
        <v/>
      </c>
      <c r="S37" s="530"/>
      <c r="T37" s="532"/>
      <c r="U37" s="534"/>
      <c r="V37" s="536" t="str">
        <f>IF(B37="","",SUM(S37:U37))</f>
        <v/>
      </c>
      <c r="W37" s="524" t="str">
        <f>IF(B37="","",IF(ISBLANK(S37),"",IF(AVERAGE(S37:U37)&lt;10,LEFT(AVERAGE(S37:U37),4),LEFT(AVERAGE(S37:U37),5))))</f>
        <v/>
      </c>
      <c r="X37" s="526" t="str">
        <f>IF(B37="","",IF(W37="","",IF(LEFT(W37,1)="0",0,ROUND(W37,0))))</f>
        <v/>
      </c>
      <c r="Y37" s="334" t="str">
        <f>IF(B37="","",ROUNDUP(AVERAGE(R37,R37,X37),2))</f>
        <v/>
      </c>
      <c r="Z37" s="335" t="str">
        <f>IF(B37="","",IF(TRUNC(Y37,0)=0,0,ROUND(Y37,0)))</f>
        <v/>
      </c>
    </row>
    <row r="38" spans="1:26" ht="13.5" customHeight="1" thickBot="1" x14ac:dyDescent="0.25">
      <c r="A38" s="529"/>
      <c r="B38" s="529"/>
      <c r="C38" s="348"/>
      <c r="D38" s="337"/>
      <c r="E38" s="337"/>
      <c r="F38" s="337"/>
      <c r="G38" s="337"/>
      <c r="H38" s="337"/>
      <c r="I38" s="337"/>
      <c r="J38" s="349" t="str">
        <f>IF(OR(B37="",COUNT(C38:I38)=0),"",SUM(C38:I38))</f>
        <v/>
      </c>
      <c r="K38" s="337"/>
      <c r="L38" s="337"/>
      <c r="M38" s="350"/>
      <c r="N38" s="337"/>
      <c r="O38" s="351"/>
      <c r="P38" s="349" t="str">
        <f>IF(OR(B37="",COUNT(K38:O38)=0),"",SUM(K38:O38))</f>
        <v/>
      </c>
      <c r="Q38" s="342" t="str">
        <f>IF(OR(B37="",COUNT(C38:I38)+COUNT(K38:O38)=0),"",ROUND(SUM(P38,J38),0))</f>
        <v/>
      </c>
      <c r="R38" s="355" t="str">
        <f ca="1">IF(Q38="","",IF(AP!$E$42="BE",INDIRECT("AP!P"&amp;MATCH(100*Q38/AP!$E$44,AP!$Q$4:$Q$20,-1)+4),Q38))</f>
        <v/>
      </c>
      <c r="S38" s="531"/>
      <c r="T38" s="533"/>
      <c r="U38" s="535"/>
      <c r="V38" s="537"/>
      <c r="W38" s="525"/>
      <c r="X38" s="527"/>
      <c r="Y38" s="343" t="str">
        <f>IF(B37="","",ROUNDUP(AVERAGE(R38,R38,X37),2))</f>
        <v/>
      </c>
      <c r="Z38" s="344" t="str">
        <f>IF(B37="","",IF(TRUNC(Y38,0)=0,0,ROUND(Y38,0)))</f>
        <v/>
      </c>
    </row>
    <row r="39" spans="1:26" ht="12.75" customHeight="1" x14ac:dyDescent="0.2">
      <c r="A39" s="528">
        <v>15</v>
      </c>
      <c r="B39" s="528" t="str">
        <f>IF('1. Halbjahr'!B18&lt;&gt;"", '1. Halbjahr'!B18, "")</f>
        <v/>
      </c>
      <c r="C39" s="345"/>
      <c r="D39" s="325"/>
      <c r="E39" s="325"/>
      <c r="F39" s="325"/>
      <c r="G39" s="325"/>
      <c r="H39" s="325"/>
      <c r="I39" s="325"/>
      <c r="J39" s="346" t="str">
        <f>IF(OR(B39="",COUNT(C39:I39)=0),"",SUM(C39:I39))</f>
        <v/>
      </c>
      <c r="K39" s="328"/>
      <c r="L39" s="329"/>
      <c r="M39" s="328"/>
      <c r="N39" s="330"/>
      <c r="O39" s="329"/>
      <c r="P39" s="331" t="str">
        <f>IF(OR(B39="",COUNT(K39:O39)=0),"",SUM(K39:O39))</f>
        <v/>
      </c>
      <c r="Q39" s="332" t="str">
        <f>IF(OR(B39="",COUNT(C39:I39)+COUNT(K39:O39)=0),"",ROUND(SUM(P39,J39),0))</f>
        <v/>
      </c>
      <c r="R39" s="333" t="str">
        <f ca="1">IF(Q39="","",IF(AP!$E$42="BE",INDIRECT("AP!P"&amp;MATCH(100*Q39/AP!$E$44,AP!$Q$4:$Q$20,-1)+4),Q39))</f>
        <v/>
      </c>
      <c r="S39" s="538"/>
      <c r="T39" s="539"/>
      <c r="U39" s="540"/>
      <c r="V39" s="541" t="str">
        <f>IF(B39="","",SUM(S39:U39))</f>
        <v/>
      </c>
      <c r="W39" s="524" t="str">
        <f>IF(B39="","",IF(ISBLANK(S39),"",IF(AVERAGE(S39:U39)&lt;10,LEFT(AVERAGE(S39:U39),4),LEFT(AVERAGE(S39:U39),5))))</f>
        <v/>
      </c>
      <c r="X39" s="526" t="str">
        <f>IF(B39="","",IF(W39="","",IF(LEFT(W39,1)="0",0,ROUND(W39,0))))</f>
        <v/>
      </c>
      <c r="Y39" s="334" t="str">
        <f>IF(B39="","",ROUNDUP(AVERAGE(R39,R39,X39),2))</f>
        <v/>
      </c>
      <c r="Z39" s="335" t="str">
        <f>IF(B39="","",IF(TRUNC(Y39,0)=0,0,ROUND(Y39,0)))</f>
        <v/>
      </c>
    </row>
    <row r="40" spans="1:26" ht="13.5" customHeight="1" thickBot="1" x14ac:dyDescent="0.25">
      <c r="A40" s="529"/>
      <c r="B40" s="529"/>
      <c r="C40" s="348"/>
      <c r="D40" s="337"/>
      <c r="E40" s="337"/>
      <c r="F40" s="337"/>
      <c r="G40" s="337"/>
      <c r="H40" s="337"/>
      <c r="I40" s="337"/>
      <c r="J40" s="349" t="str">
        <f>IF(OR(B39="",COUNT(C40:I40)=0),"",SUM(C40:I40))</f>
        <v/>
      </c>
      <c r="K40" s="337"/>
      <c r="L40" s="337"/>
      <c r="M40" s="350"/>
      <c r="N40" s="337"/>
      <c r="O40" s="351"/>
      <c r="P40" s="349" t="str">
        <f>IF(OR(B39="",COUNT(K40:O40)=0),"",SUM(K40:O40))</f>
        <v/>
      </c>
      <c r="Q40" s="342" t="str">
        <f>IF(OR(B39="",COUNT(C40:I40)+COUNT(K40:O40)=0),"",ROUND(SUM(P40,J40),0))</f>
        <v/>
      </c>
      <c r="R40" s="355" t="str">
        <f ca="1">IF(Q40="","",IF(AP!$E$42="BE",INDIRECT("AP!P"&amp;MATCH(100*Q40/AP!$E$44,AP!$Q$4:$Q$20,-1)+4),Q40))</f>
        <v/>
      </c>
      <c r="S40" s="531"/>
      <c r="T40" s="533"/>
      <c r="U40" s="535"/>
      <c r="V40" s="537"/>
      <c r="W40" s="525"/>
      <c r="X40" s="527"/>
      <c r="Y40" s="343" t="str">
        <f>IF(B39="","",ROUNDUP(AVERAGE(R40,R40,X39),2))</f>
        <v/>
      </c>
      <c r="Z40" s="344" t="str">
        <f>IF(B39="","",IF(TRUNC(Y40,0)=0,0,ROUND(Y40,0)))</f>
        <v/>
      </c>
    </row>
    <row r="41" spans="1:26" ht="12.75" customHeight="1" x14ac:dyDescent="0.2">
      <c r="A41" s="528">
        <v>16</v>
      </c>
      <c r="B41" s="528" t="str">
        <f>IF('1. Halbjahr'!B19&lt;&gt;"", '1. Halbjahr'!B19, "")</f>
        <v/>
      </c>
      <c r="C41" s="345"/>
      <c r="D41" s="325"/>
      <c r="E41" s="325"/>
      <c r="F41" s="325"/>
      <c r="G41" s="325"/>
      <c r="H41" s="325"/>
      <c r="I41" s="325"/>
      <c r="J41" s="346" t="str">
        <f>IF(OR(B41="",COUNT(C41:I41)=0),"",SUM(C41:I41))</f>
        <v/>
      </c>
      <c r="K41" s="328"/>
      <c r="L41" s="329"/>
      <c r="M41" s="328"/>
      <c r="N41" s="330"/>
      <c r="O41" s="329"/>
      <c r="P41" s="331" t="str">
        <f>IF(OR(B41="",COUNT(K41:O41)=0),"",SUM(K41:O41))</f>
        <v/>
      </c>
      <c r="Q41" s="332" t="str">
        <f>IF(OR(B41="",COUNT(C41:I41)+COUNT(K41:O41)=0),"",ROUND(SUM(P41,J41),0))</f>
        <v/>
      </c>
      <c r="R41" s="333" t="str">
        <f ca="1">IF(Q41="","",IF(AP!$E$42="BE",INDIRECT("AP!P"&amp;MATCH(100*Q41/AP!$E$44,AP!$Q$4:$Q$20,-1)+4),Q41))</f>
        <v/>
      </c>
      <c r="S41" s="530"/>
      <c r="T41" s="532"/>
      <c r="U41" s="534"/>
      <c r="V41" s="536" t="str">
        <f>IF(B41="","",SUM(S41:U41))</f>
        <v/>
      </c>
      <c r="W41" s="524" t="str">
        <f>IF(B41="","",IF(ISBLANK(S41),"",IF(AVERAGE(S41:U41)&lt;10,LEFT(AVERAGE(S41:U41),4),LEFT(AVERAGE(S41:U41),5))))</f>
        <v/>
      </c>
      <c r="X41" s="526" t="str">
        <f>IF(B41="","",IF(W41="","",IF(LEFT(W41,1)="0",0,ROUND(W41,0))))</f>
        <v/>
      </c>
      <c r="Y41" s="334" t="str">
        <f>IF(B41="","",ROUNDUP(AVERAGE(R41,R41,X41),2))</f>
        <v/>
      </c>
      <c r="Z41" s="335" t="str">
        <f>IF(B41="","",IF(TRUNC(Y41,0)=0,0,ROUND(Y41,0)))</f>
        <v/>
      </c>
    </row>
    <row r="42" spans="1:26" ht="13.5" customHeight="1" thickBot="1" x14ac:dyDescent="0.25">
      <c r="A42" s="529"/>
      <c r="B42" s="529"/>
      <c r="C42" s="348"/>
      <c r="D42" s="337"/>
      <c r="E42" s="337"/>
      <c r="F42" s="337"/>
      <c r="G42" s="337"/>
      <c r="H42" s="337"/>
      <c r="I42" s="337"/>
      <c r="J42" s="349" t="str">
        <f>IF(OR(B41="",COUNT(C42:I42)=0),"",SUM(C42:I42))</f>
        <v/>
      </c>
      <c r="K42" s="337"/>
      <c r="L42" s="337"/>
      <c r="M42" s="350"/>
      <c r="N42" s="337"/>
      <c r="O42" s="351"/>
      <c r="P42" s="349" t="str">
        <f>IF(OR(B41="",COUNT(K42:O42)=0),"",SUM(K42:O42))</f>
        <v/>
      </c>
      <c r="Q42" s="342" t="str">
        <f>IF(OR(B41="",COUNT(C42:I42)+COUNT(K42:O42)=0),"",ROUND(SUM(P42,J42),0))</f>
        <v/>
      </c>
      <c r="R42" s="442" t="str">
        <f ca="1">IF(Q42="","",IF(AP!$E$42="BE",INDIRECT("AP!P"&amp;MATCH(100*Q42/AP!$E$44,AP!$Q$4:$Q$20,-1)+4),Q42))</f>
        <v/>
      </c>
      <c r="S42" s="531"/>
      <c r="T42" s="533"/>
      <c r="U42" s="535"/>
      <c r="V42" s="537"/>
      <c r="W42" s="525"/>
      <c r="X42" s="527"/>
      <c r="Y42" s="343" t="str">
        <f>IF(B41="","",ROUNDUP(AVERAGE(R42,R42,X41),2))</f>
        <v/>
      </c>
      <c r="Z42" s="344" t="str">
        <f>IF(B41="","",IF(TRUNC(Y42,0)=0,0,ROUND(Y42,0)))</f>
        <v/>
      </c>
    </row>
    <row r="43" spans="1:26" ht="12.75" customHeight="1" x14ac:dyDescent="0.2">
      <c r="A43" s="528">
        <v>17</v>
      </c>
      <c r="B43" s="528" t="str">
        <f>IF('1. Halbjahr'!B20&lt;&gt;"", '1. Halbjahr'!B20, "")</f>
        <v/>
      </c>
      <c r="C43" s="345"/>
      <c r="D43" s="325"/>
      <c r="E43" s="325"/>
      <c r="F43" s="325"/>
      <c r="G43" s="325"/>
      <c r="H43" s="325"/>
      <c r="I43" s="325"/>
      <c r="J43" s="327" t="str">
        <f>IF(OR(B43="",COUNT(C43:I43)=0),"",SUM(C43:I43))</f>
        <v/>
      </c>
      <c r="K43" s="328"/>
      <c r="L43" s="329"/>
      <c r="M43" s="328"/>
      <c r="N43" s="330"/>
      <c r="O43" s="329"/>
      <c r="P43" s="331" t="str">
        <f>IF(OR(B43="",COUNT(K43:O43)=0),"",SUM(K43:O43))</f>
        <v/>
      </c>
      <c r="Q43" s="332" t="str">
        <f>IF(OR(B43="",COUNT(C43:I43)+COUNT(K43:O43)=0),"",ROUND(SUM(P43,J43),0))</f>
        <v/>
      </c>
      <c r="R43" s="335" t="str">
        <f ca="1">IF(Q43="","",IF(AP!$E$42="BE",INDIRECT("AP!P"&amp;MATCH(100*Q43/AP!$E$44,AP!$Q$4:$Q$20,-1)+4),Q43))</f>
        <v/>
      </c>
      <c r="S43" s="530"/>
      <c r="T43" s="532"/>
      <c r="U43" s="534"/>
      <c r="V43" s="536" t="str">
        <f>IF(B43="","",SUM(S43:U43))</f>
        <v/>
      </c>
      <c r="W43" s="524" t="str">
        <f>IF(B43="","",IF(ISBLANK(S43),"",IF(AVERAGE(S43:U43)&lt;10,LEFT(AVERAGE(S43:U43),4),LEFT(AVERAGE(S43:U43),5))))</f>
        <v/>
      </c>
      <c r="X43" s="526" t="str">
        <f>IF(B43="","",IF(W43="","",IF(LEFT(W43,1)="0",0,ROUND(W43,0))))</f>
        <v/>
      </c>
      <c r="Y43" s="334" t="str">
        <f>IF(B43="","",ROUNDUP(AVERAGE(R43,R43,X43),2))</f>
        <v/>
      </c>
      <c r="Z43" s="335" t="str">
        <f>IF(B43="","",IF(TRUNC(Y43,0)=0,0,ROUND(Y43,0)))</f>
        <v/>
      </c>
    </row>
    <row r="44" spans="1:26" ht="13.5" customHeight="1" thickBot="1" x14ac:dyDescent="0.25">
      <c r="A44" s="529"/>
      <c r="B44" s="529"/>
      <c r="C44" s="348"/>
      <c r="D44" s="337"/>
      <c r="E44" s="337"/>
      <c r="F44" s="337"/>
      <c r="G44" s="337"/>
      <c r="H44" s="337"/>
      <c r="I44" s="337"/>
      <c r="J44" s="352" t="str">
        <f>IF(OR(B43="",COUNT(C44:I44)=0),"",SUM(C44:I44))</f>
        <v/>
      </c>
      <c r="K44" s="337"/>
      <c r="L44" s="337"/>
      <c r="M44" s="350"/>
      <c r="N44" s="337"/>
      <c r="O44" s="351"/>
      <c r="P44" s="349" t="str">
        <f>IF(OR(B43="",COUNT(K44:O44)=0),"",SUM(K44:O44))</f>
        <v/>
      </c>
      <c r="Q44" s="342" t="str">
        <f>IF(OR(B43="",COUNT(C44:I44)+COUNT(K44:O44)=0),"",ROUND(SUM(P44,J44),0))</f>
        <v/>
      </c>
      <c r="R44" s="355" t="str">
        <f ca="1">IF(Q44="","",IF(AP!$E$42="BE",INDIRECT("AP!P"&amp;MATCH(100*Q44/AP!$E$44,AP!$Q$4:$Q$20,-1)+4),Q44))</f>
        <v/>
      </c>
      <c r="S44" s="531"/>
      <c r="T44" s="533"/>
      <c r="U44" s="535"/>
      <c r="V44" s="537"/>
      <c r="W44" s="525"/>
      <c r="X44" s="527"/>
      <c r="Y44" s="343" t="str">
        <f>IF(B43="","",ROUNDUP(AVERAGE(R44,R44,X43),2))</f>
        <v/>
      </c>
      <c r="Z44" s="344" t="str">
        <f>IF(B43="","",IF(TRUNC(Y44,0)=0,0,ROUND(Y44,0)))</f>
        <v/>
      </c>
    </row>
    <row r="45" spans="1:26" ht="12.75" customHeight="1" x14ac:dyDescent="0.2">
      <c r="A45" s="528">
        <v>18</v>
      </c>
      <c r="B45" s="528" t="str">
        <f>IF('1. Halbjahr'!B21&lt;&gt;"", '1. Halbjahr'!B21, "")</f>
        <v/>
      </c>
      <c r="C45" s="345"/>
      <c r="D45" s="325"/>
      <c r="E45" s="325"/>
      <c r="F45" s="325"/>
      <c r="G45" s="325"/>
      <c r="H45" s="325"/>
      <c r="I45" s="325"/>
      <c r="J45" s="346" t="str">
        <f>IF(OR(B45="",COUNT(C45:I45)=0),"",SUM(C45:I45))</f>
        <v/>
      </c>
      <c r="K45" s="328"/>
      <c r="L45" s="329"/>
      <c r="M45" s="328"/>
      <c r="N45" s="330"/>
      <c r="O45" s="329"/>
      <c r="P45" s="331" t="str">
        <f>IF(OR(B45="",COUNT(K45:O45)=0),"",SUM(K45:O45))</f>
        <v/>
      </c>
      <c r="Q45" s="332" t="str">
        <f>IF(OR(B45="",COUNT(C45:I45)+COUNT(K45:O45)=0),"",ROUND(SUM(P45,J45),0))</f>
        <v/>
      </c>
      <c r="R45" s="333" t="str">
        <f ca="1">IF(Q45="","",IF(AP!$E$42="BE",INDIRECT("AP!P"&amp;MATCH(100*Q45/AP!$E$44,AP!$Q$4:$Q$20,-1)+4),Q45))</f>
        <v/>
      </c>
      <c r="S45" s="530"/>
      <c r="T45" s="532"/>
      <c r="U45" s="534"/>
      <c r="V45" s="536" t="str">
        <f>IF(B45="","",SUM(S45:U45))</f>
        <v/>
      </c>
      <c r="W45" s="524" t="str">
        <f>IF(B45="","",IF(ISBLANK(S45),"",IF(AVERAGE(S45:U45)&lt;10,LEFT(AVERAGE(S45:U45),4),LEFT(AVERAGE(S45:U45),5))))</f>
        <v/>
      </c>
      <c r="X45" s="526" t="str">
        <f>IF(B45="","",IF(W45="","",IF(LEFT(W45,1)="0",0,ROUND(W45,0))))</f>
        <v/>
      </c>
      <c r="Y45" s="334" t="str">
        <f>IF(B45="","",ROUNDUP(AVERAGE(R45,R45,X45),2))</f>
        <v/>
      </c>
      <c r="Z45" s="335" t="str">
        <f>IF(B45="","",IF(TRUNC(Y45,0)=0,0,ROUND(Y45,0)))</f>
        <v/>
      </c>
    </row>
    <row r="46" spans="1:26" s="356" customFormat="1" ht="13.5" customHeight="1" thickBot="1" x14ac:dyDescent="0.25">
      <c r="A46" s="529"/>
      <c r="B46" s="529"/>
      <c r="C46" s="353"/>
      <c r="D46" s="354"/>
      <c r="E46" s="354"/>
      <c r="F46" s="354"/>
      <c r="G46" s="354"/>
      <c r="H46" s="354"/>
      <c r="I46" s="354"/>
      <c r="J46" s="349" t="str">
        <f>IF(OR(B45="",COUNT(C46:I46)=0),"",SUM(C46:I46))</f>
        <v/>
      </c>
      <c r="K46" s="354"/>
      <c r="L46" s="354"/>
      <c r="M46" s="339"/>
      <c r="N46" s="354"/>
      <c r="O46" s="340"/>
      <c r="P46" s="349" t="str">
        <f>IF(OR(B45="",COUNT(K46:O46)=0),"",SUM(K46:O46))</f>
        <v/>
      </c>
      <c r="Q46" s="342" t="str">
        <f>IF(OR(B45="",COUNT(C46:I46)+COUNT(K46:O46)=0),"",ROUND(SUM(P46,J46),0))</f>
        <v/>
      </c>
      <c r="R46" s="442" t="str">
        <f ca="1">IF(Q46="","",IF(AP!$E$42="BE",INDIRECT("AP!P"&amp;MATCH(100*Q46/AP!$E$44,AP!$Q$4:$Q$20,-1)+4),Q46))</f>
        <v/>
      </c>
      <c r="S46" s="531"/>
      <c r="T46" s="533"/>
      <c r="U46" s="535"/>
      <c r="V46" s="537"/>
      <c r="W46" s="525"/>
      <c r="X46" s="527"/>
      <c r="Y46" s="343" t="str">
        <f>IF(B45="","",ROUNDUP(AVERAGE(R46,R46,X45),2))</f>
        <v/>
      </c>
      <c r="Z46" s="355" t="str">
        <f>IF(B45="","",IF(TRUNC(Y46,0)=0,0,ROUND(Y46,0)))</f>
        <v/>
      </c>
    </row>
    <row r="47" spans="1:26" ht="12.75" customHeight="1" x14ac:dyDescent="0.2">
      <c r="A47" s="528">
        <v>19</v>
      </c>
      <c r="B47" s="528" t="str">
        <f>IF('1. Halbjahr'!B22&lt;&gt;"", '1. Halbjahr'!B22, "")</f>
        <v/>
      </c>
      <c r="C47" s="345"/>
      <c r="D47" s="325"/>
      <c r="E47" s="325"/>
      <c r="F47" s="325"/>
      <c r="G47" s="325"/>
      <c r="H47" s="325"/>
      <c r="I47" s="325"/>
      <c r="J47" s="346" t="str">
        <f>IF(OR(B47="",COUNT(C47:I47)=0),"",SUM(C47:I47))</f>
        <v/>
      </c>
      <c r="K47" s="328"/>
      <c r="L47" s="329"/>
      <c r="M47" s="328"/>
      <c r="N47" s="330"/>
      <c r="O47" s="329"/>
      <c r="P47" s="331" t="str">
        <f>IF(OR(B47="",COUNT(K47:O47)=0),"",SUM(K47:O47))</f>
        <v/>
      </c>
      <c r="Q47" s="332" t="str">
        <f>IF(OR(B47="",COUNT(C47:I47)+COUNT(K47:O47)=0),"",ROUND(SUM(P47,J47),0))</f>
        <v/>
      </c>
      <c r="R47" s="335" t="str">
        <f ca="1">IF(Q47="","",IF(AP!$E$42="BE",INDIRECT("AP!P"&amp;MATCH(100*Q47/AP!$E$44,AP!$Q$4:$Q$20,-1)+4),Q47))</f>
        <v/>
      </c>
      <c r="S47" s="530"/>
      <c r="T47" s="532"/>
      <c r="U47" s="534"/>
      <c r="V47" s="536" t="str">
        <f>IF(B47="","",SUM(S47:U47))</f>
        <v/>
      </c>
      <c r="W47" s="524" t="str">
        <f>IF(B47="","",IF(ISBLANK(S47),"",IF(AVERAGE(S47:U47)&lt;10,LEFT(AVERAGE(S47:U47),4),LEFT(AVERAGE(S47:U47),5))))</f>
        <v/>
      </c>
      <c r="X47" s="526" t="str">
        <f>IF(B47="","",IF(W47="","",IF(LEFT(W47,1)="0",0,ROUND(W47,0))))</f>
        <v/>
      </c>
      <c r="Y47" s="334" t="str">
        <f>IF(B47="","",ROUNDUP(AVERAGE(R47,R47,X47),2))</f>
        <v/>
      </c>
      <c r="Z47" s="335" t="str">
        <f>IF(B47="","",IF(TRUNC(Y47,0)=0,0,ROUND(Y47,0)))</f>
        <v/>
      </c>
    </row>
    <row r="48" spans="1:26" ht="13.5" customHeight="1" thickBot="1" x14ac:dyDescent="0.25">
      <c r="A48" s="529"/>
      <c r="B48" s="529"/>
      <c r="C48" s="348"/>
      <c r="D48" s="337"/>
      <c r="E48" s="337"/>
      <c r="F48" s="337"/>
      <c r="G48" s="337"/>
      <c r="H48" s="337"/>
      <c r="I48" s="337"/>
      <c r="J48" s="349" t="str">
        <f>IF(OR(B47="",COUNT(C48:I48)=0),"",SUM(C48:I48))</f>
        <v/>
      </c>
      <c r="K48" s="337"/>
      <c r="L48" s="337"/>
      <c r="M48" s="350"/>
      <c r="N48" s="337"/>
      <c r="O48" s="351"/>
      <c r="P48" s="349" t="str">
        <f>IF(OR(B47="",COUNT(K48:O48)=0),"",SUM(K48:O48))</f>
        <v/>
      </c>
      <c r="Q48" s="342" t="str">
        <f>IF(OR(B47="",COUNT(C48:I48)+COUNT(K48:O48)=0),"",ROUND(SUM(P48,J48),0))</f>
        <v/>
      </c>
      <c r="R48" s="442" t="str">
        <f ca="1">IF(Q48="","",IF(AP!$E$42="BE",INDIRECT("AP!P"&amp;MATCH(100*Q48/AP!$E$44,AP!$Q$4:$Q$20,-1)+4),Q48))</f>
        <v/>
      </c>
      <c r="S48" s="531"/>
      <c r="T48" s="533"/>
      <c r="U48" s="535"/>
      <c r="V48" s="537"/>
      <c r="W48" s="525"/>
      <c r="X48" s="527"/>
      <c r="Y48" s="343" t="str">
        <f>IF(B47="","",ROUNDUP(AVERAGE(R48,R48,X47),2))</f>
        <v/>
      </c>
      <c r="Z48" s="344" t="str">
        <f>IF(B47="","",IF(TRUNC(Y48,0)=0,0,ROUND(Y48,0)))</f>
        <v/>
      </c>
    </row>
    <row r="49" spans="1:26" ht="12.75" customHeight="1" x14ac:dyDescent="0.2">
      <c r="A49" s="528">
        <v>20</v>
      </c>
      <c r="B49" s="528" t="str">
        <f>IF('1. Halbjahr'!B23&lt;&gt;"", '1. Halbjahr'!B23, "")</f>
        <v/>
      </c>
      <c r="C49" s="345"/>
      <c r="D49" s="325"/>
      <c r="E49" s="325"/>
      <c r="F49" s="325"/>
      <c r="G49" s="325"/>
      <c r="H49" s="325"/>
      <c r="I49" s="325"/>
      <c r="J49" s="346" t="str">
        <f>IF(OR(B49="",COUNT(C49:I49)=0),"",SUM(C49:I49))</f>
        <v/>
      </c>
      <c r="K49" s="328"/>
      <c r="L49" s="329"/>
      <c r="M49" s="328"/>
      <c r="N49" s="330"/>
      <c r="O49" s="329"/>
      <c r="P49" s="331" t="str">
        <f>IF(OR(B49="",COUNT(K49:O49)=0),"",SUM(K49:O49))</f>
        <v/>
      </c>
      <c r="Q49" s="332" t="str">
        <f>IF(OR(B49="",COUNT(C49:I49)+COUNT(K49:O49)=0),"",ROUND(SUM(P49,J49),0))</f>
        <v/>
      </c>
      <c r="R49" s="335" t="str">
        <f ca="1">IF(Q49="","",IF(AP!$E$42="BE",INDIRECT("AP!P"&amp;MATCH(100*Q49/AP!$E$44,AP!$Q$4:$Q$20,-1)+4),Q49))</f>
        <v/>
      </c>
      <c r="S49" s="530"/>
      <c r="T49" s="532"/>
      <c r="U49" s="534"/>
      <c r="V49" s="536" t="str">
        <f>IF(B49="","",SUM(S49:U49))</f>
        <v/>
      </c>
      <c r="W49" s="524" t="str">
        <f>IF(B49="","",IF(ISBLANK(S49),"",IF(AVERAGE(S49:U49)&lt;10,LEFT(AVERAGE(S49:U49),4),LEFT(AVERAGE(S49:U49),5))))</f>
        <v/>
      </c>
      <c r="X49" s="526" t="str">
        <f>IF(B49="","",IF(W49="","",IF(LEFT(W49,1)="0",0,ROUND(W49,0))))</f>
        <v/>
      </c>
      <c r="Y49" s="334" t="str">
        <f>IF(B49="","",ROUNDUP(AVERAGE(R49,R49,X49),2))</f>
        <v/>
      </c>
      <c r="Z49" s="335" t="str">
        <f>IF(B49="","",IF(TRUNC(Y49,0)=0,0,ROUND(Y49,0)))</f>
        <v/>
      </c>
    </row>
    <row r="50" spans="1:26" ht="13.5" customHeight="1" thickBot="1" x14ac:dyDescent="0.25">
      <c r="A50" s="529"/>
      <c r="B50" s="529"/>
      <c r="C50" s="348"/>
      <c r="D50" s="337"/>
      <c r="E50" s="337"/>
      <c r="F50" s="337"/>
      <c r="G50" s="337"/>
      <c r="H50" s="337"/>
      <c r="I50" s="337"/>
      <c r="J50" s="349" t="str">
        <f>IF(OR(B49="",COUNT(C50:I50)=0),"",SUM(C50:I50))</f>
        <v/>
      </c>
      <c r="K50" s="337"/>
      <c r="L50" s="337"/>
      <c r="M50" s="350"/>
      <c r="N50" s="337"/>
      <c r="O50" s="351"/>
      <c r="P50" s="349" t="str">
        <f>IF(OR(B49="",COUNT(K50:O50)=0),"",SUM(K50:O50))</f>
        <v/>
      </c>
      <c r="Q50" s="342" t="str">
        <f>IF(OR(B49="",COUNT(C50:I50)+COUNT(K50:O50)=0),"",ROUND(SUM(P50,J50),0))</f>
        <v/>
      </c>
      <c r="R50" s="355" t="str">
        <f ca="1">IF(Q50="","",IF(AP!$E$42="BE",INDIRECT("AP!P"&amp;MATCH(100*Q50/AP!$E$44,AP!$Q$4:$Q$20,-1)+4),Q50))</f>
        <v/>
      </c>
      <c r="S50" s="531"/>
      <c r="T50" s="533"/>
      <c r="U50" s="535"/>
      <c r="V50" s="537"/>
      <c r="W50" s="525"/>
      <c r="X50" s="527"/>
      <c r="Y50" s="343" t="str">
        <f>IF(B49="","",ROUNDUP(AVERAGE(R50,R50,X49),2))</f>
        <v/>
      </c>
      <c r="Z50" s="344" t="str">
        <f>IF(B49="","",IF(TRUNC(Y50,0)=0,0,ROUND(Y50,0)))</f>
        <v/>
      </c>
    </row>
    <row r="51" spans="1:26" ht="12.75" customHeight="1" x14ac:dyDescent="0.2">
      <c r="A51" s="528">
        <v>21</v>
      </c>
      <c r="B51" s="528" t="str">
        <f>IF('1. Halbjahr'!B24&lt;&gt;"", '1. Halbjahr'!B24, "")</f>
        <v/>
      </c>
      <c r="C51" s="345"/>
      <c r="D51" s="325"/>
      <c r="E51" s="325"/>
      <c r="F51" s="325"/>
      <c r="G51" s="325"/>
      <c r="H51" s="325"/>
      <c r="I51" s="325"/>
      <c r="J51" s="327" t="str">
        <f>IF(OR(B51="",COUNT(C51:I51)=0),"",SUM(C51:I51))</f>
        <v/>
      </c>
      <c r="K51" s="328"/>
      <c r="L51" s="329"/>
      <c r="M51" s="328"/>
      <c r="N51" s="330"/>
      <c r="O51" s="329"/>
      <c r="P51" s="331" t="str">
        <f>IF(OR(B51="",COUNT(K51:O51)=0),"",SUM(K51:O51))</f>
        <v/>
      </c>
      <c r="Q51" s="332" t="str">
        <f>IF(OR(B51="",COUNT(C51:I51)+COUNT(K51:O51)=0),"",ROUND(SUM(P51,J51),0))</f>
        <v/>
      </c>
      <c r="R51" s="333" t="str">
        <f ca="1">IF(Q51="","",IF(AP!$E$42="BE",INDIRECT("AP!P"&amp;MATCH(100*Q51/AP!$E$44,AP!$Q$4:$Q$20,-1)+4),Q51))</f>
        <v/>
      </c>
      <c r="S51" s="530"/>
      <c r="T51" s="532"/>
      <c r="U51" s="534"/>
      <c r="V51" s="536" t="str">
        <f>IF(B51="","",SUM(S51:U51))</f>
        <v/>
      </c>
      <c r="W51" s="524" t="str">
        <f>IF(B51="","",IF(ISBLANK(S51),"",IF(AVERAGE(S51:U51)&lt;10,LEFT(AVERAGE(S51:U51),4),LEFT(AVERAGE(S51:U51),5))))</f>
        <v/>
      </c>
      <c r="X51" s="526" t="str">
        <f>IF(B51="","",IF(W51="","",IF(LEFT(W51,1)="0",0,ROUND(W51,0))))</f>
        <v/>
      </c>
      <c r="Y51" s="334" t="str">
        <f>IF(B51="","",ROUNDUP(AVERAGE(R51,R51,X51),2))</f>
        <v/>
      </c>
      <c r="Z51" s="335" t="str">
        <f>IF(B51="","",IF(TRUNC(Y51,0)=0,0,ROUND(Y51,0)))</f>
        <v/>
      </c>
    </row>
    <row r="52" spans="1:26" ht="13.5" customHeight="1" thickBot="1" x14ac:dyDescent="0.25">
      <c r="A52" s="529"/>
      <c r="B52" s="529"/>
      <c r="C52" s="348"/>
      <c r="D52" s="337"/>
      <c r="E52" s="337"/>
      <c r="F52" s="337"/>
      <c r="G52" s="337"/>
      <c r="H52" s="337"/>
      <c r="I52" s="337"/>
      <c r="J52" s="352" t="str">
        <f>IF(OR(B51="",COUNT(C52:I52)=0),"",SUM(C52:I52))</f>
        <v/>
      </c>
      <c r="K52" s="337"/>
      <c r="L52" s="337"/>
      <c r="M52" s="350"/>
      <c r="N52" s="337"/>
      <c r="O52" s="351"/>
      <c r="P52" s="349" t="str">
        <f>IF(OR(B51="",COUNT(K52:O52)=0),"",SUM(K52:O52))</f>
        <v/>
      </c>
      <c r="Q52" s="342" t="str">
        <f>IF(OR(B51="",COUNT(C52:I52)+COUNT(K52:O52)=0),"",ROUND(SUM(P52,J52),0))</f>
        <v/>
      </c>
      <c r="R52" s="442" t="str">
        <f ca="1">IF(Q52="","",IF(AP!$E$42="BE",INDIRECT("AP!P"&amp;MATCH(100*Q52/AP!$E$44,AP!$Q$4:$Q$20,-1)+4),Q52))</f>
        <v/>
      </c>
      <c r="S52" s="531"/>
      <c r="T52" s="533"/>
      <c r="U52" s="535"/>
      <c r="V52" s="537"/>
      <c r="W52" s="525"/>
      <c r="X52" s="527"/>
      <c r="Y52" s="343" t="str">
        <f>IF(B51="","",ROUNDUP(AVERAGE(R52,R52,X51),2))</f>
        <v/>
      </c>
      <c r="Z52" s="344" t="str">
        <f>IF(B51="","",IF(TRUNC(Y52,0)=0,0,ROUND(Y52,0)))</f>
        <v/>
      </c>
    </row>
    <row r="53" spans="1:26" ht="12.75" customHeight="1" x14ac:dyDescent="0.2">
      <c r="A53" s="528">
        <v>22</v>
      </c>
      <c r="B53" s="528" t="str">
        <f>IF('1. Halbjahr'!B25&lt;&gt;"", '1. Halbjahr'!B25, "")</f>
        <v/>
      </c>
      <c r="C53" s="345"/>
      <c r="D53" s="325"/>
      <c r="E53" s="325"/>
      <c r="F53" s="325"/>
      <c r="G53" s="325"/>
      <c r="H53" s="325"/>
      <c r="I53" s="325"/>
      <c r="J53" s="327" t="str">
        <f>IF(OR(B53="",COUNT(C53:I53)=0),"",SUM(C53:I53))</f>
        <v/>
      </c>
      <c r="K53" s="328"/>
      <c r="L53" s="329"/>
      <c r="M53" s="328"/>
      <c r="N53" s="330"/>
      <c r="O53" s="329"/>
      <c r="P53" s="331" t="str">
        <f>IF(OR(B53="",COUNT(K53:O53)=0),"",SUM(K53:O53))</f>
        <v/>
      </c>
      <c r="Q53" s="332" t="str">
        <f>IF(OR(B53="",COUNT(C53:I53)+COUNT(K53:O53)=0),"",ROUND(SUM(P53,J53),0))</f>
        <v/>
      </c>
      <c r="R53" s="335" t="str">
        <f ca="1">IF(Q53="","",IF(AP!$E$42="BE",INDIRECT("AP!P"&amp;MATCH(100*Q53/AP!$E$44,AP!$Q$4:$Q$20,-1)+4),Q53))</f>
        <v/>
      </c>
      <c r="S53" s="530"/>
      <c r="T53" s="532"/>
      <c r="U53" s="534"/>
      <c r="V53" s="536" t="str">
        <f>IF(B53="","",SUM(S53:U53))</f>
        <v/>
      </c>
      <c r="W53" s="524" t="str">
        <f>IF(B53="","",IF(ISBLANK(S53),"",IF(AVERAGE(S53:U53)&lt;10,LEFT(AVERAGE(S53:U53),4),LEFT(AVERAGE(S53:U53),5))))</f>
        <v/>
      </c>
      <c r="X53" s="526" t="str">
        <f>IF(B53="","",IF(W53="","",IF(LEFT(W53,1)="0",0,ROUND(W53,0))))</f>
        <v/>
      </c>
      <c r="Y53" s="334" t="str">
        <f>IF(B53="","",ROUNDUP(AVERAGE(R53,R53,X53),2))</f>
        <v/>
      </c>
      <c r="Z53" s="335" t="str">
        <f>IF(B53="","",IF(TRUNC(Y53,0)=0,0,ROUND(Y53,0)))</f>
        <v/>
      </c>
    </row>
    <row r="54" spans="1:26" ht="13.5" customHeight="1" thickBot="1" x14ac:dyDescent="0.25">
      <c r="A54" s="529"/>
      <c r="B54" s="529"/>
      <c r="C54" s="348"/>
      <c r="D54" s="337"/>
      <c r="E54" s="337"/>
      <c r="F54" s="337"/>
      <c r="G54" s="337"/>
      <c r="H54" s="337"/>
      <c r="I54" s="337"/>
      <c r="J54" s="352" t="str">
        <f>IF(OR(B53="",COUNT(C54:I54)=0),"",SUM(C54:I54))</f>
        <v/>
      </c>
      <c r="K54" s="337"/>
      <c r="L54" s="337"/>
      <c r="M54" s="350"/>
      <c r="N54" s="337"/>
      <c r="O54" s="351"/>
      <c r="P54" s="349" t="str">
        <f>IF(OR(B53="",COUNT(K54:O54)=0),"",SUM(K54:O54))</f>
        <v/>
      </c>
      <c r="Q54" s="342" t="str">
        <f>IF(OR(B53="",COUNT(C54:I54)+COUNT(K54:O54)=0),"",ROUND(SUM(P54,J54),0))</f>
        <v/>
      </c>
      <c r="R54" s="355" t="str">
        <f ca="1">IF(Q54="","",IF(AP!$E$42="BE",INDIRECT("AP!P"&amp;MATCH(100*Q54/AP!$E$44,AP!$Q$4:$Q$20,-1)+4),Q54))</f>
        <v/>
      </c>
      <c r="S54" s="531"/>
      <c r="T54" s="533"/>
      <c r="U54" s="535"/>
      <c r="V54" s="537"/>
      <c r="W54" s="525"/>
      <c r="X54" s="527"/>
      <c r="Y54" s="343" t="str">
        <f>IF(B53="","",ROUNDUP(AVERAGE(R54,R54,X53),2))</f>
        <v/>
      </c>
      <c r="Z54" s="344" t="str">
        <f>IF(B53="","",IF(TRUNC(Y54,0)=0,0,ROUND(Y54,0)))</f>
        <v/>
      </c>
    </row>
    <row r="55" spans="1:26" ht="12.75" customHeight="1" x14ac:dyDescent="0.2">
      <c r="A55" s="528">
        <v>23</v>
      </c>
      <c r="B55" s="528" t="str">
        <f>IF('1. Halbjahr'!B26&lt;&gt;"", '1. Halbjahr'!B26, "")</f>
        <v/>
      </c>
      <c r="C55" s="345"/>
      <c r="D55" s="325"/>
      <c r="E55" s="325"/>
      <c r="F55" s="325"/>
      <c r="G55" s="325"/>
      <c r="H55" s="325"/>
      <c r="I55" s="325"/>
      <c r="J55" s="327" t="str">
        <f>IF(OR(B55="",COUNT(C55:I55)=0),"",SUM(C55:I55))</f>
        <v/>
      </c>
      <c r="K55" s="328"/>
      <c r="L55" s="329"/>
      <c r="M55" s="328"/>
      <c r="N55" s="330"/>
      <c r="O55" s="329"/>
      <c r="P55" s="331" t="str">
        <f>IF(OR(B55="",COUNT(K55:O55)=0),"",SUM(K55:O55))</f>
        <v/>
      </c>
      <c r="Q55" s="332" t="str">
        <f>IF(OR(B55="",COUNT(C55:I55)+COUNT(K55:O55)=0),"",ROUND(SUM(P55,J55),0))</f>
        <v/>
      </c>
      <c r="R55" s="333" t="str">
        <f ca="1">IF(Q55="","",IF(AP!$E$42="BE",INDIRECT("AP!P"&amp;MATCH(100*Q55/AP!$E$44,AP!$Q$4:$Q$20,-1)+4),Q55))</f>
        <v/>
      </c>
      <c r="S55" s="530"/>
      <c r="T55" s="532"/>
      <c r="U55" s="534"/>
      <c r="V55" s="536" t="str">
        <f>IF(B55="","",SUM(S55:U55))</f>
        <v/>
      </c>
      <c r="W55" s="524" t="str">
        <f>IF(B55="","",IF(ISBLANK(S55),"",IF(AVERAGE(S55:U55)&lt;10,LEFT(AVERAGE(S55:U55),4),LEFT(AVERAGE(S55:U55),5))))</f>
        <v/>
      </c>
      <c r="X55" s="526" t="str">
        <f>IF(B55="","",IF(W55="","",IF(LEFT(W55,1)="0",0,ROUND(W55,0))))</f>
        <v/>
      </c>
      <c r="Y55" s="334" t="str">
        <f>IF(B55="","",ROUNDUP(AVERAGE(R55,R55,X55),2))</f>
        <v/>
      </c>
      <c r="Z55" s="335" t="str">
        <f>IF(B55="","",IF(TRUNC(Y55,0)=0,0,ROUND(Y55,0)))</f>
        <v/>
      </c>
    </row>
    <row r="56" spans="1:26" ht="13.5" customHeight="1" thickBot="1" x14ac:dyDescent="0.25">
      <c r="A56" s="529"/>
      <c r="B56" s="529"/>
      <c r="C56" s="348"/>
      <c r="D56" s="337"/>
      <c r="E56" s="337"/>
      <c r="F56" s="337"/>
      <c r="G56" s="337"/>
      <c r="H56" s="337"/>
      <c r="I56" s="337"/>
      <c r="J56" s="352" t="str">
        <f>IF(OR(B55="",COUNT(C56:I56)=0),"",SUM(C56:I56))</f>
        <v/>
      </c>
      <c r="K56" s="337"/>
      <c r="L56" s="337"/>
      <c r="M56" s="350"/>
      <c r="N56" s="337"/>
      <c r="O56" s="351"/>
      <c r="P56" s="349" t="str">
        <f>IF(OR(B55="",COUNT(K56:O56)=0),"",SUM(K56:O56))</f>
        <v/>
      </c>
      <c r="Q56" s="342" t="str">
        <f>IF(OR(B55="",COUNT(C56:I56)+COUNT(K56:O56)=0),"",ROUND(SUM(P56,J56),0))</f>
        <v/>
      </c>
      <c r="R56" s="442" t="str">
        <f ca="1">IF(Q56="","",IF(AP!$E$42="BE",INDIRECT("AP!P"&amp;MATCH(100*Q56/AP!$E$44,AP!$Q$4:$Q$20,-1)+4),Q56))</f>
        <v/>
      </c>
      <c r="S56" s="531"/>
      <c r="T56" s="533"/>
      <c r="U56" s="535"/>
      <c r="V56" s="537"/>
      <c r="W56" s="525"/>
      <c r="X56" s="527"/>
      <c r="Y56" s="343" t="str">
        <f>IF(B55="","",ROUNDUP(AVERAGE(R56,R56,X55),2))</f>
        <v/>
      </c>
      <c r="Z56" s="344" t="str">
        <f>IF(B55="","",IF(TRUNC(Y56,0)=0,0,ROUND(Y56,0)))</f>
        <v/>
      </c>
    </row>
    <row r="57" spans="1:26" ht="12.75" customHeight="1" x14ac:dyDescent="0.2">
      <c r="A57" s="528">
        <v>24</v>
      </c>
      <c r="B57" s="528" t="str">
        <f>IF('1. Halbjahr'!B27&lt;&gt;"", '1. Halbjahr'!B27, "")</f>
        <v/>
      </c>
      <c r="C57" s="345"/>
      <c r="D57" s="325"/>
      <c r="E57" s="325"/>
      <c r="F57" s="325"/>
      <c r="G57" s="325"/>
      <c r="H57" s="325"/>
      <c r="I57" s="325"/>
      <c r="J57" s="327" t="str">
        <f>IF(OR(B57="",COUNT(C57:I57)=0),"",SUM(C57:I57))</f>
        <v/>
      </c>
      <c r="K57" s="328"/>
      <c r="L57" s="329"/>
      <c r="M57" s="328"/>
      <c r="N57" s="330"/>
      <c r="O57" s="329"/>
      <c r="P57" s="331" t="str">
        <f>IF(OR(B57="",COUNT(K57:O57)=0),"",SUM(K57:O57))</f>
        <v/>
      </c>
      <c r="Q57" s="332" t="str">
        <f>IF(OR(B57="",COUNT(C57:I57)+COUNT(K57:O57)=0),"",ROUND(SUM(P57,J57),0))</f>
        <v/>
      </c>
      <c r="R57" s="335" t="str">
        <f ca="1">IF(Q57="","",IF(AP!$E$42="BE",INDIRECT("AP!P"&amp;MATCH(100*Q57/AP!$E$44,AP!$Q$4:$Q$20,-1)+4),Q57))</f>
        <v/>
      </c>
      <c r="S57" s="530"/>
      <c r="T57" s="532"/>
      <c r="U57" s="534"/>
      <c r="V57" s="536" t="str">
        <f>IF(B57="","",SUM(S57:U57))</f>
        <v/>
      </c>
      <c r="W57" s="524" t="str">
        <f>IF(B57="","",IF(ISBLANK(S57),"",IF(AVERAGE(S57:U57)&lt;10,LEFT(AVERAGE(S57:U57),4),LEFT(AVERAGE(S57:U57),5))))</f>
        <v/>
      </c>
      <c r="X57" s="526" t="str">
        <f>IF(B57="","",IF(W57="","",IF(LEFT(W57,1)="0",0,ROUND(W57,0))))</f>
        <v/>
      </c>
      <c r="Y57" s="334" t="str">
        <f>IF(B57="","",ROUNDUP(AVERAGE(R57,R57,X57),2))</f>
        <v/>
      </c>
      <c r="Z57" s="335" t="str">
        <f>IF(B57="","",IF(TRUNC(Y57,0)=0,0,ROUND(Y57,0)))</f>
        <v/>
      </c>
    </row>
    <row r="58" spans="1:26" ht="13.5" customHeight="1" thickBot="1" x14ac:dyDescent="0.25">
      <c r="A58" s="529"/>
      <c r="B58" s="529"/>
      <c r="C58" s="348"/>
      <c r="D58" s="337"/>
      <c r="E58" s="337"/>
      <c r="F58" s="337"/>
      <c r="G58" s="337"/>
      <c r="H58" s="337"/>
      <c r="I58" s="337"/>
      <c r="J58" s="352" t="str">
        <f>IF(OR(B57="",COUNT(C58:I58)=0),"",SUM(C58:I58))</f>
        <v/>
      </c>
      <c r="K58" s="337"/>
      <c r="L58" s="337"/>
      <c r="M58" s="350"/>
      <c r="N58" s="337"/>
      <c r="O58" s="351"/>
      <c r="P58" s="349" t="str">
        <f>IF(OR(B57="",COUNT(K58:O58)=0),"",SUM(K58:O58))</f>
        <v/>
      </c>
      <c r="Q58" s="342" t="str">
        <f>IF(OR(B57="",COUNT(C58:I58)+COUNT(K58:O58)=0),"",ROUND(SUM(P58,J58),0))</f>
        <v/>
      </c>
      <c r="R58" s="355" t="str">
        <f ca="1">IF(Q58="","",IF(AP!$E$42="BE",INDIRECT("AP!P"&amp;MATCH(100*Q58/AP!$E$44,AP!$Q$4:$Q$20,-1)+4),Q58))</f>
        <v/>
      </c>
      <c r="S58" s="531"/>
      <c r="T58" s="533"/>
      <c r="U58" s="535"/>
      <c r="V58" s="537"/>
      <c r="W58" s="525"/>
      <c r="X58" s="527"/>
      <c r="Y58" s="343" t="str">
        <f>IF(B57="","",ROUNDUP(AVERAGE(R58,R58,X57),2))</f>
        <v/>
      </c>
      <c r="Z58" s="344" t="str">
        <f>IF(B57="","",IF(TRUNC(Y58,0)=0,0,ROUND(Y58,0)))</f>
        <v/>
      </c>
    </row>
    <row r="59" spans="1:26" ht="12.75" customHeight="1" x14ac:dyDescent="0.2">
      <c r="A59" s="528">
        <v>25</v>
      </c>
      <c r="B59" s="528" t="str">
        <f>IF('1. Halbjahr'!B28&lt;&gt;"", '1. Halbjahr'!B28, "")</f>
        <v/>
      </c>
      <c r="C59" s="345"/>
      <c r="D59" s="325"/>
      <c r="E59" s="325"/>
      <c r="F59" s="325"/>
      <c r="G59" s="325"/>
      <c r="H59" s="325"/>
      <c r="I59" s="325"/>
      <c r="J59" s="346" t="str">
        <f>IF(OR(B59="",COUNT(C59:I59)=0),"",SUM(C59:I59))</f>
        <v/>
      </c>
      <c r="K59" s="328"/>
      <c r="L59" s="329"/>
      <c r="M59" s="328"/>
      <c r="N59" s="330"/>
      <c r="O59" s="329"/>
      <c r="P59" s="331" t="str">
        <f>IF(OR(B59="",COUNT(K59:O59)=0),"",SUM(K59:O59))</f>
        <v/>
      </c>
      <c r="Q59" s="332" t="str">
        <f>IF(OR(B59="",COUNT(C59:I59)+COUNT(K59:O59)=0),"",ROUND(SUM(P59,J59),0))</f>
        <v/>
      </c>
      <c r="R59" s="333" t="str">
        <f ca="1">IF(Q59="","",IF(AP!$E$42="BE",INDIRECT("AP!P"&amp;MATCH(100*Q59/AP!$E$44,AP!$Q$4:$Q$20,-1)+4),Q59))</f>
        <v/>
      </c>
      <c r="S59" s="530"/>
      <c r="T59" s="532"/>
      <c r="U59" s="534"/>
      <c r="V59" s="536" t="str">
        <f>IF(B59="","",SUM(S59:U59))</f>
        <v/>
      </c>
      <c r="W59" s="524" t="str">
        <f>IF(B59="","",IF(ISBLANK(S59),"",IF(AVERAGE(S59:U59)&lt;10,LEFT(AVERAGE(S59:U59),4),LEFT(AVERAGE(S59:U59),5))))</f>
        <v/>
      </c>
      <c r="X59" s="526" t="str">
        <f>IF(B59="","",IF(W59="","",IF(LEFT(W59,1)="0",0,ROUND(W59,0))))</f>
        <v/>
      </c>
      <c r="Y59" s="334" t="str">
        <f>IF(B59="","",ROUNDUP(AVERAGE(R59,R59,X59),2))</f>
        <v/>
      </c>
      <c r="Z59" s="335" t="str">
        <f>IF(B59="","",IF(TRUNC(Y59,0)=0,0,ROUND(Y59,0)))</f>
        <v/>
      </c>
    </row>
    <row r="60" spans="1:26" ht="13.5" customHeight="1" thickBot="1" x14ac:dyDescent="0.25">
      <c r="A60" s="529"/>
      <c r="B60" s="529"/>
      <c r="C60" s="348"/>
      <c r="D60" s="337"/>
      <c r="E60" s="337"/>
      <c r="F60" s="337"/>
      <c r="G60" s="337"/>
      <c r="H60" s="337"/>
      <c r="I60" s="337"/>
      <c r="J60" s="349" t="str">
        <f>IF(OR(B59="",COUNT(C60:I60)=0),"",SUM(C60:I60))</f>
        <v/>
      </c>
      <c r="K60" s="337"/>
      <c r="L60" s="337"/>
      <c r="M60" s="350"/>
      <c r="N60" s="337"/>
      <c r="O60" s="351"/>
      <c r="P60" s="349" t="str">
        <f>IF(OR(B59="",COUNT(K60:O60)=0),"",SUM(K60:O60))</f>
        <v/>
      </c>
      <c r="Q60" s="342" t="str">
        <f>IF(OR(B59="",COUNT(C60:I60)+COUNT(K60:O60)=0),"",ROUND(SUM(P60,J60),0))</f>
        <v/>
      </c>
      <c r="R60" s="442" t="str">
        <f ca="1">IF(Q60="","",IF(AP!$E$42="BE",INDIRECT("AP!P"&amp;MATCH(100*Q60/AP!$E$44,AP!$Q$4:$Q$20,-1)+4),Q60))</f>
        <v/>
      </c>
      <c r="S60" s="531"/>
      <c r="T60" s="533"/>
      <c r="U60" s="535"/>
      <c r="V60" s="537"/>
      <c r="W60" s="525"/>
      <c r="X60" s="527"/>
      <c r="Y60" s="343" t="str">
        <f>IF(B59="","",ROUNDUP(AVERAGE(R60,R60,X59),2))</f>
        <v/>
      </c>
      <c r="Z60" s="344" t="str">
        <f>IF(B59="","",IF(TRUNC(Y60,0)=0,0,ROUND(Y60,0)))</f>
        <v/>
      </c>
    </row>
    <row r="61" spans="1:26" ht="12.75" customHeight="1" x14ac:dyDescent="0.2">
      <c r="A61" s="528">
        <v>26</v>
      </c>
      <c r="B61" s="528" t="str">
        <f>IF('1. Halbjahr'!B29&lt;&gt;"", '1. Halbjahr'!B29, "")</f>
        <v/>
      </c>
      <c r="C61" s="345"/>
      <c r="D61" s="325"/>
      <c r="E61" s="325"/>
      <c r="F61" s="325"/>
      <c r="G61" s="325"/>
      <c r="H61" s="325"/>
      <c r="I61" s="325"/>
      <c r="J61" s="346" t="str">
        <f>IF(OR(B61="",COUNT(C61:I61)=0),"",SUM(C61:I61))</f>
        <v/>
      </c>
      <c r="K61" s="328"/>
      <c r="L61" s="329"/>
      <c r="M61" s="328"/>
      <c r="N61" s="330"/>
      <c r="O61" s="329"/>
      <c r="P61" s="331" t="str">
        <f>IF(OR(B61="",COUNT(K61:O61)=0),"",SUM(K61:O61))</f>
        <v/>
      </c>
      <c r="Q61" s="332" t="str">
        <f>IF(OR(B61="",COUNT(C61:I61)+COUNT(K61:O61)=0),"",ROUND(SUM(P61,J61),0))</f>
        <v/>
      </c>
      <c r="R61" s="335" t="str">
        <f ca="1">IF(Q61="","",IF(AP!$E$42="BE",INDIRECT("AP!P"&amp;MATCH(100*Q61/AP!$E$44,AP!$Q$4:$Q$20,-1)+4),Q61))</f>
        <v/>
      </c>
      <c r="S61" s="530"/>
      <c r="T61" s="532"/>
      <c r="U61" s="534"/>
      <c r="V61" s="536" t="str">
        <f>IF(B61="","",SUM(S61:U61))</f>
        <v/>
      </c>
      <c r="W61" s="524" t="str">
        <f>IF(B61="","",IF(ISBLANK(S61),"",IF(AVERAGE(S61:U61)&lt;10,LEFT(AVERAGE(S61:U61),4),LEFT(AVERAGE(S61:U61),5))))</f>
        <v/>
      </c>
      <c r="X61" s="526" t="str">
        <f>IF(B61="","",IF(W61="","",IF(LEFT(W61,1)="0",0,ROUND(W61,0))))</f>
        <v/>
      </c>
      <c r="Y61" s="334" t="str">
        <f>IF(B61="","",ROUNDUP(AVERAGE(R61,R61,X61),2))</f>
        <v/>
      </c>
      <c r="Z61" s="335" t="str">
        <f>IF(B61="","",IF(TRUNC(Y61,0)=0,0,ROUND(Y61,0)))</f>
        <v/>
      </c>
    </row>
    <row r="62" spans="1:26" ht="13.5" customHeight="1" thickBot="1" x14ac:dyDescent="0.25">
      <c r="A62" s="529"/>
      <c r="B62" s="529"/>
      <c r="C62" s="348"/>
      <c r="D62" s="337"/>
      <c r="E62" s="337"/>
      <c r="F62" s="337"/>
      <c r="G62" s="337"/>
      <c r="H62" s="337"/>
      <c r="I62" s="337"/>
      <c r="J62" s="349" t="str">
        <f>IF(OR(B61="",COUNT(C62:I62)=0),"",SUM(C62:I62))</f>
        <v/>
      </c>
      <c r="K62" s="337"/>
      <c r="L62" s="337"/>
      <c r="M62" s="350"/>
      <c r="N62" s="337"/>
      <c r="O62" s="351"/>
      <c r="P62" s="349" t="str">
        <f>IF(OR(B61="",COUNT(K62:O62)=0),"",SUM(K62:O62))</f>
        <v/>
      </c>
      <c r="Q62" s="342" t="str">
        <f>IF(OR(B61="",COUNT(C62:I62)+COUNT(K62:O62)=0),"",ROUND(SUM(P62,J62),0))</f>
        <v/>
      </c>
      <c r="R62" s="442" t="str">
        <f ca="1">IF(Q62="","",IF(AP!$E$42="BE",INDIRECT("AP!P"&amp;MATCH(100*Q62/AP!$E$44,AP!$Q$4:$Q$20,-1)+4),Q62))</f>
        <v/>
      </c>
      <c r="S62" s="531"/>
      <c r="T62" s="533"/>
      <c r="U62" s="535"/>
      <c r="V62" s="537"/>
      <c r="W62" s="525"/>
      <c r="X62" s="527"/>
      <c r="Y62" s="343" t="str">
        <f>IF(B61="","",ROUNDUP(AVERAGE(R62,R62,X61),2))</f>
        <v/>
      </c>
      <c r="Z62" s="344" t="str">
        <f>IF(B61="","",IF(TRUNC(Y62,0)=0,0,ROUND(Y62,0)))</f>
        <v/>
      </c>
    </row>
    <row r="63" spans="1:26" ht="12.75" customHeight="1" x14ac:dyDescent="0.2">
      <c r="A63" s="528">
        <v>27</v>
      </c>
      <c r="B63" s="528" t="str">
        <f>IF('1. Halbjahr'!B30&lt;&gt;"", '1. Halbjahr'!B30, "")</f>
        <v/>
      </c>
      <c r="C63" s="345"/>
      <c r="D63" s="325"/>
      <c r="E63" s="325"/>
      <c r="F63" s="325"/>
      <c r="G63" s="325"/>
      <c r="H63" s="325"/>
      <c r="I63" s="325"/>
      <c r="J63" s="346" t="str">
        <f>IF(OR(B63="",COUNT(C63:I63)=0),"",SUM(C63:I63))</f>
        <v/>
      </c>
      <c r="K63" s="328"/>
      <c r="L63" s="329"/>
      <c r="M63" s="328"/>
      <c r="N63" s="330"/>
      <c r="O63" s="329"/>
      <c r="P63" s="331" t="str">
        <f>IF(OR(B63="",COUNT(K63:O63)=0),"",SUM(K63:O63))</f>
        <v/>
      </c>
      <c r="Q63" s="332" t="str">
        <f>IF(OR(B63="",COUNT(C63:I63)+COUNT(K63:O63)=0),"",ROUND(SUM(P63,J63),0))</f>
        <v/>
      </c>
      <c r="R63" s="335" t="str">
        <f ca="1">IF(Q63="","",IF(AP!$E$42="BE",INDIRECT("AP!P"&amp;MATCH(100*Q63/AP!$E$44,AP!$Q$4:$Q$20,-1)+4),Q63))</f>
        <v/>
      </c>
      <c r="S63" s="530"/>
      <c r="T63" s="532"/>
      <c r="U63" s="534"/>
      <c r="V63" s="536" t="str">
        <f>IF(B63="","",SUM(S63:U63))</f>
        <v/>
      </c>
      <c r="W63" s="524" t="str">
        <f>IF(B63="","",IF(ISBLANK(S63),"",IF(AVERAGE(S63:U63)&lt;10,LEFT(AVERAGE(S63:U63),4),LEFT(AVERAGE(S63:U63),5))))</f>
        <v/>
      </c>
      <c r="X63" s="526" t="str">
        <f>IF(B63="","",IF(W63="","",IF(LEFT(W63,1)="0",0,ROUND(W63,0))))</f>
        <v/>
      </c>
      <c r="Y63" s="334" t="str">
        <f>IF(B63="","",ROUNDUP(AVERAGE(R63,R63,X63),2))</f>
        <v/>
      </c>
      <c r="Z63" s="335" t="str">
        <f>IF(B63="","",IF(TRUNC(Y63,0)=0,0,ROUND(Y63,0)))</f>
        <v/>
      </c>
    </row>
    <row r="64" spans="1:26" ht="13.5" customHeight="1" thickBot="1" x14ac:dyDescent="0.25">
      <c r="A64" s="529"/>
      <c r="B64" s="529"/>
      <c r="C64" s="348"/>
      <c r="D64" s="337"/>
      <c r="E64" s="337"/>
      <c r="F64" s="337"/>
      <c r="G64" s="337"/>
      <c r="H64" s="337"/>
      <c r="I64" s="337"/>
      <c r="J64" s="349" t="str">
        <f>IF(OR(B63="",COUNT(C64:I64)=0),"",SUM(C64:I64))</f>
        <v/>
      </c>
      <c r="K64" s="337"/>
      <c r="L64" s="337"/>
      <c r="M64" s="350"/>
      <c r="N64" s="337"/>
      <c r="O64" s="351"/>
      <c r="P64" s="349" t="str">
        <f>IF(OR(B63="",COUNT(K64:O64)=0),"",SUM(K64:O64))</f>
        <v/>
      </c>
      <c r="Q64" s="342" t="str">
        <f>IF(OR(B63="",COUNT(C64:I64)+COUNT(K64:O64)=0),"",ROUND(SUM(P64,J64),0))</f>
        <v/>
      </c>
      <c r="R64" s="355" t="str">
        <f ca="1">IF(Q64="","",IF(AP!$E$42="BE",INDIRECT("AP!P"&amp;MATCH(100*Q64/AP!$E$44,AP!$Q$4:$Q$20,-1)+4),Q64))</f>
        <v/>
      </c>
      <c r="S64" s="531"/>
      <c r="T64" s="533"/>
      <c r="U64" s="535"/>
      <c r="V64" s="537"/>
      <c r="W64" s="525"/>
      <c r="X64" s="527"/>
      <c r="Y64" s="343" t="str">
        <f>IF(B63="","",ROUNDUP(AVERAGE(R64,R64,X63),2))</f>
        <v/>
      </c>
      <c r="Z64" s="344" t="str">
        <f>IF(B63="","",IF(TRUNC(Y64,0)=0,0,ROUND(Y64,0)))</f>
        <v/>
      </c>
    </row>
    <row r="65" spans="1:26" ht="12.75" customHeight="1" x14ac:dyDescent="0.2">
      <c r="A65" s="528">
        <v>28</v>
      </c>
      <c r="B65" s="528" t="str">
        <f>IF('1. Halbjahr'!B31&lt;&gt;"", '1. Halbjahr'!B31, "")</f>
        <v/>
      </c>
      <c r="C65" s="345"/>
      <c r="D65" s="325"/>
      <c r="E65" s="325"/>
      <c r="F65" s="325"/>
      <c r="G65" s="325"/>
      <c r="H65" s="325"/>
      <c r="I65" s="325"/>
      <c r="J65" s="346" t="str">
        <f>IF(OR(B65="",COUNT(C65:I65)=0),"",SUM(C65:I65))</f>
        <v/>
      </c>
      <c r="K65" s="328"/>
      <c r="L65" s="329"/>
      <c r="M65" s="328"/>
      <c r="N65" s="330"/>
      <c r="O65" s="329"/>
      <c r="P65" s="331" t="str">
        <f>IF(OR(B65="",COUNT(K65:O65)=0),"",SUM(K65:O65))</f>
        <v/>
      </c>
      <c r="Q65" s="332" t="str">
        <f>IF(OR(B65="",COUNT(C65:I65)+COUNT(K65:O65)=0),"",ROUND(SUM(P65,J65),0))</f>
        <v/>
      </c>
      <c r="R65" s="333" t="str">
        <f ca="1">IF(Q65="","",IF(AP!$E$42="BE",INDIRECT("AP!P"&amp;MATCH(100*Q65/AP!$E$44,AP!$Q$4:$Q$20,-1)+4),Q65))</f>
        <v/>
      </c>
      <c r="S65" s="530"/>
      <c r="T65" s="532"/>
      <c r="U65" s="534"/>
      <c r="V65" s="536" t="str">
        <f>IF(B65="","",SUM(S65:U65))</f>
        <v/>
      </c>
      <c r="W65" s="524" t="str">
        <f>IF(B65="","",IF(ISBLANK(S65),"",IF(AVERAGE(S65:U65)&lt;10,LEFT(AVERAGE(S65:U65),4),LEFT(AVERAGE(S65:U65),5))))</f>
        <v/>
      </c>
      <c r="X65" s="526" t="str">
        <f>IF(B65="","",IF(W65="","",IF(LEFT(W65,1)="0",0,ROUND(W65,0))))</f>
        <v/>
      </c>
      <c r="Y65" s="334" t="str">
        <f>IF(B65="","",ROUNDUP(AVERAGE(R65,R65,X65),2))</f>
        <v/>
      </c>
      <c r="Z65" s="335" t="str">
        <f>IF(B65="","",IF(TRUNC(Y65,0)=0,0,ROUND(Y65,0)))</f>
        <v/>
      </c>
    </row>
    <row r="66" spans="1:26" ht="13.5" customHeight="1" thickBot="1" x14ac:dyDescent="0.25">
      <c r="A66" s="529"/>
      <c r="B66" s="529"/>
      <c r="C66" s="348"/>
      <c r="D66" s="337"/>
      <c r="E66" s="337"/>
      <c r="F66" s="337"/>
      <c r="G66" s="337"/>
      <c r="H66" s="337"/>
      <c r="I66" s="337"/>
      <c r="J66" s="349" t="str">
        <f>IF(OR(B65="",COUNT(C66:I66)=0),"",SUM(C66:I66))</f>
        <v/>
      </c>
      <c r="K66" s="337"/>
      <c r="L66" s="337"/>
      <c r="M66" s="350"/>
      <c r="N66" s="337"/>
      <c r="O66" s="351"/>
      <c r="P66" s="349" t="str">
        <f>IF(OR(B65="",COUNT(K66:O66)=0),"",SUM(K66:O66))</f>
        <v/>
      </c>
      <c r="Q66" s="342" t="str">
        <f>IF(OR(B65="",COUNT(C66:I66)+COUNT(K66:O66)=0),"",ROUND(SUM(P66,J66),0))</f>
        <v/>
      </c>
      <c r="R66" s="355" t="str">
        <f ca="1">IF(Q66="","",IF(AP!$E$42="BE",INDIRECT("AP!P"&amp;MATCH(100*Q66/AP!$E$44,AP!$Q$4:$Q$20,-1)+4),Q66))</f>
        <v/>
      </c>
      <c r="S66" s="531"/>
      <c r="T66" s="533"/>
      <c r="U66" s="535"/>
      <c r="V66" s="537"/>
      <c r="W66" s="525"/>
      <c r="X66" s="527"/>
      <c r="Y66" s="343" t="str">
        <f>IF(B65="","",ROUNDUP(AVERAGE(R66,R66,X65),2))</f>
        <v/>
      </c>
      <c r="Z66" s="344" t="str">
        <f>IF(B65="","",IF(TRUNC(Y66,0)=0,0,ROUND(Y66,0)))</f>
        <v/>
      </c>
    </row>
    <row r="67" spans="1:26" ht="12.75" customHeight="1" x14ac:dyDescent="0.2">
      <c r="A67" s="528">
        <v>29</v>
      </c>
      <c r="B67" s="528" t="str">
        <f>IF('1. Halbjahr'!B32&lt;&gt;"", '1. Halbjahr'!B32, "")</f>
        <v/>
      </c>
      <c r="C67" s="345"/>
      <c r="D67" s="325"/>
      <c r="E67" s="325"/>
      <c r="F67" s="325"/>
      <c r="G67" s="325"/>
      <c r="H67" s="325"/>
      <c r="I67" s="325"/>
      <c r="J67" s="346" t="str">
        <f>IF(OR(B67="",COUNT(C67:I67)=0),"",SUM(C67:I67))</f>
        <v/>
      </c>
      <c r="K67" s="328"/>
      <c r="L67" s="329"/>
      <c r="M67" s="328"/>
      <c r="N67" s="330"/>
      <c r="O67" s="329"/>
      <c r="P67" s="331" t="str">
        <f>IF(OR(B67="",COUNT(K67:O67)=0),"",SUM(K67:O67))</f>
        <v/>
      </c>
      <c r="Q67" s="332" t="str">
        <f>IF(OR(B67="",COUNT(C67:I67)+COUNT(K67:O67)=0),"",ROUND(SUM(P67,J67),0))</f>
        <v/>
      </c>
      <c r="R67" s="333" t="str">
        <f ca="1">IF(Q67="","",IF(AP!$E$42="BE",INDIRECT("AP!P"&amp;MATCH(100*Q67/AP!$E$44,AP!$Q$4:$Q$20,-1)+4),Q67))</f>
        <v/>
      </c>
      <c r="S67" s="530"/>
      <c r="T67" s="532"/>
      <c r="U67" s="534"/>
      <c r="V67" s="536" t="str">
        <f>IF(B67="","",SUM(S67:U67))</f>
        <v/>
      </c>
      <c r="W67" s="524" t="str">
        <f>IF(B67="","",IF(ISBLANK(S67),"",IF(AVERAGE(S67:U67)&lt;10,LEFT(AVERAGE(S67:U67),4),LEFT(AVERAGE(S67:U67),5))))</f>
        <v/>
      </c>
      <c r="X67" s="526" t="str">
        <f>IF(B67="","",IF(W67="","",IF(LEFT(W67,1)="0",0,ROUND(W67,0))))</f>
        <v/>
      </c>
      <c r="Y67" s="334" t="str">
        <f>IF(B67="","",ROUNDUP(AVERAGE(R67,R67,X67),2))</f>
        <v/>
      </c>
      <c r="Z67" s="335" t="str">
        <f>IF(B67="","",IF(TRUNC(Y67,0)=0,0,ROUND(Y67,0)))</f>
        <v/>
      </c>
    </row>
    <row r="68" spans="1:26" ht="13.5" customHeight="1" thickBot="1" x14ac:dyDescent="0.25">
      <c r="A68" s="529"/>
      <c r="B68" s="529"/>
      <c r="C68" s="348"/>
      <c r="D68" s="337"/>
      <c r="E68" s="337"/>
      <c r="F68" s="337"/>
      <c r="G68" s="337"/>
      <c r="H68" s="337"/>
      <c r="I68" s="337"/>
      <c r="J68" s="349" t="str">
        <f>IF(OR(B67="",COUNT(C68:I68)=0),"",SUM(C68:I68))</f>
        <v/>
      </c>
      <c r="K68" s="337"/>
      <c r="L68" s="337"/>
      <c r="M68" s="350"/>
      <c r="N68" s="337"/>
      <c r="O68" s="351"/>
      <c r="P68" s="349" t="str">
        <f>IF(OR(B67="",COUNT(K68:O68)=0),"",SUM(K68:O68))</f>
        <v/>
      </c>
      <c r="Q68" s="342" t="str">
        <f>IF(OR(B67="",COUNT(C68:I68)+COUNT(K68:O68)=0),"",ROUND(SUM(P68,J68),0))</f>
        <v/>
      </c>
      <c r="R68" s="442" t="str">
        <f ca="1">IF(Q68="","",IF(AP!$E$42="BE",INDIRECT("AP!P"&amp;MATCH(100*Q68/AP!$E$44,AP!$Q$4:$Q$20,-1)+4),Q68))</f>
        <v/>
      </c>
      <c r="S68" s="531"/>
      <c r="T68" s="533"/>
      <c r="U68" s="535"/>
      <c r="V68" s="537"/>
      <c r="W68" s="525"/>
      <c r="X68" s="527"/>
      <c r="Y68" s="343" t="str">
        <f>IF(B67="","",ROUNDUP(AVERAGE(R68,R68,X67),2))</f>
        <v/>
      </c>
      <c r="Z68" s="344" t="str">
        <f>IF(B67="","",IF(TRUNC(Y68,0)=0,0,ROUND(Y68,0)))</f>
        <v/>
      </c>
    </row>
    <row r="69" spans="1:26" ht="12.75" customHeight="1" x14ac:dyDescent="0.2">
      <c r="A69" s="528">
        <v>30</v>
      </c>
      <c r="B69" s="528" t="str">
        <f>IF('1. Halbjahr'!B33&lt;&gt;"", '1. Halbjahr'!B33, "")</f>
        <v/>
      </c>
      <c r="C69" s="345"/>
      <c r="D69" s="325"/>
      <c r="E69" s="325"/>
      <c r="F69" s="325"/>
      <c r="G69" s="325"/>
      <c r="H69" s="325"/>
      <c r="I69" s="325"/>
      <c r="J69" s="346" t="str">
        <f>IF(OR(B69="",COUNT(C69:I69)=0),"",SUM(C69:I69))</f>
        <v/>
      </c>
      <c r="K69" s="328"/>
      <c r="L69" s="329"/>
      <c r="M69" s="328"/>
      <c r="N69" s="330"/>
      <c r="O69" s="329"/>
      <c r="P69" s="331" t="str">
        <f>IF(OR(B69="",COUNT(K69:O69)=0),"",SUM(K69:O69))</f>
        <v/>
      </c>
      <c r="Q69" s="332" t="str">
        <f>IF(OR(B69="",COUNT(C69:I69)+COUNT(K69:O69)=0),"",ROUND(SUM(P69,J69),0))</f>
        <v/>
      </c>
      <c r="R69" s="335" t="str">
        <f ca="1">IF(Q69="","",IF(AP!$E$42="BE",INDIRECT("AP!P"&amp;MATCH(100*Q69/AP!$E$44,AP!$Q$4:$Q$20,-1)+4),Q69))</f>
        <v/>
      </c>
      <c r="S69" s="530"/>
      <c r="T69" s="532"/>
      <c r="U69" s="534"/>
      <c r="V69" s="536" t="str">
        <f>IF(B69="","",SUM(S69:U69))</f>
        <v/>
      </c>
      <c r="W69" s="524" t="str">
        <f>IF(B69="","",IF(ISBLANK(S69),"",IF(AVERAGE(S69:U69)&lt;10,LEFT(AVERAGE(S69:U69),4),LEFT(AVERAGE(S69:U69),5))))</f>
        <v/>
      </c>
      <c r="X69" s="526" t="str">
        <f>IF(B69="","",IF(W69="","",IF(LEFT(W69,1)="0",0,ROUND(W69,0))))</f>
        <v/>
      </c>
      <c r="Y69" s="334" t="str">
        <f>IF(B69="","",ROUNDUP(AVERAGE(R69,R69,X69),2))</f>
        <v/>
      </c>
      <c r="Z69" s="335" t="str">
        <f>IF(B69="","",IF(TRUNC(Y69,0)=0,0,ROUND(Y69,0)))</f>
        <v/>
      </c>
    </row>
    <row r="70" spans="1:26" ht="13.5" customHeight="1" thickBot="1" x14ac:dyDescent="0.25">
      <c r="A70" s="529"/>
      <c r="B70" s="529"/>
      <c r="C70" s="348"/>
      <c r="D70" s="337"/>
      <c r="E70" s="337"/>
      <c r="F70" s="337"/>
      <c r="G70" s="337"/>
      <c r="H70" s="337"/>
      <c r="I70" s="337"/>
      <c r="J70" s="349" t="str">
        <f>IF(OR(B69="",COUNT(C70:I70)=0),"",SUM(C70:I70))</f>
        <v/>
      </c>
      <c r="K70" s="337"/>
      <c r="L70" s="337"/>
      <c r="M70" s="350"/>
      <c r="N70" s="337"/>
      <c r="O70" s="351"/>
      <c r="P70" s="349" t="str">
        <f>IF(OR(B69="",COUNT(K70:O70)=0),"",SUM(K70:O70))</f>
        <v/>
      </c>
      <c r="Q70" s="342" t="str">
        <f>IF(OR(B69="",COUNT(C70:I70)+COUNT(K70:O70)=0),"",ROUND(SUM(P70,J70),0))</f>
        <v/>
      </c>
      <c r="R70" s="355" t="str">
        <f ca="1">IF(Q70="","",IF(AP!$E$42="BE",INDIRECT("AP!P"&amp;MATCH(100*Q70/AP!$E$44,AP!$Q$4:$Q$20,-1)+4),Q70))</f>
        <v/>
      </c>
      <c r="S70" s="531"/>
      <c r="T70" s="533"/>
      <c r="U70" s="535"/>
      <c r="V70" s="537"/>
      <c r="W70" s="525"/>
      <c r="X70" s="527"/>
      <c r="Y70" s="343" t="str">
        <f>IF(B69="","",ROUNDUP(AVERAGE(R70,R70,X69),2))</f>
        <v/>
      </c>
      <c r="Z70" s="344" t="str">
        <f>IF(B69="","",IF(TRUNC(Y70,0)=0,0,ROUND(Y70,0)))</f>
        <v/>
      </c>
    </row>
    <row r="71" spans="1:26" ht="12.75" customHeight="1" x14ac:dyDescent="0.2">
      <c r="A71" s="528">
        <v>31</v>
      </c>
      <c r="B71" s="528" t="str">
        <f>IF('1. Halbjahr'!B34&lt;&gt;"", '1. Halbjahr'!B34, "")</f>
        <v/>
      </c>
      <c r="C71" s="345"/>
      <c r="D71" s="325"/>
      <c r="E71" s="325"/>
      <c r="F71" s="325"/>
      <c r="G71" s="325"/>
      <c r="H71" s="325"/>
      <c r="I71" s="325"/>
      <c r="J71" s="327" t="str">
        <f>IF(OR(B71="",COUNT(C71:I71)=0),"",SUM(C71:I71))</f>
        <v/>
      </c>
      <c r="K71" s="328"/>
      <c r="L71" s="329"/>
      <c r="M71" s="328"/>
      <c r="N71" s="330"/>
      <c r="O71" s="329"/>
      <c r="P71" s="331" t="str">
        <f>IF(OR(B71="",COUNT(K71:O71)=0),"",SUM(K71:O71))</f>
        <v/>
      </c>
      <c r="Q71" s="332" t="str">
        <f>IF(OR(B71="",COUNT(C71:I71)+COUNT(K71:O71)=0),"",ROUND(SUM(P71,J71),0))</f>
        <v/>
      </c>
      <c r="R71" s="333" t="str">
        <f ca="1">IF(Q71="","",IF(AP!$E$42="BE",INDIRECT("AP!P"&amp;MATCH(100*Q71/AP!$E$44,AP!$Q$4:$Q$20,-1)+4),Q71))</f>
        <v/>
      </c>
      <c r="S71" s="530"/>
      <c r="T71" s="532"/>
      <c r="U71" s="534"/>
      <c r="V71" s="536" t="str">
        <f>IF(B71="","",SUM(S71:U71))</f>
        <v/>
      </c>
      <c r="W71" s="524" t="str">
        <f>IF(B71="","",IF(ISBLANK(S71),"",IF(AVERAGE(S71:U71)&lt;10,LEFT(AVERAGE(S71:U71),4),LEFT(AVERAGE(S71:U71),5))))</f>
        <v/>
      </c>
      <c r="X71" s="526" t="str">
        <f>IF(B71="","",IF(W71="","",IF(LEFT(W71,1)="0",0,ROUND(W71,0))))</f>
        <v/>
      </c>
      <c r="Y71" s="334" t="str">
        <f>IF(B71="","",ROUNDUP(AVERAGE(R71,R71,X71),2))</f>
        <v/>
      </c>
      <c r="Z71" s="335" t="str">
        <f>IF(B71="","",IF(TRUNC(Y71,0)=0,0,ROUND(Y71,0)))</f>
        <v/>
      </c>
    </row>
    <row r="72" spans="1:26" ht="13.5" customHeight="1" thickBot="1" x14ac:dyDescent="0.25">
      <c r="A72" s="529"/>
      <c r="B72" s="529"/>
      <c r="C72" s="348"/>
      <c r="D72" s="337"/>
      <c r="E72" s="337"/>
      <c r="F72" s="337"/>
      <c r="G72" s="337"/>
      <c r="H72" s="337"/>
      <c r="I72" s="337"/>
      <c r="J72" s="352" t="str">
        <f>IF(OR(B71="",COUNT(C72:I72)=0),"",SUM(C72:I72))</f>
        <v/>
      </c>
      <c r="K72" s="337"/>
      <c r="L72" s="337"/>
      <c r="M72" s="350"/>
      <c r="N72" s="337"/>
      <c r="O72" s="351"/>
      <c r="P72" s="349" t="str">
        <f>IF(OR(B71="",COUNT(K72:O72)=0),"",SUM(K72:O72))</f>
        <v/>
      </c>
      <c r="Q72" s="342" t="str">
        <f>IF(OR(B71="",COUNT(C72:I72)+COUNT(K72:O72)=0),"",ROUND(SUM(P72,J72),0))</f>
        <v/>
      </c>
      <c r="R72" s="442" t="str">
        <f ca="1">IF(Q72="","",IF(AP!$E$42="BE",INDIRECT("AP!P"&amp;MATCH(100*Q72/AP!$E$44,AP!$Q$4:$Q$20,-1)+4),Q72))</f>
        <v/>
      </c>
      <c r="S72" s="531"/>
      <c r="T72" s="533"/>
      <c r="U72" s="535"/>
      <c r="V72" s="537"/>
      <c r="W72" s="525"/>
      <c r="X72" s="527"/>
      <c r="Y72" s="343" t="str">
        <f>IF(B71="","",ROUNDUP(AVERAGE(R72,R72,X71),2))</f>
        <v/>
      </c>
      <c r="Z72" s="344" t="str">
        <f>IF(B71="","",IF(TRUNC(Y72,0)=0,0,ROUND(Y72,0)))</f>
        <v/>
      </c>
    </row>
    <row r="73" spans="1:26" ht="12.75" customHeight="1" x14ac:dyDescent="0.2">
      <c r="A73" s="528">
        <v>32</v>
      </c>
      <c r="B73" s="528" t="str">
        <f>IF('1. Halbjahr'!B35&lt;&gt;"", '1. Halbjahr'!B35, "")</f>
        <v/>
      </c>
      <c r="C73" s="345"/>
      <c r="D73" s="325"/>
      <c r="E73" s="325"/>
      <c r="F73" s="325"/>
      <c r="G73" s="325"/>
      <c r="H73" s="325"/>
      <c r="I73" s="325"/>
      <c r="J73" s="327" t="str">
        <f>IF(OR(B73="",COUNT(C73:I73)=0),"",SUM(C73:I73))</f>
        <v/>
      </c>
      <c r="K73" s="328"/>
      <c r="L73" s="329"/>
      <c r="M73" s="328"/>
      <c r="N73" s="330"/>
      <c r="O73" s="329"/>
      <c r="P73" s="331" t="str">
        <f>IF(OR(B73="",COUNT(K73:O73)=0),"",SUM(K73:O73))</f>
        <v/>
      </c>
      <c r="Q73" s="332" t="str">
        <f>IF(OR(B73="",COUNT(C73:I73)+COUNT(K73:O73)=0),"",ROUND(SUM(P73,J73),0))</f>
        <v/>
      </c>
      <c r="R73" s="335" t="str">
        <f ca="1">IF(Q73="","",IF(AP!$E$42="BE",INDIRECT("AP!P"&amp;MATCH(100*Q73/AP!$E$44,AP!$Q$4:$Q$20,-1)+4),Q73))</f>
        <v/>
      </c>
      <c r="S73" s="530"/>
      <c r="T73" s="532"/>
      <c r="U73" s="534"/>
      <c r="V73" s="536" t="str">
        <f>IF(B73="","",SUM(S73:U73))</f>
        <v/>
      </c>
      <c r="W73" s="524" t="str">
        <f>IF(B73="","",IF(ISBLANK(S73),"",IF(AVERAGE(S73:U73)&lt;10,LEFT(AVERAGE(S73:U73),4),LEFT(AVERAGE(S73:U73),5))))</f>
        <v/>
      </c>
      <c r="X73" s="526" t="str">
        <f>IF(B73="","",IF(W73="","",IF(LEFT(W73,1)="0",0,ROUND(W73,0))))</f>
        <v/>
      </c>
      <c r="Y73" s="334" t="str">
        <f>IF(B73="","",ROUNDUP(AVERAGE(R73,R73,X73),2))</f>
        <v/>
      </c>
      <c r="Z73" s="335" t="str">
        <f>IF(B73="","",IF(TRUNC(Y73,0)=0,0,ROUND(Y73,0)))</f>
        <v/>
      </c>
    </row>
    <row r="74" spans="1:26" ht="13.5" customHeight="1" thickBot="1" x14ac:dyDescent="0.25">
      <c r="A74" s="529"/>
      <c r="B74" s="529"/>
      <c r="C74" s="348"/>
      <c r="D74" s="337"/>
      <c r="E74" s="337"/>
      <c r="F74" s="337"/>
      <c r="G74" s="337"/>
      <c r="H74" s="337"/>
      <c r="I74" s="337"/>
      <c r="J74" s="352" t="str">
        <f>IF(OR(B73="",COUNT(C74:I74)=0),"",SUM(C74:I74))</f>
        <v/>
      </c>
      <c r="K74" s="337"/>
      <c r="L74" s="337"/>
      <c r="M74" s="350"/>
      <c r="N74" s="337"/>
      <c r="O74" s="351"/>
      <c r="P74" s="349" t="str">
        <f>IF(OR(B73="",COUNT(K74:O74)=0),"",SUM(K74:O74))</f>
        <v/>
      </c>
      <c r="Q74" s="342" t="str">
        <f>IF(OR(B73="",COUNT(C74:I74)+COUNT(K74:O74)=0),"",ROUND(SUM(P74,J74),0))</f>
        <v/>
      </c>
      <c r="R74" s="442" t="str">
        <f ca="1">IF(Q74="","",IF(AP!$E$42="BE",INDIRECT("AP!P"&amp;MATCH(100*Q74/AP!$E$44,AP!$Q$4:$Q$20,-1)+4),Q74))</f>
        <v/>
      </c>
      <c r="S74" s="531"/>
      <c r="T74" s="533"/>
      <c r="U74" s="535"/>
      <c r="V74" s="537"/>
      <c r="W74" s="525"/>
      <c r="X74" s="527"/>
      <c r="Y74" s="343" t="str">
        <f>IF(B73="","",ROUNDUP(AVERAGE(R74,R74,X73),2))</f>
        <v/>
      </c>
      <c r="Z74" s="344" t="str">
        <f>IF(B73="","",IF(TRUNC(Y74,0)=0,0,ROUND(Y74,0)))</f>
        <v/>
      </c>
    </row>
    <row r="75" spans="1:26" ht="12.75" customHeight="1" x14ac:dyDescent="0.2">
      <c r="A75" s="528">
        <v>33</v>
      </c>
      <c r="B75" s="528" t="str">
        <f>IF('1. Halbjahr'!B36&lt;&gt;"", '1. Halbjahr'!B36, "")</f>
        <v/>
      </c>
      <c r="C75" s="345"/>
      <c r="D75" s="325"/>
      <c r="E75" s="325"/>
      <c r="F75" s="325"/>
      <c r="G75" s="325"/>
      <c r="H75" s="325"/>
      <c r="I75" s="325"/>
      <c r="J75" s="346" t="str">
        <f>IF(OR(B75="",COUNT(C75:I75)=0),"",SUM(C75:I75))</f>
        <v/>
      </c>
      <c r="K75" s="328"/>
      <c r="L75" s="329"/>
      <c r="M75" s="328"/>
      <c r="N75" s="330"/>
      <c r="O75" s="329"/>
      <c r="P75" s="331" t="str">
        <f>IF(OR(B75="",COUNT(K75:O75)=0),"",SUM(K75:O75))</f>
        <v/>
      </c>
      <c r="Q75" s="332" t="str">
        <f>IF(OR(B75="",COUNT(C75:I75)+COUNT(K75:O75)=0),"",ROUND(SUM(P75,J75),0))</f>
        <v/>
      </c>
      <c r="R75" s="335" t="str">
        <f ca="1">IF(Q75="","",IF(AP!$E$42="BE",INDIRECT("AP!P"&amp;MATCH(100*Q75/AP!$E$44,AP!$Q$4:$Q$20,-1)+4),Q75))</f>
        <v/>
      </c>
      <c r="S75" s="530"/>
      <c r="T75" s="532"/>
      <c r="U75" s="534"/>
      <c r="V75" s="536" t="str">
        <f>IF(B75="","",SUM(S75:U75))</f>
        <v/>
      </c>
      <c r="W75" s="524" t="str">
        <f>IF(B75="","",IF(ISBLANK(S75),"",IF(AVERAGE(S75:U75)&lt;10,LEFT(AVERAGE(S75:U75),4),LEFT(AVERAGE(S75:U75),5))))</f>
        <v/>
      </c>
      <c r="X75" s="526" t="str">
        <f>IF(B75="","",IF(W75="","",IF(LEFT(W75,1)="0",0,ROUND(W75,0))))</f>
        <v/>
      </c>
      <c r="Y75" s="334" t="str">
        <f>IF(B75="","",ROUNDUP(AVERAGE(R75,R75,X75),2))</f>
        <v/>
      </c>
      <c r="Z75" s="335" t="str">
        <f>IF(B75="","",IF(TRUNC(Y75,0)=0,0,ROUND(Y75,0)))</f>
        <v/>
      </c>
    </row>
    <row r="76" spans="1:26" ht="13.5" customHeight="1" thickBot="1" x14ac:dyDescent="0.25">
      <c r="A76" s="529"/>
      <c r="B76" s="529"/>
      <c r="C76" s="348"/>
      <c r="D76" s="337"/>
      <c r="E76" s="337"/>
      <c r="F76" s="337"/>
      <c r="G76" s="337"/>
      <c r="H76" s="337"/>
      <c r="I76" s="337"/>
      <c r="J76" s="349" t="str">
        <f>IF(OR(B75="",COUNT(C76:I76)=0),"",SUM(C76:I76))</f>
        <v/>
      </c>
      <c r="K76" s="337"/>
      <c r="L76" s="337"/>
      <c r="M76" s="350"/>
      <c r="N76" s="337"/>
      <c r="O76" s="351"/>
      <c r="P76" s="349" t="str">
        <f>IF(OR(B75="",COUNT(K76:O76)=0),"",SUM(K76:O76))</f>
        <v/>
      </c>
      <c r="Q76" s="342" t="str">
        <f>IF(OR(B75="",COUNT(C76:I76)+COUNT(K76:O76)=0),"",ROUND(SUM(P76,J76),0))</f>
        <v/>
      </c>
      <c r="R76" s="355" t="str">
        <f ca="1">IF(Q76="","",IF(AP!$E$42="BE",INDIRECT("AP!P"&amp;MATCH(100*Q76/AP!$E$44,AP!$Q$4:$Q$20,-1)+4),Q76))</f>
        <v/>
      </c>
      <c r="S76" s="531"/>
      <c r="T76" s="533"/>
      <c r="U76" s="535"/>
      <c r="V76" s="537"/>
      <c r="W76" s="525"/>
      <c r="X76" s="527"/>
      <c r="Y76" s="343" t="str">
        <f>IF(B75="","",ROUNDUP(AVERAGE(R76,R76,X75),2))</f>
        <v/>
      </c>
      <c r="Z76" s="344" t="str">
        <f>IF(B75="","",IF(TRUNC(Y76,0)=0,0,ROUND(Y76,0)))</f>
        <v/>
      </c>
    </row>
    <row r="77" spans="1:26" ht="12.75" customHeight="1" x14ac:dyDescent="0.2">
      <c r="A77" s="528">
        <v>34</v>
      </c>
      <c r="B77" s="528" t="str">
        <f>IF('1. Halbjahr'!B37&lt;&gt;"", '1. Halbjahr'!B37, "")</f>
        <v/>
      </c>
      <c r="C77" s="345"/>
      <c r="D77" s="325"/>
      <c r="E77" s="325"/>
      <c r="F77" s="325"/>
      <c r="G77" s="325"/>
      <c r="H77" s="325"/>
      <c r="I77" s="325"/>
      <c r="J77" s="327" t="str">
        <f>IF(OR(B77="",COUNT(C77:I77)=0),"",SUM(C77:I77))</f>
        <v/>
      </c>
      <c r="K77" s="328"/>
      <c r="L77" s="329"/>
      <c r="M77" s="328"/>
      <c r="N77" s="330"/>
      <c r="O77" s="329"/>
      <c r="P77" s="331" t="str">
        <f>IF(OR(B77="",COUNT(K77:O77)=0),"",SUM(K77:O77))</f>
        <v/>
      </c>
      <c r="Q77" s="332" t="str">
        <f>IF(OR(B77="",COUNT(C77:I77)+COUNT(K77:O77)=0),"",ROUND(SUM(P77,J77),0))</f>
        <v/>
      </c>
      <c r="R77" s="333" t="str">
        <f ca="1">IF(Q77="","",IF(AP!$E$42="BE",INDIRECT("AP!P"&amp;MATCH(100*Q77/AP!$E$44,AP!$Q$4:$Q$20,-1)+4),Q77))</f>
        <v/>
      </c>
      <c r="S77" s="530"/>
      <c r="T77" s="532"/>
      <c r="U77" s="534"/>
      <c r="V77" s="536" t="str">
        <f>IF(B77="","",SUM(S77:U77))</f>
        <v/>
      </c>
      <c r="W77" s="524" t="str">
        <f>IF(B77="","",IF(ISBLANK(S77),"",IF(AVERAGE(S77:U77)&lt;10,LEFT(AVERAGE(S77:U77),4),LEFT(AVERAGE(S77:U77),5))))</f>
        <v/>
      </c>
      <c r="X77" s="526" t="str">
        <f>IF(B77="","",IF(W77="","",IF(LEFT(W77,1)="0",0,ROUND(W77,0))))</f>
        <v/>
      </c>
      <c r="Y77" s="334" t="str">
        <f>IF(B77="","",ROUNDUP(AVERAGE(R77,R77,X77),2))</f>
        <v/>
      </c>
      <c r="Z77" s="335" t="str">
        <f>IF(B77="","",IF(TRUNC(Y77,0)=0,0,ROUND(Y77,0)))</f>
        <v/>
      </c>
    </row>
    <row r="78" spans="1:26" ht="13.5" customHeight="1" thickBot="1" x14ac:dyDescent="0.25">
      <c r="A78" s="529"/>
      <c r="B78" s="529"/>
      <c r="C78" s="348"/>
      <c r="D78" s="337"/>
      <c r="E78" s="337"/>
      <c r="F78" s="337"/>
      <c r="G78" s="337"/>
      <c r="H78" s="337"/>
      <c r="I78" s="337"/>
      <c r="J78" s="352" t="str">
        <f>IF(OR(B77="",COUNT(C78:I78)=0),"",SUM(C78:I78))</f>
        <v/>
      </c>
      <c r="K78" s="337"/>
      <c r="L78" s="337"/>
      <c r="M78" s="350"/>
      <c r="N78" s="337"/>
      <c r="O78" s="351"/>
      <c r="P78" s="349" t="str">
        <f>IF(OR(B77="",COUNT(K78:O78)=0),"",SUM(K78:O78))</f>
        <v/>
      </c>
      <c r="Q78" s="342" t="str">
        <f>IF(OR(B77="",COUNT(C78:I78)+COUNT(K78:O78)=0),"",ROUND(SUM(P78,J78),0))</f>
        <v/>
      </c>
      <c r="R78" s="355" t="str">
        <f ca="1">IF(Q78="","",IF(AP!$E$42="BE",INDIRECT("AP!P"&amp;MATCH(100*Q78/AP!$E$44,AP!$Q$4:$Q$20,-1)+4),Q78))</f>
        <v/>
      </c>
      <c r="S78" s="538"/>
      <c r="T78" s="539"/>
      <c r="U78" s="540"/>
      <c r="V78" s="541"/>
      <c r="W78" s="525"/>
      <c r="X78" s="527"/>
      <c r="Y78" s="357" t="str">
        <f>IF(B77="","",ROUNDUP(AVERAGE(R78,R78,X77),2))</f>
        <v/>
      </c>
      <c r="Z78" s="344" t="str">
        <f>IF(B77="","",IF(TRUNC(Y78,0)=0,0,ROUND(Y78,0)))</f>
        <v/>
      </c>
    </row>
    <row r="79" spans="1:26" ht="12.75" customHeight="1" x14ac:dyDescent="0.2">
      <c r="A79" s="528">
        <v>35</v>
      </c>
      <c r="B79" s="528" t="str">
        <f>IF('1. Halbjahr'!B38&lt;&gt;"", '1. Halbjahr'!B38, "")</f>
        <v/>
      </c>
      <c r="C79" s="345"/>
      <c r="D79" s="325"/>
      <c r="E79" s="325"/>
      <c r="F79" s="325"/>
      <c r="G79" s="325"/>
      <c r="H79" s="325"/>
      <c r="I79" s="325"/>
      <c r="J79" s="327" t="str">
        <f>IF(OR(B79="",COUNT(C79:I79)=0),"",SUM(C79:I79))</f>
        <v/>
      </c>
      <c r="K79" s="328"/>
      <c r="L79" s="329"/>
      <c r="M79" s="328"/>
      <c r="N79" s="330"/>
      <c r="O79" s="329"/>
      <c r="P79" s="331" t="str">
        <f>IF(OR(B79="",COUNT(K79:O79)=0),"",SUM(K79:O79))</f>
        <v/>
      </c>
      <c r="Q79" s="332" t="str">
        <f>IF(OR(B79="",COUNT(C79:I79)+COUNT(K79:O79)=0),"",ROUND(SUM(P79,J79),0))</f>
        <v/>
      </c>
      <c r="R79" s="333" t="str">
        <f ca="1">IF(Q79="","",IF(AP!$E$42="BE",INDIRECT("AP!P"&amp;MATCH(100*Q79/AP!$E$44,AP!$Q$4:$Q$20,-1)+4),Q79))</f>
        <v/>
      </c>
      <c r="S79" s="530"/>
      <c r="T79" s="532"/>
      <c r="U79" s="534"/>
      <c r="V79" s="536" t="str">
        <f>IF(B79="","",SUM(S79:U79))</f>
        <v/>
      </c>
      <c r="W79" s="524" t="str">
        <f>IF(B79="","",IF(ISBLANK(S79),"",IF(AVERAGE(S79:U79)&lt;10,LEFT(AVERAGE(S79:U79),4),LEFT(AVERAGE(S79:U79),5))))</f>
        <v/>
      </c>
      <c r="X79" s="526" t="str">
        <f>IF(B79="","",IF(W79="","",IF(LEFT(W79,1)="0",0,ROUND(W79,0))))</f>
        <v/>
      </c>
      <c r="Y79" s="334" t="str">
        <f>IF(B79="","",ROUNDUP(AVERAGE(R79,R79,X79),2))</f>
        <v/>
      </c>
      <c r="Z79" s="335" t="str">
        <f>IF(B79="","",IF(TRUNC(Y79,0)=0,0,ROUND(Y79,0)))</f>
        <v/>
      </c>
    </row>
    <row r="80" spans="1:26" ht="13.5" customHeight="1" thickBot="1" x14ac:dyDescent="0.25">
      <c r="A80" s="529"/>
      <c r="B80" s="529"/>
      <c r="C80" s="353"/>
      <c r="D80" s="354"/>
      <c r="E80" s="354"/>
      <c r="F80" s="354"/>
      <c r="G80" s="354"/>
      <c r="H80" s="354"/>
      <c r="I80" s="354"/>
      <c r="J80" s="358" t="str">
        <f>IF(OR(B79="",COUNT(C80:I80)=0),"",SUM(C80:I80))</f>
        <v/>
      </c>
      <c r="K80" s="354"/>
      <c r="L80" s="354"/>
      <c r="M80" s="339"/>
      <c r="N80" s="354"/>
      <c r="O80" s="340"/>
      <c r="P80" s="349" t="str">
        <f>IF(OR(B79="",COUNT(K80:O80)=0),"",SUM(K80:O80))</f>
        <v/>
      </c>
      <c r="Q80" s="342" t="str">
        <f>IF(OR(B79="",COUNT(C80:I80)+COUNT(K80:O80)=0),"",ROUND(SUM(P80,J80),0))</f>
        <v/>
      </c>
      <c r="R80" s="355" t="str">
        <f ca="1">IF(Q80="","",IF(AP!$E$42="BE",INDIRECT("AP!P"&amp;MATCH(100*Q80/AP!$E$44,AP!$Q$4:$Q$20,-1)+4),Q80))</f>
        <v/>
      </c>
      <c r="S80" s="531"/>
      <c r="T80" s="533"/>
      <c r="U80" s="535"/>
      <c r="V80" s="537"/>
      <c r="W80" s="525"/>
      <c r="X80" s="527"/>
      <c r="Y80" s="343" t="str">
        <f>IF(B79="","",ROUNDUP(AVERAGE(R80,R80,X79),2))</f>
        <v/>
      </c>
      <c r="Z80" s="355" t="str">
        <f>IF(B79="","",IF(TRUNC(Y80,0)=0,0,ROUND(Y80,0)))</f>
        <v/>
      </c>
    </row>
    <row r="81" spans="2:26" s="365" customFormat="1" x14ac:dyDescent="0.2">
      <c r="B81" s="359"/>
      <c r="C81" s="360"/>
      <c r="D81" s="360"/>
      <c r="E81" s="360"/>
      <c r="F81" s="360"/>
      <c r="G81" s="360"/>
      <c r="H81" s="360"/>
      <c r="I81" s="360"/>
      <c r="J81" s="361"/>
      <c r="K81" s="360"/>
      <c r="L81" s="360"/>
      <c r="M81" s="360"/>
      <c r="N81" s="360"/>
      <c r="O81" s="360"/>
      <c r="P81" s="360"/>
      <c r="Q81" s="360"/>
      <c r="R81" s="362"/>
      <c r="S81" s="363"/>
      <c r="T81" s="363"/>
      <c r="U81" s="363"/>
      <c r="V81" s="360"/>
      <c r="W81" s="362"/>
      <c r="X81" s="362"/>
      <c r="Y81" s="364"/>
      <c r="Z81" s="362"/>
    </row>
    <row r="82" spans="2:26" s="365" customFormat="1" x14ac:dyDescent="0.2">
      <c r="C82" s="360"/>
      <c r="D82" s="360"/>
      <c r="E82" s="360"/>
      <c r="F82" s="360"/>
      <c r="G82" s="360"/>
      <c r="H82" s="360"/>
      <c r="I82" s="360"/>
      <c r="J82" s="360"/>
      <c r="K82" s="360"/>
      <c r="L82" s="360"/>
      <c r="M82" s="360"/>
      <c r="N82" s="360"/>
      <c r="O82" s="360"/>
      <c r="P82" s="360"/>
      <c r="Q82" s="360"/>
      <c r="R82" s="362"/>
      <c r="S82" s="363"/>
      <c r="T82" s="363"/>
      <c r="U82" s="363"/>
      <c r="V82" s="360"/>
      <c r="W82" s="362"/>
      <c r="X82" s="362"/>
      <c r="Y82" s="364"/>
      <c r="Z82" s="362"/>
    </row>
    <row r="83" spans="2:26" s="365" customFormat="1" x14ac:dyDescent="0.2">
      <c r="B83" s="359"/>
      <c r="C83" s="360"/>
      <c r="D83" s="360"/>
      <c r="E83" s="360"/>
      <c r="F83" s="360"/>
      <c r="G83" s="360"/>
      <c r="H83" s="360"/>
      <c r="I83" s="360"/>
      <c r="J83" s="360"/>
      <c r="K83" s="360"/>
      <c r="L83" s="360"/>
      <c r="M83" s="360"/>
      <c r="N83" s="360"/>
      <c r="O83" s="360"/>
      <c r="P83" s="360"/>
      <c r="Q83" s="360"/>
      <c r="R83" s="362"/>
      <c r="S83" s="363"/>
      <c r="T83" s="363"/>
      <c r="U83" s="363"/>
      <c r="V83" s="360"/>
      <c r="W83" s="362"/>
      <c r="X83" s="362"/>
      <c r="Y83" s="364"/>
      <c r="Z83" s="362"/>
    </row>
  </sheetData>
  <sheetProtection password="CC71" sheet="1" objects="1" scenarios="1" selectLockedCells="1"/>
  <mergeCells count="288">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election activeCell="D16" sqref="D16"/>
    </sheetView>
  </sheetViews>
  <sheetFormatPr baseColWidth="10" defaultRowHeight="12.75" x14ac:dyDescent="0.2"/>
  <cols>
    <col min="1" max="1" width="11.42578125" style="104"/>
    <col min="2" max="2" width="23.140625" style="104" customWidth="1"/>
    <col min="3" max="4" width="11.42578125" style="104"/>
    <col min="5" max="5" width="12.140625" style="104" customWidth="1"/>
    <col min="6" max="16384" width="11.42578125" style="104"/>
  </cols>
  <sheetData>
    <row r="1" spans="1:7" ht="15" x14ac:dyDescent="0.25">
      <c r="A1" s="123"/>
      <c r="B1" s="124" t="s">
        <v>76</v>
      </c>
      <c r="C1" s="123"/>
      <c r="D1" s="123"/>
      <c r="E1" s="104" t="s">
        <v>101</v>
      </c>
      <c r="F1" s="177" t="s">
        <v>102</v>
      </c>
    </row>
    <row r="2" spans="1:7" x14ac:dyDescent="0.2">
      <c r="A2" s="105"/>
      <c r="B2" s="106" t="s">
        <v>7</v>
      </c>
      <c r="C2" s="107" t="str">
        <f>+IF('1. Halbjahr'!B1="","",'1. Halbjahr'!B1)</f>
        <v/>
      </c>
      <c r="D2" s="108"/>
      <c r="E2" s="123" t="s">
        <v>79</v>
      </c>
      <c r="F2" s="123"/>
      <c r="G2" s="122"/>
    </row>
    <row r="3" spans="1:7" x14ac:dyDescent="0.2">
      <c r="A3" s="109" t="s">
        <v>2</v>
      </c>
      <c r="B3" s="110" t="s">
        <v>3</v>
      </c>
      <c r="C3" s="184" t="s">
        <v>78</v>
      </c>
      <c r="D3" s="444" t="s">
        <v>157</v>
      </c>
      <c r="E3" s="123"/>
      <c r="F3" s="123"/>
      <c r="G3" s="122"/>
    </row>
    <row r="4" spans="1:7" x14ac:dyDescent="0.2">
      <c r="A4" s="109">
        <v>1</v>
      </c>
      <c r="B4" s="110" t="str">
        <f>IF('1. Halbjahr'!B4&lt;&gt;"", '1. Halbjahr'!B4, "")</f>
        <v/>
      </c>
      <c r="C4" s="185"/>
      <c r="D4" s="445"/>
      <c r="E4" s="123"/>
      <c r="F4" s="123"/>
      <c r="G4" s="122"/>
    </row>
    <row r="5" spans="1:7" x14ac:dyDescent="0.2">
      <c r="A5" s="109">
        <v>2</v>
      </c>
      <c r="B5" s="110" t="str">
        <f>IF('1. Halbjahr'!B5&lt;&gt;"", '1. Halbjahr'!B5, "")</f>
        <v/>
      </c>
      <c r="C5" s="185"/>
      <c r="D5" s="445"/>
      <c r="E5" s="123"/>
      <c r="F5" s="123"/>
      <c r="G5" s="122"/>
    </row>
    <row r="6" spans="1:7" x14ac:dyDescent="0.2">
      <c r="A6" s="109">
        <v>3</v>
      </c>
      <c r="B6" s="110" t="str">
        <f>IF('1. Halbjahr'!B6&lt;&gt;"", '1. Halbjahr'!B6, "")</f>
        <v/>
      </c>
      <c r="C6" s="185"/>
      <c r="D6" s="445"/>
      <c r="E6" s="123"/>
      <c r="F6" s="123"/>
      <c r="G6" s="122"/>
    </row>
    <row r="7" spans="1:7" x14ac:dyDescent="0.2">
      <c r="A7" s="109">
        <v>4</v>
      </c>
      <c r="B7" s="110" t="str">
        <f>IF('1. Halbjahr'!B7&lt;&gt;"", '1. Halbjahr'!B7, "")</f>
        <v/>
      </c>
      <c r="C7" s="185"/>
      <c r="D7" s="445"/>
      <c r="E7" s="123"/>
      <c r="F7" s="123"/>
      <c r="G7" s="122"/>
    </row>
    <row r="8" spans="1:7" x14ac:dyDescent="0.2">
      <c r="A8" s="109">
        <v>5</v>
      </c>
      <c r="B8" s="110" t="str">
        <f>IF('1. Halbjahr'!B8&lt;&gt;"", '1. Halbjahr'!B8, "")</f>
        <v/>
      </c>
      <c r="C8" s="185"/>
      <c r="D8" s="445"/>
      <c r="E8" s="126"/>
      <c r="F8" s="123"/>
      <c r="G8" s="122"/>
    </row>
    <row r="9" spans="1:7" x14ac:dyDescent="0.2">
      <c r="A9" s="109">
        <v>6</v>
      </c>
      <c r="B9" s="110" t="str">
        <f>IF('1. Halbjahr'!B9&lt;&gt;"", '1. Halbjahr'!B9, "")</f>
        <v/>
      </c>
      <c r="C9" s="185"/>
      <c r="D9" s="445"/>
      <c r="E9" s="123"/>
      <c r="F9" s="123"/>
      <c r="G9" s="122"/>
    </row>
    <row r="10" spans="1:7" x14ac:dyDescent="0.2">
      <c r="A10" s="109">
        <v>7</v>
      </c>
      <c r="B10" s="110" t="str">
        <f>IF('1. Halbjahr'!B10&lt;&gt;"", '1. Halbjahr'!B10, "")</f>
        <v/>
      </c>
      <c r="C10" s="185"/>
      <c r="D10" s="445"/>
      <c r="E10" s="123"/>
      <c r="F10" s="123"/>
      <c r="G10" s="122"/>
    </row>
    <row r="11" spans="1:7" x14ac:dyDescent="0.2">
      <c r="A11" s="109">
        <v>8</v>
      </c>
      <c r="B11" s="110" t="str">
        <f>IF('1. Halbjahr'!B11&lt;&gt;"", '1. Halbjahr'!B11, "")</f>
        <v/>
      </c>
      <c r="C11" s="185"/>
      <c r="D11" s="445"/>
      <c r="E11" s="123"/>
      <c r="F11" s="123"/>
      <c r="G11" s="122"/>
    </row>
    <row r="12" spans="1:7" x14ac:dyDescent="0.2">
      <c r="A12" s="109">
        <v>9</v>
      </c>
      <c r="B12" s="110" t="str">
        <f>IF('1. Halbjahr'!B12&lt;&gt;"", '1. Halbjahr'!B12, "")</f>
        <v/>
      </c>
      <c r="C12" s="185"/>
      <c r="D12" s="445"/>
      <c r="E12" s="123"/>
      <c r="F12" s="123"/>
      <c r="G12" s="122"/>
    </row>
    <row r="13" spans="1:7" x14ac:dyDescent="0.2">
      <c r="A13" s="109">
        <v>10</v>
      </c>
      <c r="B13" s="110" t="str">
        <f>IF('1. Halbjahr'!B13&lt;&gt;"", '1. Halbjahr'!B13, "")</f>
        <v/>
      </c>
      <c r="C13" s="185"/>
      <c r="D13" s="445"/>
      <c r="E13" s="123"/>
      <c r="F13" s="123"/>
      <c r="G13" s="122"/>
    </row>
    <row r="14" spans="1:7" x14ac:dyDescent="0.2">
      <c r="A14" s="109">
        <v>11</v>
      </c>
      <c r="B14" s="110" t="str">
        <f>IF('1. Halbjahr'!B14&lt;&gt;"", '1. Halbjahr'!B14, "")</f>
        <v/>
      </c>
      <c r="C14" s="185"/>
      <c r="D14" s="445"/>
      <c r="E14" s="123"/>
      <c r="F14" s="123"/>
      <c r="G14" s="122"/>
    </row>
    <row r="15" spans="1:7" x14ac:dyDescent="0.2">
      <c r="A15" s="109">
        <v>12</v>
      </c>
      <c r="B15" s="110" t="str">
        <f>IF('1. Halbjahr'!B15&lt;&gt;"", '1. Halbjahr'!B15, "")</f>
        <v/>
      </c>
      <c r="C15" s="185"/>
      <c r="D15" s="445"/>
      <c r="E15" s="123"/>
      <c r="F15" s="123"/>
      <c r="G15" s="122"/>
    </row>
    <row r="16" spans="1:7" x14ac:dyDescent="0.2">
      <c r="A16" s="109">
        <v>13</v>
      </c>
      <c r="B16" s="110" t="str">
        <f>IF('1. Halbjahr'!B16&lt;&gt;"", '1. Halbjahr'!B16, "")</f>
        <v/>
      </c>
      <c r="C16" s="185"/>
      <c r="D16" s="445"/>
      <c r="E16" s="123"/>
      <c r="F16" s="123"/>
      <c r="G16" s="122"/>
    </row>
    <row r="17" spans="1:7" x14ac:dyDescent="0.2">
      <c r="A17" s="109">
        <v>14</v>
      </c>
      <c r="B17" s="110" t="str">
        <f>IF('1. Halbjahr'!B17&lt;&gt;"", '1. Halbjahr'!B17, "")</f>
        <v/>
      </c>
      <c r="C17" s="185"/>
      <c r="D17" s="445"/>
      <c r="E17" s="123"/>
      <c r="F17" s="123"/>
      <c r="G17" s="122"/>
    </row>
    <row r="18" spans="1:7" x14ac:dyDescent="0.2">
      <c r="A18" s="109">
        <v>15</v>
      </c>
      <c r="B18" s="110" t="str">
        <f>IF('1. Halbjahr'!B18&lt;&gt;"", '1. Halbjahr'!B18, "")</f>
        <v/>
      </c>
      <c r="C18" s="185"/>
      <c r="D18" s="445"/>
      <c r="E18" s="123"/>
      <c r="F18" s="123"/>
      <c r="G18" s="122"/>
    </row>
    <row r="19" spans="1:7" x14ac:dyDescent="0.2">
      <c r="A19" s="109">
        <v>16</v>
      </c>
      <c r="B19" s="110" t="str">
        <f>IF('1. Halbjahr'!B19&lt;&gt;"", '1. Halbjahr'!B19, "")</f>
        <v/>
      </c>
      <c r="C19" s="185"/>
      <c r="D19" s="445"/>
      <c r="E19" s="123"/>
      <c r="F19" s="123"/>
      <c r="G19" s="122"/>
    </row>
    <row r="20" spans="1:7" x14ac:dyDescent="0.2">
      <c r="A20" s="109">
        <v>17</v>
      </c>
      <c r="B20" s="110" t="str">
        <f>IF('1. Halbjahr'!B20&lt;&gt;"", '1. Halbjahr'!B20, "")</f>
        <v/>
      </c>
      <c r="C20" s="185"/>
      <c r="D20" s="445"/>
      <c r="E20" s="123"/>
      <c r="F20" s="123"/>
      <c r="G20" s="122"/>
    </row>
    <row r="21" spans="1:7" x14ac:dyDescent="0.2">
      <c r="A21" s="109">
        <v>18</v>
      </c>
      <c r="B21" s="110" t="str">
        <f>IF('1. Halbjahr'!B21&lt;&gt;"", '1. Halbjahr'!B21, "")</f>
        <v/>
      </c>
      <c r="C21" s="185"/>
      <c r="D21" s="445"/>
      <c r="E21" s="123"/>
      <c r="F21" s="123"/>
      <c r="G21" s="122"/>
    </row>
    <row r="22" spans="1:7" x14ac:dyDescent="0.2">
      <c r="A22" s="109">
        <v>19</v>
      </c>
      <c r="B22" s="110" t="str">
        <f>IF('1. Halbjahr'!B22&lt;&gt;"", '1. Halbjahr'!B22, "")</f>
        <v/>
      </c>
      <c r="C22" s="185"/>
      <c r="D22" s="445"/>
      <c r="E22" s="123"/>
      <c r="F22" s="123"/>
      <c r="G22" s="122"/>
    </row>
    <row r="23" spans="1:7" x14ac:dyDescent="0.2">
      <c r="A23" s="109">
        <v>20</v>
      </c>
      <c r="B23" s="110" t="str">
        <f>IF('1. Halbjahr'!B23&lt;&gt;"", '1. Halbjahr'!B23, "")</f>
        <v/>
      </c>
      <c r="C23" s="185"/>
      <c r="D23" s="445"/>
      <c r="E23" s="123"/>
      <c r="F23" s="123"/>
      <c r="G23" s="122"/>
    </row>
    <row r="24" spans="1:7" x14ac:dyDescent="0.2">
      <c r="A24" s="109">
        <v>21</v>
      </c>
      <c r="B24" s="110" t="str">
        <f>IF('1. Halbjahr'!B24&lt;&gt;"", '1. Halbjahr'!B24, "")</f>
        <v/>
      </c>
      <c r="C24" s="185"/>
      <c r="D24" s="445"/>
      <c r="E24" s="123"/>
      <c r="F24" s="123"/>
      <c r="G24" s="122"/>
    </row>
    <row r="25" spans="1:7" x14ac:dyDescent="0.2">
      <c r="A25" s="109">
        <v>22</v>
      </c>
      <c r="B25" s="110" t="str">
        <f>IF('1. Halbjahr'!B25&lt;&gt;"", '1. Halbjahr'!B25, "")</f>
        <v/>
      </c>
      <c r="C25" s="185"/>
      <c r="D25" s="445"/>
      <c r="E25" s="123"/>
      <c r="F25" s="123"/>
      <c r="G25" s="122"/>
    </row>
    <row r="26" spans="1:7" x14ac:dyDescent="0.2">
      <c r="A26" s="109">
        <v>23</v>
      </c>
      <c r="B26" s="110" t="str">
        <f>IF('1. Halbjahr'!B26&lt;&gt;"", '1. Halbjahr'!B26, "")</f>
        <v/>
      </c>
      <c r="C26" s="185"/>
      <c r="D26" s="445"/>
      <c r="E26" s="123"/>
      <c r="F26" s="123"/>
      <c r="G26" s="122"/>
    </row>
    <row r="27" spans="1:7" x14ac:dyDescent="0.2">
      <c r="A27" s="109">
        <v>24</v>
      </c>
      <c r="B27" s="110" t="str">
        <f>IF('1. Halbjahr'!B27&lt;&gt;"", '1. Halbjahr'!B27, "")</f>
        <v/>
      </c>
      <c r="C27" s="185"/>
      <c r="D27" s="445"/>
      <c r="E27" s="123"/>
      <c r="F27" s="123"/>
      <c r="G27" s="122"/>
    </row>
    <row r="28" spans="1:7" x14ac:dyDescent="0.2">
      <c r="A28" s="109">
        <v>25</v>
      </c>
      <c r="B28" s="110" t="str">
        <f>IF('1. Halbjahr'!B28&lt;&gt;"", '1. Halbjahr'!B28, "")</f>
        <v/>
      </c>
      <c r="C28" s="185"/>
      <c r="D28" s="445"/>
      <c r="E28" s="123"/>
      <c r="F28" s="123"/>
      <c r="G28" s="122"/>
    </row>
    <row r="29" spans="1:7" x14ac:dyDescent="0.2">
      <c r="A29" s="109">
        <v>26</v>
      </c>
      <c r="B29" s="110" t="str">
        <f>IF('1. Halbjahr'!B29&lt;&gt;"", '1. Halbjahr'!B29, "")</f>
        <v/>
      </c>
      <c r="C29" s="185"/>
      <c r="D29" s="445"/>
      <c r="E29" s="123"/>
      <c r="F29" s="123"/>
      <c r="G29" s="122"/>
    </row>
    <row r="30" spans="1:7" x14ac:dyDescent="0.2">
      <c r="A30" s="109">
        <v>27</v>
      </c>
      <c r="B30" s="110" t="str">
        <f>IF('1. Halbjahr'!B30&lt;&gt;"", '1. Halbjahr'!B30, "")</f>
        <v/>
      </c>
      <c r="C30" s="185"/>
      <c r="D30" s="445"/>
      <c r="E30" s="123"/>
      <c r="F30" s="123"/>
      <c r="G30" s="122"/>
    </row>
    <row r="31" spans="1:7" x14ac:dyDescent="0.2">
      <c r="A31" s="109">
        <v>28</v>
      </c>
      <c r="B31" s="110" t="str">
        <f>IF('1. Halbjahr'!B31&lt;&gt;"", '1. Halbjahr'!B31, "")</f>
        <v/>
      </c>
      <c r="C31" s="185"/>
      <c r="D31" s="445"/>
      <c r="E31" s="123"/>
      <c r="F31" s="123"/>
      <c r="G31" s="122"/>
    </row>
    <row r="32" spans="1:7" x14ac:dyDescent="0.2">
      <c r="A32" s="109">
        <v>29</v>
      </c>
      <c r="B32" s="110" t="str">
        <f>IF('1. Halbjahr'!B32&lt;&gt;"", '1. Halbjahr'!B32, "")</f>
        <v/>
      </c>
      <c r="C32" s="185"/>
      <c r="D32" s="445"/>
      <c r="E32" s="123"/>
      <c r="F32" s="123"/>
      <c r="G32" s="122"/>
    </row>
    <row r="33" spans="1:7" x14ac:dyDescent="0.2">
      <c r="A33" s="109">
        <v>30</v>
      </c>
      <c r="B33" s="110" t="str">
        <f>IF('1. Halbjahr'!B33&lt;&gt;"", '1. Halbjahr'!B33, "")</f>
        <v/>
      </c>
      <c r="C33" s="185"/>
      <c r="D33" s="445"/>
      <c r="E33" s="123"/>
      <c r="F33" s="123"/>
      <c r="G33" s="122"/>
    </row>
    <row r="34" spans="1:7" x14ac:dyDescent="0.2">
      <c r="A34" s="109">
        <v>31</v>
      </c>
      <c r="B34" s="110" t="str">
        <f>IF('1. Halbjahr'!B34&lt;&gt;"", '1. Halbjahr'!B34, "")</f>
        <v/>
      </c>
      <c r="C34" s="185"/>
      <c r="D34" s="445"/>
      <c r="E34" s="123"/>
      <c r="F34" s="123"/>
      <c r="G34" s="122"/>
    </row>
    <row r="35" spans="1:7" x14ac:dyDescent="0.2">
      <c r="A35" s="109">
        <v>32</v>
      </c>
      <c r="B35" s="110" t="str">
        <f>IF('1. Halbjahr'!B35&lt;&gt;"", '1. Halbjahr'!B35, "")</f>
        <v/>
      </c>
      <c r="C35" s="185"/>
      <c r="D35" s="445"/>
      <c r="E35" s="123"/>
      <c r="F35" s="123"/>
      <c r="G35" s="122"/>
    </row>
    <row r="36" spans="1:7" x14ac:dyDescent="0.2">
      <c r="A36" s="109">
        <v>33</v>
      </c>
      <c r="B36" s="110" t="str">
        <f>IF('1. Halbjahr'!B36&lt;&gt;"", '1. Halbjahr'!B36, "")</f>
        <v/>
      </c>
      <c r="C36" s="185"/>
      <c r="D36" s="445"/>
      <c r="E36" s="123"/>
      <c r="F36" s="123"/>
      <c r="G36" s="122"/>
    </row>
    <row r="37" spans="1:7" x14ac:dyDescent="0.2">
      <c r="A37" s="109">
        <v>34</v>
      </c>
      <c r="B37" s="110" t="str">
        <f>IF('1. Halbjahr'!B37&lt;&gt;"", '1. Halbjahr'!B37, "")</f>
        <v/>
      </c>
      <c r="C37" s="185"/>
      <c r="D37" s="445"/>
      <c r="E37" s="123"/>
      <c r="F37" s="123"/>
      <c r="G37" s="122"/>
    </row>
    <row r="38" spans="1:7" x14ac:dyDescent="0.2">
      <c r="A38" s="109">
        <v>35</v>
      </c>
      <c r="B38" s="110" t="str">
        <f>IF('1. Halbjahr'!B38&lt;&gt;"", '1. Halbjahr'!B38, "")</f>
        <v/>
      </c>
      <c r="C38" s="185"/>
      <c r="D38" s="445"/>
      <c r="E38" s="123"/>
      <c r="F38" s="123"/>
      <c r="G38" s="122"/>
    </row>
    <row r="39" spans="1:7" x14ac:dyDescent="0.2">
      <c r="A39" s="122"/>
      <c r="B39" s="122"/>
      <c r="C39" s="122"/>
      <c r="D39" s="122"/>
      <c r="E39" s="122"/>
      <c r="F39" s="122"/>
      <c r="G39" s="122"/>
    </row>
  </sheetData>
  <sheetProtection password="CC71" sheet="1" objects="1" scenarios="1"/>
  <dataValidations count="1">
    <dataValidation type="list" allowBlank="1" showInputMessage="1" showErrorMessage="1" sqref="D4:D38">
      <formula1>"FOS,BOS"</formula1>
    </dataValidation>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28</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2,0                      15   </v>
      </c>
      <c r="C43" s="202">
        <f>ROUNDDOWN(Q4/500*$H$30, 1)*5</f>
        <v>35</v>
      </c>
      <c r="D43" s="202">
        <f>C44+0.5</f>
        <v>33.5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1,5                      14   </v>
      </c>
      <c r="C44" s="200">
        <f t="shared" ref="C44:C57" si="5">ROUNDDOWN(Q5/500*$H$30, 1)*5</f>
        <v>33</v>
      </c>
      <c r="D44" s="200">
        <f t="shared" ref="D44:D56" si="6">C45+0.5</f>
        <v>32</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2,0                      13   </v>
      </c>
      <c r="C45" s="203">
        <f t="shared" si="5"/>
        <v>31.5</v>
      </c>
      <c r="D45" s="203">
        <f t="shared" si="6"/>
        <v>30</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1,5                      12   </v>
      </c>
      <c r="C46" s="202">
        <f t="shared" si="5"/>
        <v>29.5</v>
      </c>
      <c r="D46" s="202">
        <f t="shared" si="6"/>
        <v>28.5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2,0                      11   </v>
      </c>
      <c r="C47" s="200">
        <f t="shared" si="5"/>
        <v>28</v>
      </c>
      <c r="D47" s="200">
        <f t="shared" si="6"/>
        <v>26.5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1,5                      10   </v>
      </c>
      <c r="C48" s="203">
        <f t="shared" si="5"/>
        <v>26</v>
      </c>
      <c r="D48" s="203">
        <f t="shared" si="6"/>
        <v>25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2,0                       9   </v>
      </c>
      <c r="C49" s="202">
        <f t="shared" si="5"/>
        <v>24.5</v>
      </c>
      <c r="D49" s="202">
        <f t="shared" si="6"/>
        <v>23</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1,5                       8   </v>
      </c>
      <c r="C50" s="200">
        <f t="shared" si="5"/>
        <v>22.5</v>
      </c>
      <c r="D50" s="200">
        <f t="shared" si="6"/>
        <v>21.5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2,0                       7   </v>
      </c>
      <c r="C51" s="203">
        <f t="shared" si="5"/>
        <v>21</v>
      </c>
      <c r="D51" s="203">
        <f t="shared" si="6"/>
        <v>19.5</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1,5                       6   </v>
      </c>
      <c r="C52" s="202">
        <f t="shared" si="5"/>
        <v>19</v>
      </c>
      <c r="D52" s="202">
        <f t="shared" si="6"/>
        <v>18</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2,0                       5   </v>
      </c>
      <c r="C53" s="200">
        <f t="shared" si="5"/>
        <v>17.5</v>
      </c>
      <c r="D53" s="200">
        <f t="shared" si="6"/>
        <v>16</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1,5                       4   </v>
      </c>
      <c r="C54" s="203">
        <f t="shared" si="5"/>
        <v>15.5</v>
      </c>
      <c r="D54" s="203">
        <f t="shared" si="6"/>
        <v>14.5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2,5                       3   </v>
      </c>
      <c r="C55" s="202">
        <f t="shared" si="5"/>
        <v>14</v>
      </c>
      <c r="D55" s="202">
        <f t="shared" si="6"/>
        <v>12</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2,5                       2   </v>
      </c>
      <c r="C56" s="200">
        <f t="shared" si="5"/>
        <v>11.5</v>
      </c>
      <c r="D56" s="200">
        <f t="shared" si="6"/>
        <v>9.5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2,5                       1   </v>
      </c>
      <c r="C57" s="203">
        <f t="shared" si="5"/>
        <v>9</v>
      </c>
      <c r="D57" s="203">
        <f>ROUNDUP(H34/500*$H$30,1)*5</f>
        <v>7</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7,0                       0   </v>
      </c>
      <c r="C58" s="201">
        <f>D57-0.5</f>
        <v>6.5</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5" priority="3" stopIfTrue="1">
      <formula>$H$3="Punkte"</formula>
    </cfRule>
    <cfRule type="expression" dxfId="94" priority="4" stopIfTrue="1">
      <formula>$H$3="BE"</formula>
    </cfRule>
  </conditionalFormatting>
  <conditionalFormatting sqref="F43:F58">
    <cfRule type="cellIs" dxfId="93" priority="2" operator="equal">
      <formula>"ALARM"</formula>
    </cfRule>
  </conditionalFormatting>
  <conditionalFormatting sqref="B43:B58">
    <cfRule type="cellIs" dxfId="92"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109</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1" priority="3" stopIfTrue="1">
      <formula>$H$3="Punkte"</formula>
    </cfRule>
    <cfRule type="expression" dxfId="90" priority="4" stopIfTrue="1">
      <formula>$H$3="BE"</formula>
    </cfRule>
  </conditionalFormatting>
  <conditionalFormatting sqref="F43:F58">
    <cfRule type="cellIs" dxfId="89" priority="2" operator="equal">
      <formula>"ALARM"</formula>
    </cfRule>
  </conditionalFormatting>
  <conditionalFormatting sqref="B43:B58">
    <cfRule type="cellIs" dxfId="88"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110</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18</v>
      </c>
      <c r="D43" s="202">
        <f>C44+0.5</f>
        <v>17.5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1,0                      14   </v>
      </c>
      <c r="C44" s="200">
        <f t="shared" ref="C44:C57" si="5">ROUNDDOWN(Q5/500*$H$30, 1)*5</f>
        <v>17</v>
      </c>
      <c r="D44" s="200">
        <f t="shared" ref="D44:D56" si="6">C45+0.5</f>
        <v>16.5</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1,0                      13   </v>
      </c>
      <c r="C45" s="203">
        <f t="shared" si="5"/>
        <v>16</v>
      </c>
      <c r="D45" s="203">
        <f t="shared" si="6"/>
        <v>15.5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1,0                      12   </v>
      </c>
      <c r="C46" s="202">
        <f t="shared" si="5"/>
        <v>15</v>
      </c>
      <c r="D46" s="202">
        <f t="shared" si="6"/>
        <v>14.5</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14</v>
      </c>
      <c r="D47" s="200">
        <f t="shared" si="6"/>
        <v>14</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13.5</v>
      </c>
      <c r="D48" s="203">
        <f t="shared" si="6"/>
        <v>13</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1,0                       9   </v>
      </c>
      <c r="C49" s="202">
        <f t="shared" si="5"/>
        <v>12.5</v>
      </c>
      <c r="D49" s="202">
        <f t="shared" si="6"/>
        <v>12</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1,0                       8   </v>
      </c>
      <c r="C50" s="200">
        <f t="shared" si="5"/>
        <v>11.5</v>
      </c>
      <c r="D50" s="200">
        <f t="shared" si="6"/>
        <v>11</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1,0                       7   </v>
      </c>
      <c r="C51" s="203">
        <f t="shared" si="5"/>
        <v>10.5</v>
      </c>
      <c r="D51" s="203">
        <f t="shared" si="6"/>
        <v>10</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9.5</v>
      </c>
      <c r="D52" s="202">
        <f t="shared" si="6"/>
        <v>9.5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9</v>
      </c>
      <c r="D53" s="200">
        <f t="shared" si="6"/>
        <v>8.5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1,0                       4   </v>
      </c>
      <c r="C54" s="203">
        <f t="shared" si="5"/>
        <v>8</v>
      </c>
      <c r="D54" s="203">
        <f t="shared" si="6"/>
        <v>7.5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1,0                       3   </v>
      </c>
      <c r="C55" s="202">
        <f t="shared" si="5"/>
        <v>7</v>
      </c>
      <c r="D55" s="202">
        <f t="shared" si="6"/>
        <v>6.5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1,5                       2   </v>
      </c>
      <c r="C56" s="200">
        <f t="shared" si="5"/>
        <v>6</v>
      </c>
      <c r="D56" s="200">
        <f t="shared" si="6"/>
        <v>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4.5</v>
      </c>
      <c r="D57" s="203">
        <f>ROUNDUP(H34/500*$H$30,1)*5</f>
        <v>3.9999999999999996</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4,0                       0   </v>
      </c>
      <c r="C58" s="201">
        <f>D57-0.5</f>
        <v>3.4999999999999996</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7" priority="3" stopIfTrue="1">
      <formula>$H$3="Punkte"</formula>
    </cfRule>
    <cfRule type="expression" dxfId="86" priority="4" stopIfTrue="1">
      <formula>$H$3="BE"</formula>
    </cfRule>
  </conditionalFormatting>
  <conditionalFormatting sqref="F43:F58">
    <cfRule type="cellIs" dxfId="85" priority="2" operator="equal">
      <formula>"ALARM"</formula>
    </cfRule>
  </conditionalFormatting>
  <conditionalFormatting sqref="B43:B58">
    <cfRule type="cellIs" dxfId="84"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111</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3" priority="3" stopIfTrue="1">
      <formula>$H$3="Punkte"</formula>
    </cfRule>
    <cfRule type="expression" dxfId="82" priority="4" stopIfTrue="1">
      <formula>$H$3="BE"</formula>
    </cfRule>
  </conditionalFormatting>
  <conditionalFormatting sqref="F43:F58">
    <cfRule type="cellIs" dxfId="81" priority="2" operator="equal">
      <formula>"ALARM"</formula>
    </cfRule>
  </conditionalFormatting>
  <conditionalFormatting sqref="B43:B58">
    <cfRule type="cellIs" dxfId="8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112</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9" priority="3" stopIfTrue="1">
      <formula>$H$3="Punkte"</formula>
    </cfRule>
    <cfRule type="expression" dxfId="78" priority="4" stopIfTrue="1">
      <formula>$H$3="BE"</formula>
    </cfRule>
  </conditionalFormatting>
  <conditionalFormatting sqref="F43:F58">
    <cfRule type="cellIs" dxfId="77" priority="2" operator="equal">
      <formula>"ALARM"</formula>
    </cfRule>
  </conditionalFormatting>
  <conditionalFormatting sqref="B43:B58">
    <cfRule type="cellIs" dxfId="76"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topLeftCell="A3" workbookViewId="0">
      <selection activeCell="M3"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113</v>
      </c>
      <c r="C1" s="470" t="str">
        <f>IF('1. Halbjahr'!E1="","",'1. Halbjahr'!E1)</f>
        <v/>
      </c>
      <c r="D1" s="470"/>
      <c r="E1" s="470"/>
      <c r="F1" s="49" t="s">
        <v>9</v>
      </c>
      <c r="G1" s="468"/>
      <c r="H1" s="469"/>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6" t="s">
        <v>107</v>
      </c>
      <c r="Q3" s="196" t="s">
        <v>108</v>
      </c>
      <c r="R3" s="195"/>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5"/>
      <c r="M4" s="199" t="str">
        <f>IF(D4="","",ROUNDDOWN(IF($H$3="BE",100 * D4 / IF(E4="",$H$30,E4)),2))</f>
        <v/>
      </c>
      <c r="N4" s="29"/>
      <c r="O4" s="197">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6" t="s">
        <v>8</v>
      </c>
      <c r="G5" s="467"/>
      <c r="H5" s="467"/>
      <c r="I5" s="47"/>
      <c r="J5" s="57" t="str">
        <f t="shared" si="0"/>
        <v/>
      </c>
      <c r="K5" s="28"/>
      <c r="L5" s="26"/>
      <c r="M5" s="199" t="str">
        <f t="shared" ref="M5:M38" si="2">IF(D5="","",ROUNDDOWN(IF($H$3="BE",100 * D5 / IF(E5="",$H$30,E5)),2))</f>
        <v/>
      </c>
      <c r="N5" s="29"/>
      <c r="O5" s="197">
        <f>IF($H$32="M", $H$35+11*(100-$H$35)/12, $H$35+27*(100-$H$35)/30)</f>
        <v>95</v>
      </c>
      <c r="P5" s="206">
        <v>15</v>
      </c>
      <c r="Q5" s="19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199" t="str">
        <f t="shared" si="2"/>
        <v/>
      </c>
      <c r="N6" s="29"/>
      <c r="O6" s="197">
        <f>IF($H$32="M", $H$35+10*(100-$H$35)/12, $H$35+24*(100-$H$35)/30)</f>
        <v>90</v>
      </c>
      <c r="P6" s="206">
        <v>14</v>
      </c>
      <c r="Q6" s="198">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199" t="str">
        <f t="shared" si="2"/>
        <v/>
      </c>
      <c r="N7" s="29"/>
      <c r="O7" s="197">
        <f>IF($H$32="M", $H$35+9*(100-$H$35)/12, $H$35+21*(100-$H$35)/30)</f>
        <v>85</v>
      </c>
      <c r="P7" s="206">
        <v>13</v>
      </c>
      <c r="Q7" s="19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199" t="str">
        <f t="shared" si="2"/>
        <v/>
      </c>
      <c r="N8" s="29"/>
      <c r="O8" s="197">
        <f>IF($H$32="M", $H$35+8*(100-$H$35)/12, $H$35+18*(100-$H$35)/30)</f>
        <v>80</v>
      </c>
      <c r="P8" s="206">
        <v>12</v>
      </c>
      <c r="Q8" s="19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199" t="str">
        <f t="shared" si="2"/>
        <v/>
      </c>
      <c r="N9" s="29"/>
      <c r="O9" s="197">
        <f>IF($H$32="M", $H$35+7*(100-$H$35)/12, $H$35+15*(100-$H$35)/30)</f>
        <v>75</v>
      </c>
      <c r="P9" s="206">
        <v>11</v>
      </c>
      <c r="Q9" s="19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199" t="str">
        <f t="shared" si="2"/>
        <v/>
      </c>
      <c r="N10" s="29"/>
      <c r="O10" s="197">
        <f>IF($H$32="M", $H$35+6*(100-$H$35)/12, $H$35+12*(100-$H$35)/30)</f>
        <v>70</v>
      </c>
      <c r="P10" s="206">
        <v>10</v>
      </c>
      <c r="Q10" s="19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199" t="str">
        <f t="shared" si="2"/>
        <v/>
      </c>
      <c r="N11" s="29"/>
      <c r="O11" s="197">
        <f>IF($H$32="M", $H$35+5*(100-$H$35)/12, $H$35+10*(100-$H$35)/30)</f>
        <v>65</v>
      </c>
      <c r="P11" s="206">
        <v>9</v>
      </c>
      <c r="Q11" s="19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199" t="str">
        <f t="shared" si="2"/>
        <v/>
      </c>
      <c r="N12" s="29"/>
      <c r="O12" s="197">
        <f>IF($H$32="M", $H$35+4*(100-$H$35)/12, $H$35+8*(100-$H$35)/30)</f>
        <v>60</v>
      </c>
      <c r="P12" s="206">
        <v>8</v>
      </c>
      <c r="Q12" s="198">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199" t="str">
        <f t="shared" si="2"/>
        <v/>
      </c>
      <c r="N13" s="29"/>
      <c r="O13" s="197">
        <f>IF($H$32="M", $H$35+3*(100-$H$35)/12, $H$35+6*(100-$H$35)/30)</f>
        <v>55</v>
      </c>
      <c r="P13" s="206">
        <v>7</v>
      </c>
      <c r="Q13" s="19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199" t="str">
        <f t="shared" si="2"/>
        <v/>
      </c>
      <c r="N14" s="29"/>
      <c r="O14" s="197">
        <f>IF($H$32="M", $H$35+2*(100-$H$35)/12, $H$35+4*(100-$H$35)/30)</f>
        <v>50</v>
      </c>
      <c r="P14" s="206">
        <v>6</v>
      </c>
      <c r="Q14" s="19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199" t="str">
        <f t="shared" si="2"/>
        <v/>
      </c>
      <c r="O15" s="197">
        <f>IF($H$32="M", $H$35+1*(100-$H$35)/12, $H$35+2*(100-$H$35)/30)</f>
        <v>45</v>
      </c>
      <c r="P15" s="206">
        <v>5</v>
      </c>
      <c r="Q15" s="19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199" t="str">
        <f t="shared" si="2"/>
        <v/>
      </c>
      <c r="O16" s="197">
        <f>$H$35</f>
        <v>40</v>
      </c>
      <c r="P16" s="206">
        <v>4</v>
      </c>
      <c r="Q16" s="19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199" t="str">
        <f t="shared" si="2"/>
        <v/>
      </c>
      <c r="O17" s="197">
        <f>($H$34+2*($H$35-$H$34)/3)</f>
        <v>33.333333333333336</v>
      </c>
      <c r="P17" s="206">
        <v>3</v>
      </c>
      <c r="Q17" s="19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199" t="str">
        <f t="shared" si="2"/>
        <v/>
      </c>
      <c r="O18" s="197">
        <f>($H$34+($H$35-$H$34)/3)</f>
        <v>26.666666666666668</v>
      </c>
      <c r="P18" s="206">
        <v>2</v>
      </c>
      <c r="Q18" s="19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199" t="str">
        <f t="shared" si="2"/>
        <v/>
      </c>
      <c r="O19" s="197">
        <f>$H$34-0.1</f>
        <v>19.899999999999999</v>
      </c>
      <c r="P19" s="206">
        <v>1</v>
      </c>
      <c r="Q19" s="19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199" t="str">
        <f t="shared" si="2"/>
        <v/>
      </c>
      <c r="O20" s="197">
        <v>0</v>
      </c>
      <c r="P20" s="206">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199" t="str">
        <f t="shared" si="2"/>
        <v/>
      </c>
      <c r="O21" s="195"/>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199"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199"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199"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199"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199"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199"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199"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199"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199" t="str">
        <f t="shared" si="2"/>
        <v/>
      </c>
    </row>
    <row r="31" spans="1:17" ht="13.5" thickBot="1" x14ac:dyDescent="0.25">
      <c r="A31" s="8">
        <v>28</v>
      </c>
      <c r="B31" s="44" t="str">
        <f>IF('1. Halbjahr'!B31&lt;&gt;"", '1. Halbjahr'!B31, "")</f>
        <v/>
      </c>
      <c r="C31" s="45" t="str">
        <f t="shared" ca="1" si="1"/>
        <v/>
      </c>
      <c r="D31" s="5"/>
      <c r="E31" s="23"/>
      <c r="J31" s="69" t="str">
        <f t="shared" si="0"/>
        <v/>
      </c>
      <c r="K31" s="47"/>
      <c r="L31" s="67"/>
      <c r="M31" s="199"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199"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199"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199"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199"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199" t="str">
        <f t="shared" si="2"/>
        <v/>
      </c>
    </row>
    <row r="37" spans="1:49" x14ac:dyDescent="0.2">
      <c r="A37" s="8">
        <v>34</v>
      </c>
      <c r="B37" s="44" t="str">
        <f>IF('1. Halbjahr'!B37&lt;&gt;"", '1. Halbjahr'!B37, "")</f>
        <v/>
      </c>
      <c r="C37" s="45" t="str">
        <f t="shared" ca="1" si="1"/>
        <v/>
      </c>
      <c r="D37" s="5"/>
      <c r="E37" s="23"/>
      <c r="J37" s="69" t="str">
        <f t="shared" si="0"/>
        <v/>
      </c>
      <c r="K37" s="67"/>
      <c r="L37" s="67"/>
      <c r="M37" s="199"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199"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63" t="s">
        <v>77</v>
      </c>
      <c r="B40" s="88" t="s">
        <v>75</v>
      </c>
      <c r="C40" s="471" t="s">
        <v>72</v>
      </c>
      <c r="D40" s="472"/>
      <c r="E40" s="475" t="s">
        <v>153</v>
      </c>
      <c r="F40" s="475"/>
      <c r="G40" s="476"/>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4"/>
      <c r="B41" s="29" t="s">
        <v>73</v>
      </c>
      <c r="C41" s="473" t="s">
        <v>74</v>
      </c>
      <c r="D41" s="474"/>
      <c r="E41" s="477" t="s">
        <v>154</v>
      </c>
      <c r="F41" s="477"/>
      <c r="G41" s="478"/>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5"/>
      <c r="B42" s="29"/>
      <c r="C42" s="216" t="s">
        <v>21</v>
      </c>
      <c r="D42" s="217" t="s">
        <v>22</v>
      </c>
      <c r="E42" s="477" t="s">
        <v>155</v>
      </c>
      <c r="F42" s="477"/>
      <c r="G42" s="478"/>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7"/>
      <c r="B43" s="210" t="str">
        <f>IF(C43&lt;D43,"ALARM!   Breite zu klein", TEXT(C43-D43+0.5,"#0,0")&amp;"                      "&amp;"15   ")</f>
        <v xml:space="preserve">1,0                      15   </v>
      </c>
      <c r="C43" s="202">
        <f>ROUNDDOWN(Q4/500*$H$30, 1)*5</f>
        <v>12</v>
      </c>
      <c r="D43" s="202">
        <f>C44+0.5</f>
        <v>11.5</v>
      </c>
      <c r="E43" s="218"/>
      <c r="F43" s="219" t="str">
        <f>IF(ABS(SUM($A$43:A43))&gt;1, "ALARM","")</f>
        <v/>
      </c>
      <c r="G43" s="220"/>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8"/>
      <c r="B44" s="211" t="str">
        <f>IF(C44&lt;D44,"ALARM!   Breite zu klein", TEXT(C44-D44+0.5,"#0,0")&amp;"                      "&amp;"14   ")</f>
        <v xml:space="preserve">0,5                      14   </v>
      </c>
      <c r="C44" s="200">
        <f t="shared" ref="C44:C57" si="5">ROUNDDOWN(Q5/500*$H$30, 1)*5</f>
        <v>11</v>
      </c>
      <c r="D44" s="200">
        <f t="shared" ref="D44:D56" si="6">C45+0.5</f>
        <v>11</v>
      </c>
      <c r="E44" s="221"/>
      <c r="F44" s="222" t="str">
        <f>IF(ABS(SUM($A$43:A44))&gt;1, "ALARM","")</f>
        <v/>
      </c>
      <c r="G44" s="223"/>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09"/>
      <c r="B45" s="212" t="str">
        <f>IF(C45&lt;D45,"ALARM!   Breite zu klein", TEXT(C45-D45+0.5,"#0,0")&amp;"                      "&amp;"13   ")</f>
        <v xml:space="preserve">0,5                      13   </v>
      </c>
      <c r="C45" s="203">
        <f t="shared" si="5"/>
        <v>10.5</v>
      </c>
      <c r="D45" s="203">
        <f t="shared" si="6"/>
        <v>10.5</v>
      </c>
      <c r="E45" s="221"/>
      <c r="F45" s="222" t="str">
        <f>IF(ABS(SUM($A$43:A45))&gt;1, "ALARM","")</f>
        <v/>
      </c>
      <c r="G45" s="223"/>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8"/>
      <c r="B46" s="210" t="str">
        <f>IF(C46&lt;D46,"ALARM!   Breite zu klein", TEXT(C46-D46+0.5,"#0,0")&amp;"                      "&amp;"12   ")</f>
        <v xml:space="preserve">0,5                      12   </v>
      </c>
      <c r="C46" s="202">
        <f t="shared" si="5"/>
        <v>10</v>
      </c>
      <c r="D46" s="202">
        <f t="shared" si="6"/>
        <v>10</v>
      </c>
      <c r="E46" s="218"/>
      <c r="F46" s="219" t="str">
        <f>IF(ABS(SUM($A$43:A46))&gt;1, "ALARM","")</f>
        <v/>
      </c>
      <c r="G46" s="220"/>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8"/>
      <c r="B47" s="211" t="str">
        <f>IF(C47&lt;D47,"ALARM!   Breite zu klein", TEXT(C47-D47+0.5,"#0,0")&amp;"                      "&amp;"11   ")</f>
        <v xml:space="preserve">0,5                      11   </v>
      </c>
      <c r="C47" s="200">
        <f t="shared" si="5"/>
        <v>9.5</v>
      </c>
      <c r="D47" s="200">
        <f t="shared" si="6"/>
        <v>9.5</v>
      </c>
      <c r="E47" s="221"/>
      <c r="F47" s="222" t="str">
        <f>IF(ABS(SUM($A$43:A47))&gt;1, "ALARM","")</f>
        <v/>
      </c>
      <c r="G47" s="223"/>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8"/>
      <c r="B48" s="212" t="str">
        <f>IF(C48&lt;D48,"ALARM!   Breite zu klein", TEXT(C48-D48+0.5,"#0,0")&amp;"                      "&amp;"10   ")</f>
        <v xml:space="preserve">1,0                      10   </v>
      </c>
      <c r="C48" s="203">
        <f t="shared" si="5"/>
        <v>9</v>
      </c>
      <c r="D48" s="203">
        <f t="shared" si="6"/>
        <v>8.5</v>
      </c>
      <c r="E48" s="221"/>
      <c r="F48" s="222" t="str">
        <f>IF(ABS(SUM($A$43:A48))&gt;1, "ALARM","")</f>
        <v/>
      </c>
      <c r="G48" s="223"/>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7"/>
      <c r="B49" s="210" t="str">
        <f>IF(C49&lt;D49,"ALARM!   Breite zu klein", TEXT(C49-D49+0.5,"#0,0")&amp;"                      "&amp;" 9   ")</f>
        <v xml:space="preserve">0,5                       9   </v>
      </c>
      <c r="C49" s="202">
        <f t="shared" si="5"/>
        <v>8</v>
      </c>
      <c r="D49" s="202">
        <f t="shared" si="6"/>
        <v>8</v>
      </c>
      <c r="E49" s="218"/>
      <c r="F49" s="219" t="str">
        <f>IF(ABS(SUM($A$43:A49))&gt;1, "ALARM","")</f>
        <v/>
      </c>
      <c r="G49" s="220"/>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8"/>
      <c r="B50" s="211" t="str">
        <f>IF(C50&lt;D50,"ALARM!   Breite zu klein", TEXT(C50-D50+0.5,"#0,0")&amp;"                      "&amp;" 8   ")</f>
        <v xml:space="preserve">0,5                       8   </v>
      </c>
      <c r="C50" s="200">
        <f t="shared" si="5"/>
        <v>7.5</v>
      </c>
      <c r="D50" s="200">
        <f t="shared" si="6"/>
        <v>7.5</v>
      </c>
      <c r="E50" s="221"/>
      <c r="F50" s="222" t="str">
        <f>IF(ABS(SUM($A$43:A50))&gt;1, "ALARM","")</f>
        <v/>
      </c>
      <c r="G50" s="223"/>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09"/>
      <c r="B51" s="212" t="str">
        <f>IF(C51&lt;D51,"ALARM!   Breite zu klein", TEXT(C51-D51+0.5,"#0,0")&amp;"                      "&amp;" 7   ")</f>
        <v xml:space="preserve">0,5                       7   </v>
      </c>
      <c r="C51" s="203">
        <f t="shared" si="5"/>
        <v>7</v>
      </c>
      <c r="D51" s="203">
        <f t="shared" si="6"/>
        <v>7</v>
      </c>
      <c r="E51" s="221"/>
      <c r="F51" s="222" t="str">
        <f>IF(ABS(SUM($A$43:A51))&gt;1, "ALARM","")</f>
        <v/>
      </c>
      <c r="G51" s="223"/>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8"/>
      <c r="B52" s="210" t="str">
        <f>IF(C52&lt;D52,"ALARM!   Breite zu klein", TEXT(C52-D52+0.5,"#0,0")&amp;"                      "&amp;" 6   ")</f>
        <v xml:space="preserve">0,5                       6   </v>
      </c>
      <c r="C52" s="202">
        <f t="shared" si="5"/>
        <v>6.5</v>
      </c>
      <c r="D52" s="202">
        <f t="shared" si="6"/>
        <v>6.5</v>
      </c>
      <c r="E52" s="218"/>
      <c r="F52" s="219" t="str">
        <f>IF(ABS(SUM($A$43:A52))&gt;1, "ALARM","")</f>
        <v/>
      </c>
      <c r="G52" s="220"/>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8"/>
      <c r="B53" s="211" t="str">
        <f>IF(C53&lt;D53,"ALARM!   Breite zu klein", TEXT(C53-D53+0.5,"#0,0")&amp;"                      "&amp;" 5   ")</f>
        <v xml:space="preserve">1,0                       5   </v>
      </c>
      <c r="C53" s="200">
        <f t="shared" si="5"/>
        <v>6</v>
      </c>
      <c r="D53" s="200">
        <f t="shared" si="6"/>
        <v>5.5</v>
      </c>
      <c r="E53" s="221"/>
      <c r="F53" s="222" t="str">
        <f>IF(ABS(SUM($A$43:A53))&gt;1, "ALARM","")</f>
        <v/>
      </c>
      <c r="G53" s="223"/>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8"/>
      <c r="B54" s="212" t="str">
        <f>IF(C54&lt;D54,"ALARM!   Breite zu klein", TEXT(C54-D54+0.5,"#0,0")&amp;"                      "&amp;" 4   ")</f>
        <v xml:space="preserve">0,5                       4   </v>
      </c>
      <c r="C54" s="203">
        <f t="shared" si="5"/>
        <v>5</v>
      </c>
      <c r="D54" s="203">
        <f t="shared" si="6"/>
        <v>5</v>
      </c>
      <c r="E54" s="221"/>
      <c r="F54" s="222" t="str">
        <f>IF(ABS(SUM($A$43:A54))&gt;1, "ALARM","")</f>
        <v/>
      </c>
      <c r="G54" s="223"/>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7"/>
      <c r="B55" s="210" t="str">
        <f>IF(C55&lt;D55,"ALARM!   Breite zu klein", TEXT(C55-D55+0.5,"#0,0")&amp;"                      "&amp;" 3   ")</f>
        <v xml:space="preserve">0,5                       3   </v>
      </c>
      <c r="C55" s="202">
        <f t="shared" si="5"/>
        <v>4.5</v>
      </c>
      <c r="D55" s="202">
        <f t="shared" si="6"/>
        <v>4.5</v>
      </c>
      <c r="E55" s="218"/>
      <c r="F55" s="219" t="str">
        <f>IF(ABS(SUM($A$43:A55))&gt;1, "ALARM","")</f>
        <v/>
      </c>
      <c r="G55" s="220"/>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8"/>
      <c r="B56" s="211" t="str">
        <f>IF(C56&lt;D56,"ALARM!   Breite zu klein", TEXT(C56-D56+0.5,"#0,0")&amp;"                      "&amp;" 2   ")</f>
        <v xml:space="preserve">1,0                       2   </v>
      </c>
      <c r="C56" s="200">
        <f t="shared" si="5"/>
        <v>4</v>
      </c>
      <c r="D56" s="200">
        <f t="shared" si="6"/>
        <v>3.5</v>
      </c>
      <c r="E56" s="221"/>
      <c r="F56" s="222" t="str">
        <f>IF(ABS(SUM($A$43:A56))&gt;1, "ALARM","")</f>
        <v/>
      </c>
      <c r="G56" s="223"/>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09"/>
      <c r="B57" s="212" t="str">
        <f>IF(C57&lt;D57,"ALARM!   Breite zu klein", TEXT(C57-D57+0.5,"#0,0")&amp;"                      "&amp;" 1   ")</f>
        <v xml:space="preserve">1,0                       1   </v>
      </c>
      <c r="C57" s="203">
        <f t="shared" si="5"/>
        <v>3</v>
      </c>
      <c r="D57" s="203">
        <f>ROUNDUP(H34/500*$H$30,1)*5</f>
        <v>2.5</v>
      </c>
      <c r="E57" s="224"/>
      <c r="F57" s="222" t="str">
        <f>IF(ABS(SUM($A$43:A57))&gt;1, "ALARM","")</f>
        <v/>
      </c>
      <c r="G57" s="225"/>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3"/>
      <c r="B58" s="210" t="str">
        <f>IF(C58&lt;D58,"ALARM!   Breite zu klein", TEXT(C58-D58+0.5,"#0,0")&amp;"                      "&amp;" 0   ")</f>
        <v xml:space="preserve">2,5                       0   </v>
      </c>
      <c r="C58" s="201">
        <f>D57-0.5</f>
        <v>2</v>
      </c>
      <c r="D58" s="204">
        <v>0</v>
      </c>
      <c r="E58" s="226"/>
      <c r="F58" s="226" t="str">
        <f>IF(ABS(SUM($A$43:A58))&gt;1, "ALARM","")</f>
        <v/>
      </c>
      <c r="G58" s="227"/>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4"/>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5" priority="3" stopIfTrue="1">
      <formula>$H$3="Punkte"</formula>
    </cfRule>
    <cfRule type="expression" dxfId="74" priority="4" stopIfTrue="1">
      <formula>$H$3="BE"</formula>
    </cfRule>
  </conditionalFormatting>
  <conditionalFormatting sqref="F43:F58">
    <cfRule type="cellIs" dxfId="73" priority="2" operator="equal">
      <formula>"ALARM"</formula>
    </cfRule>
  </conditionalFormatting>
  <conditionalFormatting sqref="B43:B58">
    <cfRule type="cellIs" dxfId="7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E40"/>
  <sheetViews>
    <sheetView showGridLines="0" zoomScaleNormal="92" workbookViewId="0">
      <pane ySplit="1" topLeftCell="A2" activePane="bottomLeft" state="frozen"/>
      <selection activeCell="H44" sqref="H44"/>
      <selection pane="bottomLeft" activeCell="C2" sqref="C2:O2"/>
    </sheetView>
  </sheetViews>
  <sheetFormatPr baseColWidth="10" defaultRowHeight="12.75" x14ac:dyDescent="0.2"/>
  <cols>
    <col min="1" max="1" width="3.7109375" style="147" customWidth="1"/>
    <col min="2" max="2" width="25.140625" style="147" customWidth="1"/>
    <col min="3" max="10" width="4" style="147" customWidth="1"/>
    <col min="11" max="15" width="5.7109375" style="147" customWidth="1"/>
    <col min="16" max="16" width="3" style="147" customWidth="1"/>
    <col min="17" max="18" width="5.7109375" style="147" customWidth="1"/>
    <col min="19" max="19" width="5.140625" style="147" customWidth="1"/>
    <col min="20" max="20" width="4.42578125" style="147" customWidth="1"/>
    <col min="21" max="21" width="3" style="147" customWidth="1"/>
    <col min="22" max="25" width="5.140625" style="147" customWidth="1"/>
    <col min="26" max="26" width="11" style="147" customWidth="1"/>
    <col min="27" max="29" width="4" style="147" customWidth="1"/>
    <col min="30" max="30" width="0" style="147" hidden="1" customWidth="1"/>
    <col min="31" max="31" width="5.28515625" style="147" hidden="1" customWidth="1"/>
    <col min="32" max="16384" width="11.42578125" style="147"/>
  </cols>
  <sheetData>
    <row r="1" spans="1:20" x14ac:dyDescent="0.2">
      <c r="A1" s="252" t="s">
        <v>5</v>
      </c>
      <c r="B1" s="253">
        <f>'1. Halbjahr'!B1</f>
        <v>0</v>
      </c>
      <c r="C1" s="171" t="s">
        <v>35</v>
      </c>
      <c r="D1" s="251"/>
      <c r="E1" s="479">
        <f>'1. Halbjahr'!E1:H1</f>
        <v>0</v>
      </c>
      <c r="F1" s="479"/>
      <c r="G1" s="479"/>
      <c r="H1" s="480"/>
      <c r="I1" s="457" t="s">
        <v>120</v>
      </c>
      <c r="J1" s="458"/>
      <c r="K1" s="461"/>
      <c r="L1" s="462"/>
      <c r="M1" s="251" t="s">
        <v>6</v>
      </c>
      <c r="N1" s="452">
        <f ca="1">TODAY()</f>
        <v>43442</v>
      </c>
      <c r="O1" s="453"/>
      <c r="P1" s="246"/>
      <c r="Q1" s="246"/>
      <c r="R1" s="246"/>
      <c r="S1" s="246"/>
      <c r="T1" s="148"/>
    </row>
    <row r="2" spans="1:20" ht="13.5" thickBot="1" x14ac:dyDescent="0.25">
      <c r="A2" s="254"/>
      <c r="B2" s="255" t="s">
        <v>95</v>
      </c>
      <c r="C2" s="454" t="s">
        <v>1</v>
      </c>
      <c r="D2" s="455"/>
      <c r="E2" s="455"/>
      <c r="F2" s="455"/>
      <c r="G2" s="455"/>
      <c r="H2" s="455"/>
      <c r="I2" s="455"/>
      <c r="J2" s="455"/>
      <c r="K2" s="455"/>
      <c r="L2" s="455"/>
      <c r="M2" s="455"/>
      <c r="N2" s="455"/>
      <c r="O2" s="456"/>
      <c r="P2" s="153"/>
      <c r="Q2" s="481" t="s">
        <v>126</v>
      </c>
      <c r="R2" s="482"/>
      <c r="S2" s="483"/>
    </row>
    <row r="3" spans="1:20" ht="13.5" thickBot="1" x14ac:dyDescent="0.25">
      <c r="A3" s="161"/>
      <c r="B3" s="160"/>
      <c r="C3" s="157" t="s">
        <v>119</v>
      </c>
      <c r="D3" s="159" t="s">
        <v>119</v>
      </c>
      <c r="E3" s="159" t="s">
        <v>100</v>
      </c>
      <c r="F3" s="159" t="s">
        <v>100</v>
      </c>
      <c r="G3" s="159" t="s">
        <v>100</v>
      </c>
      <c r="H3" s="159" t="s">
        <v>99</v>
      </c>
      <c r="I3" s="159" t="s">
        <v>99</v>
      </c>
      <c r="J3" s="159" t="s">
        <v>99</v>
      </c>
      <c r="K3" s="173" t="s">
        <v>96</v>
      </c>
      <c r="L3" s="173" t="s">
        <v>43</v>
      </c>
      <c r="M3" s="397" t="s">
        <v>43</v>
      </c>
      <c r="N3" s="398" t="s">
        <v>122</v>
      </c>
      <c r="O3" s="399" t="s">
        <v>123</v>
      </c>
      <c r="P3" s="400"/>
      <c r="Q3" s="401" t="s">
        <v>124</v>
      </c>
      <c r="R3" s="402" t="s">
        <v>125</v>
      </c>
      <c r="S3" s="403" t="s">
        <v>127</v>
      </c>
      <c r="T3" s="148"/>
    </row>
    <row r="4" spans="1:20" s="149" customFormat="1" ht="24.95" customHeight="1" x14ac:dyDescent="0.2">
      <c r="A4" s="174">
        <v>1</v>
      </c>
      <c r="B4" s="392" t="str">
        <f xml:space="preserve"> IF('1. Halbjahr'!B4="","",'1. Halbjahr'!B4)</f>
        <v/>
      </c>
      <c r="C4" s="249" t="str">
        <f ca="1">II1KA!C4</f>
        <v/>
      </c>
      <c r="D4" s="248" t="str">
        <f ca="1">II2KA!C4</f>
        <v/>
      </c>
      <c r="E4" s="167" t="str">
        <f ca="1">II1Ext!C4</f>
        <v/>
      </c>
      <c r="F4" s="154" t="str">
        <f ca="1">II2Ext!C4</f>
        <v/>
      </c>
      <c r="G4" s="154" t="str">
        <f ca="1">II3Ext!C4</f>
        <v/>
      </c>
      <c r="H4" s="145"/>
      <c r="I4" s="146"/>
      <c r="J4" s="144"/>
      <c r="K4" s="258" t="str">
        <f ca="1">IF(COUNT(C4:J4)&gt;0,SUMPRODUCT((C4:J4&lt;&gt;"")*1,C4:J4,$C$39:$J$39)/SUMPRODUCT((C4:J4&lt;&gt;"")*1,$C$39:$J$39),"")</f>
        <v/>
      </c>
      <c r="L4" s="259" t="str">
        <f ca="1">II1SA!C4</f>
        <v/>
      </c>
      <c r="M4" s="260" t="str">
        <f ca="1">II2SA!C4</f>
        <v/>
      </c>
      <c r="N4" s="155" t="str">
        <f ca="1">IF(COUNT(K4:M4)&gt;0,AVERAGEIF(K4:M4,"&lt;&gt;"""),"")</f>
        <v/>
      </c>
      <c r="O4" s="192" t="str">
        <f ca="1">IF(N4&lt;&gt;"",IF(N4&lt;1,0,ROUND(N4,0)),"")</f>
        <v/>
      </c>
      <c r="P4" s="187"/>
      <c r="Q4" s="265" t="str">
        <f ca="1">'1. Halbjahr'!O4</f>
        <v/>
      </c>
      <c r="R4" s="192" t="str">
        <f ca="1">IF(AND(O4&lt;&gt;"",Q4&lt;&gt;""), IF((O4+Q4)/2 &lt; 1,0, ROUND((O4+Q4)/2, 0)), IF(O4&lt;&gt;"", O4,""))</f>
        <v/>
      </c>
      <c r="S4" s="166"/>
      <c r="T4" s="247"/>
    </row>
    <row r="5" spans="1:20" s="149" customFormat="1" ht="24.95" customHeight="1" x14ac:dyDescent="0.2">
      <c r="A5" s="175">
        <v>2</v>
      </c>
      <c r="B5" s="396" t="str">
        <f xml:space="preserve"> IF('1. Halbjahr'!B5="","",'1. Halbjahr'!B5)</f>
        <v/>
      </c>
      <c r="C5" s="151" t="str">
        <f ca="1">II1KA!C5</f>
        <v/>
      </c>
      <c r="D5" s="168" t="str">
        <f ca="1">II2KA!C5</f>
        <v/>
      </c>
      <c r="E5" s="167" t="str">
        <f ca="1">II1Ext!C5</f>
        <v/>
      </c>
      <c r="F5" s="154" t="str">
        <f ca="1">II2Ext!C5</f>
        <v/>
      </c>
      <c r="G5" s="154" t="str">
        <f ca="1">II3Ext!C5</f>
        <v/>
      </c>
      <c r="H5" s="145"/>
      <c r="I5" s="145"/>
      <c r="J5" s="144"/>
      <c r="K5" s="258" t="str">
        <f t="shared" ref="K5:K38" ca="1" si="0">IF(COUNT(C5:J5)&gt;0,SUMPRODUCT((C5:J5&lt;&gt;"")*1,C5:J5,$C$39:$J$39)/SUMPRODUCT((C5:J5&lt;&gt;"")*1,$C$39:$J$39),"")</f>
        <v/>
      </c>
      <c r="L5" s="259" t="str">
        <f ca="1">II1SA!C5</f>
        <v/>
      </c>
      <c r="M5" s="260" t="str">
        <f ca="1">II2SA!C5</f>
        <v/>
      </c>
      <c r="N5" s="155" t="str">
        <f t="shared" ref="N5:N38" ca="1" si="1">IF(COUNT(K5:M5)&gt;0,AVERAGEIF(K5:M5,"&lt;&gt;"""),"")</f>
        <v/>
      </c>
      <c r="O5" s="193" t="str">
        <f t="shared" ref="O5:O38" ca="1" si="2">IF(N5&lt;&gt;"",IF(N5&lt;1,0,ROUND(N5,0)),"")</f>
        <v/>
      </c>
      <c r="P5" s="187"/>
      <c r="Q5" s="266" t="str">
        <f ca="1">'1. Halbjahr'!O5</f>
        <v/>
      </c>
      <c r="R5" s="192" t="str">
        <f t="shared" ref="R5:R38" ca="1" si="3">IF(AND(O5&lt;&gt;"",Q5&lt;&gt;""), IF((O5+Q5)/2 &lt; 1,0, ROUND((O5+Q5)/2, 0)), IF(O5&lt;&gt;"", O5,""))</f>
        <v/>
      </c>
      <c r="S5" s="166"/>
      <c r="T5" s="247"/>
    </row>
    <row r="6" spans="1:20" s="149" customFormat="1" ht="24.95" customHeight="1" x14ac:dyDescent="0.2">
      <c r="A6" s="175">
        <v>3</v>
      </c>
      <c r="B6" s="395" t="str">
        <f xml:space="preserve"> IF('1. Halbjahr'!B6="","",'1. Halbjahr'!B6)</f>
        <v/>
      </c>
      <c r="C6" s="151" t="str">
        <f ca="1">II1KA!C6</f>
        <v/>
      </c>
      <c r="D6" s="168" t="str">
        <f ca="1">II2KA!C6</f>
        <v/>
      </c>
      <c r="E6" s="167" t="str">
        <f ca="1">II1Ext!C6</f>
        <v/>
      </c>
      <c r="F6" s="154" t="str">
        <f ca="1">II2Ext!C6</f>
        <v/>
      </c>
      <c r="G6" s="154" t="str">
        <f ca="1">II3Ext!C6</f>
        <v/>
      </c>
      <c r="H6" s="146"/>
      <c r="I6" s="146"/>
      <c r="J6" s="144"/>
      <c r="K6" s="258" t="str">
        <f t="shared" ca="1" si="0"/>
        <v/>
      </c>
      <c r="L6" s="259" t="str">
        <f ca="1">II1SA!C6</f>
        <v/>
      </c>
      <c r="M6" s="260" t="str">
        <f ca="1">II2SA!C6</f>
        <v/>
      </c>
      <c r="N6" s="155" t="str">
        <f t="shared" ca="1" si="1"/>
        <v/>
      </c>
      <c r="O6" s="193" t="str">
        <f t="shared" ca="1" si="2"/>
        <v/>
      </c>
      <c r="P6" s="187"/>
      <c r="Q6" s="265" t="str">
        <f ca="1">'1. Halbjahr'!O6</f>
        <v/>
      </c>
      <c r="R6" s="192" t="str">
        <f t="shared" ca="1" si="3"/>
        <v/>
      </c>
      <c r="S6" s="166"/>
      <c r="T6" s="247"/>
    </row>
    <row r="7" spans="1:20" s="149" customFormat="1" ht="24.95" customHeight="1" x14ac:dyDescent="0.2">
      <c r="A7" s="175">
        <v>4</v>
      </c>
      <c r="B7" s="395" t="str">
        <f xml:space="preserve"> IF('1. Halbjahr'!B7="","",'1. Halbjahr'!B7)</f>
        <v/>
      </c>
      <c r="C7" s="151" t="str">
        <f ca="1">II1KA!C7</f>
        <v/>
      </c>
      <c r="D7" s="168" t="str">
        <f ca="1">II2KA!C7</f>
        <v/>
      </c>
      <c r="E7" s="167" t="str">
        <f ca="1">II1Ext!C7</f>
        <v/>
      </c>
      <c r="F7" s="154" t="str">
        <f ca="1">II2Ext!C7</f>
        <v/>
      </c>
      <c r="G7" s="154" t="str">
        <f ca="1">II3Ext!C7</f>
        <v/>
      </c>
      <c r="H7" s="146"/>
      <c r="I7" s="146"/>
      <c r="J7" s="144"/>
      <c r="K7" s="258" t="str">
        <f t="shared" ca="1" si="0"/>
        <v/>
      </c>
      <c r="L7" s="259" t="str">
        <f ca="1">II1SA!C7</f>
        <v/>
      </c>
      <c r="M7" s="260" t="str">
        <f ca="1">II2SA!C7</f>
        <v/>
      </c>
      <c r="N7" s="155" t="str">
        <f t="shared" ca="1" si="1"/>
        <v/>
      </c>
      <c r="O7" s="193" t="str">
        <f t="shared" ca="1" si="2"/>
        <v/>
      </c>
      <c r="P7" s="187"/>
      <c r="Q7" s="265" t="str">
        <f ca="1">'1. Halbjahr'!O7</f>
        <v/>
      </c>
      <c r="R7" s="192" t="str">
        <f t="shared" ca="1" si="3"/>
        <v/>
      </c>
      <c r="S7" s="166"/>
      <c r="T7" s="247"/>
    </row>
    <row r="8" spans="1:20" s="149" customFormat="1" ht="24.95" customHeight="1" x14ac:dyDescent="0.2">
      <c r="A8" s="175">
        <v>5</v>
      </c>
      <c r="B8" s="394" t="str">
        <f xml:space="preserve"> IF('1. Halbjahr'!B8="","",'1. Halbjahr'!B8)</f>
        <v/>
      </c>
      <c r="C8" s="151" t="str">
        <f ca="1">II1KA!C8</f>
        <v/>
      </c>
      <c r="D8" s="168" t="str">
        <f ca="1">II2KA!C8</f>
        <v/>
      </c>
      <c r="E8" s="167" t="str">
        <f ca="1">II1Ext!C8</f>
        <v/>
      </c>
      <c r="F8" s="154" t="str">
        <f ca="1">II2Ext!C8</f>
        <v/>
      </c>
      <c r="G8" s="154" t="str">
        <f ca="1">II3Ext!C8</f>
        <v/>
      </c>
      <c r="H8" s="146"/>
      <c r="I8" s="146"/>
      <c r="J8" s="144"/>
      <c r="K8" s="258" t="str">
        <f t="shared" ca="1" si="0"/>
        <v/>
      </c>
      <c r="L8" s="259" t="str">
        <f ca="1">II1SA!C8</f>
        <v/>
      </c>
      <c r="M8" s="260" t="str">
        <f ca="1">II2SA!C8</f>
        <v/>
      </c>
      <c r="N8" s="155" t="str">
        <f t="shared" ca="1" si="1"/>
        <v/>
      </c>
      <c r="O8" s="193" t="str">
        <f t="shared" ca="1" si="2"/>
        <v/>
      </c>
      <c r="P8" s="187"/>
      <c r="Q8" s="265" t="str">
        <f ca="1">'1. Halbjahr'!O8</f>
        <v/>
      </c>
      <c r="R8" s="192" t="str">
        <f t="shared" ca="1" si="3"/>
        <v/>
      </c>
      <c r="S8" s="166"/>
      <c r="T8" s="247"/>
    </row>
    <row r="9" spans="1:20" s="149" customFormat="1" ht="24.95" customHeight="1" x14ac:dyDescent="0.2">
      <c r="A9" s="175">
        <v>6</v>
      </c>
      <c r="B9" s="396" t="str">
        <f xml:space="preserve"> IF('1. Halbjahr'!B9="","",'1. Halbjahr'!B9)</f>
        <v/>
      </c>
      <c r="C9" s="151" t="str">
        <f ca="1">II1KA!C9</f>
        <v/>
      </c>
      <c r="D9" s="168" t="str">
        <f ca="1">II2KA!C9</f>
        <v/>
      </c>
      <c r="E9" s="167" t="str">
        <f ca="1">II1Ext!C9</f>
        <v/>
      </c>
      <c r="F9" s="154" t="str">
        <f ca="1">II2Ext!C9</f>
        <v/>
      </c>
      <c r="G9" s="154" t="str">
        <f ca="1">II3Ext!C9</f>
        <v/>
      </c>
      <c r="H9" s="146"/>
      <c r="I9" s="146"/>
      <c r="J9" s="144"/>
      <c r="K9" s="258" t="str">
        <f t="shared" ca="1" si="0"/>
        <v/>
      </c>
      <c r="L9" s="259" t="str">
        <f ca="1">II1SA!C9</f>
        <v/>
      </c>
      <c r="M9" s="260" t="str">
        <f ca="1">II2SA!C9</f>
        <v/>
      </c>
      <c r="N9" s="155" t="str">
        <f t="shared" ca="1" si="1"/>
        <v/>
      </c>
      <c r="O9" s="193" t="str">
        <f t="shared" ca="1" si="2"/>
        <v/>
      </c>
      <c r="P9" s="187"/>
      <c r="Q9" s="265" t="str">
        <f ca="1">'1. Halbjahr'!O9</f>
        <v/>
      </c>
      <c r="R9" s="192" t="str">
        <f t="shared" ca="1" si="3"/>
        <v/>
      </c>
      <c r="S9" s="166"/>
      <c r="T9" s="247"/>
    </row>
    <row r="10" spans="1:20" s="149" customFormat="1" ht="24.95" customHeight="1" x14ac:dyDescent="0.2">
      <c r="A10" s="175">
        <v>7</v>
      </c>
      <c r="B10" s="396" t="str">
        <f xml:space="preserve"> IF('1. Halbjahr'!B10="","",'1. Halbjahr'!B10)</f>
        <v/>
      </c>
      <c r="C10" s="151" t="str">
        <f ca="1">II1KA!C10</f>
        <v/>
      </c>
      <c r="D10" s="168" t="str">
        <f ca="1">II2KA!C10</f>
        <v/>
      </c>
      <c r="E10" s="167" t="str">
        <f ca="1">II1Ext!C10</f>
        <v/>
      </c>
      <c r="F10" s="154" t="str">
        <f ca="1">II2Ext!C10</f>
        <v/>
      </c>
      <c r="G10" s="154" t="str">
        <f ca="1">II3Ext!C10</f>
        <v/>
      </c>
      <c r="H10" s="146"/>
      <c r="I10" s="146"/>
      <c r="J10" s="144"/>
      <c r="K10" s="258" t="str">
        <f t="shared" ca="1" si="0"/>
        <v/>
      </c>
      <c r="L10" s="259" t="str">
        <f ca="1">II1SA!C10</f>
        <v/>
      </c>
      <c r="M10" s="260" t="str">
        <f ca="1">II2SA!C10</f>
        <v/>
      </c>
      <c r="N10" s="155" t="str">
        <f t="shared" ca="1" si="1"/>
        <v/>
      </c>
      <c r="O10" s="193" t="str">
        <f t="shared" ca="1" si="2"/>
        <v/>
      </c>
      <c r="P10" s="187"/>
      <c r="Q10" s="265" t="str">
        <f ca="1">'1. Halbjahr'!O10</f>
        <v/>
      </c>
      <c r="R10" s="192" t="str">
        <f t="shared" ca="1" si="3"/>
        <v/>
      </c>
      <c r="S10" s="166"/>
      <c r="T10" s="247"/>
    </row>
    <row r="11" spans="1:20" s="149" customFormat="1" ht="24.95" customHeight="1" x14ac:dyDescent="0.2">
      <c r="A11" s="175">
        <v>8</v>
      </c>
      <c r="B11" s="396" t="str">
        <f xml:space="preserve"> IF('1. Halbjahr'!B11="","",'1. Halbjahr'!B11)</f>
        <v/>
      </c>
      <c r="C11" s="151" t="str">
        <f ca="1">II1KA!C11</f>
        <v/>
      </c>
      <c r="D11" s="168" t="str">
        <f ca="1">II2KA!C11</f>
        <v/>
      </c>
      <c r="E11" s="167" t="str">
        <f ca="1">II1Ext!C11</f>
        <v/>
      </c>
      <c r="F11" s="154" t="str">
        <f ca="1">II2Ext!C11</f>
        <v/>
      </c>
      <c r="G11" s="154" t="str">
        <f ca="1">II3Ext!C11</f>
        <v/>
      </c>
      <c r="H11" s="146"/>
      <c r="I11" s="146"/>
      <c r="J11" s="144"/>
      <c r="K11" s="258" t="str">
        <f t="shared" ca="1" si="0"/>
        <v/>
      </c>
      <c r="L11" s="259" t="str">
        <f ca="1">II1SA!C11</f>
        <v/>
      </c>
      <c r="M11" s="260" t="str">
        <f ca="1">II2SA!C11</f>
        <v/>
      </c>
      <c r="N11" s="155" t="str">
        <f t="shared" ca="1" si="1"/>
        <v/>
      </c>
      <c r="O11" s="193" t="str">
        <f t="shared" ca="1" si="2"/>
        <v/>
      </c>
      <c r="P11" s="187"/>
      <c r="Q11" s="265" t="str">
        <f ca="1">'1. Halbjahr'!O11</f>
        <v/>
      </c>
      <c r="R11" s="192" t="str">
        <f t="shared" ca="1" si="3"/>
        <v/>
      </c>
      <c r="S11" s="166"/>
      <c r="T11" s="247"/>
    </row>
    <row r="12" spans="1:20" s="149" customFormat="1" ht="24.95" customHeight="1" x14ac:dyDescent="0.2">
      <c r="A12" s="175">
        <v>9</v>
      </c>
      <c r="B12" s="395" t="str">
        <f xml:space="preserve"> IF('1. Halbjahr'!B12="","",'1. Halbjahr'!B12)</f>
        <v/>
      </c>
      <c r="C12" s="151" t="str">
        <f ca="1">II1KA!C12</f>
        <v/>
      </c>
      <c r="D12" s="168" t="str">
        <f ca="1">II2KA!C12</f>
        <v/>
      </c>
      <c r="E12" s="167" t="str">
        <f ca="1">II1Ext!C12</f>
        <v/>
      </c>
      <c r="F12" s="154" t="str">
        <f ca="1">II2Ext!C12</f>
        <v/>
      </c>
      <c r="G12" s="154" t="str">
        <f ca="1">II3Ext!C12</f>
        <v/>
      </c>
      <c r="H12" s="146"/>
      <c r="I12" s="146"/>
      <c r="J12" s="144"/>
      <c r="K12" s="258" t="str">
        <f t="shared" ca="1" si="0"/>
        <v/>
      </c>
      <c r="L12" s="259" t="str">
        <f ca="1">II1SA!C12</f>
        <v/>
      </c>
      <c r="M12" s="260" t="str">
        <f ca="1">II2SA!C12</f>
        <v/>
      </c>
      <c r="N12" s="155" t="str">
        <f t="shared" ca="1" si="1"/>
        <v/>
      </c>
      <c r="O12" s="193" t="str">
        <f t="shared" ca="1" si="2"/>
        <v/>
      </c>
      <c r="P12" s="187"/>
      <c r="Q12" s="265" t="str">
        <f ca="1">'1. Halbjahr'!O12</f>
        <v/>
      </c>
      <c r="R12" s="192" t="str">
        <f t="shared" ca="1" si="3"/>
        <v/>
      </c>
      <c r="S12" s="166"/>
      <c r="T12" s="247"/>
    </row>
    <row r="13" spans="1:20" s="149" customFormat="1" ht="24.95" customHeight="1" x14ac:dyDescent="0.2">
      <c r="A13" s="175">
        <v>10</v>
      </c>
      <c r="B13" s="394" t="str">
        <f xml:space="preserve"> IF('1. Halbjahr'!B13="","",'1. Halbjahr'!B13)</f>
        <v/>
      </c>
      <c r="C13" s="151" t="str">
        <f ca="1">II1KA!C13</f>
        <v/>
      </c>
      <c r="D13" s="168" t="str">
        <f ca="1">II2KA!C13</f>
        <v/>
      </c>
      <c r="E13" s="167" t="str">
        <f ca="1">II1Ext!C13</f>
        <v/>
      </c>
      <c r="F13" s="154" t="str">
        <f ca="1">II2Ext!C13</f>
        <v/>
      </c>
      <c r="G13" s="154" t="str">
        <f ca="1">II3Ext!C13</f>
        <v/>
      </c>
      <c r="H13" s="146"/>
      <c r="I13" s="146"/>
      <c r="J13" s="144"/>
      <c r="K13" s="258" t="str">
        <f t="shared" ca="1" si="0"/>
        <v/>
      </c>
      <c r="L13" s="259" t="str">
        <f ca="1">II1SA!C13</f>
        <v/>
      </c>
      <c r="M13" s="260" t="str">
        <f ca="1">II2SA!C13</f>
        <v/>
      </c>
      <c r="N13" s="155" t="str">
        <f t="shared" ca="1" si="1"/>
        <v/>
      </c>
      <c r="O13" s="193" t="str">
        <f t="shared" ca="1" si="2"/>
        <v/>
      </c>
      <c r="P13" s="187"/>
      <c r="Q13" s="265" t="str">
        <f ca="1">'1. Halbjahr'!O13</f>
        <v/>
      </c>
      <c r="R13" s="192" t="str">
        <f t="shared" ca="1" si="3"/>
        <v/>
      </c>
      <c r="S13" s="166"/>
      <c r="T13" s="247"/>
    </row>
    <row r="14" spans="1:20" s="149" customFormat="1" ht="24.95" customHeight="1" x14ac:dyDescent="0.2">
      <c r="A14" s="175">
        <v>11</v>
      </c>
      <c r="B14" s="396" t="str">
        <f xml:space="preserve"> IF('1. Halbjahr'!B14="","",'1. Halbjahr'!B14)</f>
        <v/>
      </c>
      <c r="C14" s="151" t="str">
        <f ca="1">II1KA!C14</f>
        <v/>
      </c>
      <c r="D14" s="168" t="str">
        <f ca="1">II2KA!C14</f>
        <v/>
      </c>
      <c r="E14" s="167" t="str">
        <f ca="1">II1Ext!C14</f>
        <v/>
      </c>
      <c r="F14" s="154" t="str">
        <f ca="1">II2Ext!C14</f>
        <v/>
      </c>
      <c r="G14" s="154" t="str">
        <f ca="1">II3Ext!C14</f>
        <v/>
      </c>
      <c r="H14" s="146"/>
      <c r="I14" s="146"/>
      <c r="J14" s="144"/>
      <c r="K14" s="258" t="str">
        <f t="shared" ca="1" si="0"/>
        <v/>
      </c>
      <c r="L14" s="259" t="str">
        <f ca="1">II1SA!C14</f>
        <v/>
      </c>
      <c r="M14" s="260" t="str">
        <f ca="1">II2SA!C14</f>
        <v/>
      </c>
      <c r="N14" s="155" t="str">
        <f t="shared" ca="1" si="1"/>
        <v/>
      </c>
      <c r="O14" s="193" t="str">
        <f t="shared" ca="1" si="2"/>
        <v/>
      </c>
      <c r="P14" s="187"/>
      <c r="Q14" s="265" t="str">
        <f ca="1">'1. Halbjahr'!O14</f>
        <v/>
      </c>
      <c r="R14" s="192" t="str">
        <f t="shared" ca="1" si="3"/>
        <v/>
      </c>
      <c r="S14" s="166"/>
      <c r="T14" s="247"/>
    </row>
    <row r="15" spans="1:20" s="149" customFormat="1" ht="24.95" customHeight="1" x14ac:dyDescent="0.2">
      <c r="A15" s="175">
        <v>12</v>
      </c>
      <c r="B15" s="395" t="str">
        <f xml:space="preserve"> IF('1. Halbjahr'!B15="","",'1. Halbjahr'!B15)</f>
        <v/>
      </c>
      <c r="C15" s="151" t="str">
        <f ca="1">II1KA!C15</f>
        <v/>
      </c>
      <c r="D15" s="168" t="str">
        <f ca="1">II2KA!C15</f>
        <v/>
      </c>
      <c r="E15" s="167" t="str">
        <f ca="1">II1Ext!C15</f>
        <v/>
      </c>
      <c r="F15" s="154" t="str">
        <f ca="1">II2Ext!C15</f>
        <v/>
      </c>
      <c r="G15" s="154" t="str">
        <f ca="1">II3Ext!C15</f>
        <v/>
      </c>
      <c r="H15" s="146"/>
      <c r="I15" s="146"/>
      <c r="J15" s="144"/>
      <c r="K15" s="258" t="str">
        <f t="shared" ca="1" si="0"/>
        <v/>
      </c>
      <c r="L15" s="259" t="str">
        <f ca="1">II1SA!C15</f>
        <v/>
      </c>
      <c r="M15" s="260" t="str">
        <f ca="1">II2SA!C15</f>
        <v/>
      </c>
      <c r="N15" s="155" t="str">
        <f t="shared" ca="1" si="1"/>
        <v/>
      </c>
      <c r="O15" s="193" t="str">
        <f t="shared" ca="1" si="2"/>
        <v/>
      </c>
      <c r="P15" s="187"/>
      <c r="Q15" s="265" t="str">
        <f ca="1">'1. Halbjahr'!O15</f>
        <v/>
      </c>
      <c r="R15" s="192" t="str">
        <f t="shared" ca="1" si="3"/>
        <v/>
      </c>
      <c r="S15" s="166"/>
      <c r="T15" s="247"/>
    </row>
    <row r="16" spans="1:20" s="149" customFormat="1" ht="24.95" customHeight="1" x14ac:dyDescent="0.2">
      <c r="A16" s="175">
        <v>13</v>
      </c>
      <c r="B16" s="394" t="str">
        <f xml:space="preserve"> IF('1. Halbjahr'!B16="","",'1. Halbjahr'!B16)</f>
        <v/>
      </c>
      <c r="C16" s="151" t="str">
        <f ca="1">II1KA!C16</f>
        <v/>
      </c>
      <c r="D16" s="168" t="str">
        <f ca="1">II2KA!C16</f>
        <v/>
      </c>
      <c r="E16" s="167" t="str">
        <f ca="1">II1Ext!C16</f>
        <v/>
      </c>
      <c r="F16" s="154" t="str">
        <f ca="1">II2Ext!C16</f>
        <v/>
      </c>
      <c r="G16" s="154" t="str">
        <f ca="1">II3Ext!C16</f>
        <v/>
      </c>
      <c r="H16" s="146"/>
      <c r="I16" s="146"/>
      <c r="J16" s="144"/>
      <c r="K16" s="258" t="str">
        <f t="shared" ca="1" si="0"/>
        <v/>
      </c>
      <c r="L16" s="259" t="str">
        <f ca="1">II1SA!C16</f>
        <v/>
      </c>
      <c r="M16" s="260" t="str">
        <f ca="1">II2SA!C16</f>
        <v/>
      </c>
      <c r="N16" s="155" t="str">
        <f t="shared" ca="1" si="1"/>
        <v/>
      </c>
      <c r="O16" s="193" t="str">
        <f t="shared" ca="1" si="2"/>
        <v/>
      </c>
      <c r="P16" s="187"/>
      <c r="Q16" s="265" t="str">
        <f ca="1">'1. Halbjahr'!O16</f>
        <v/>
      </c>
      <c r="R16" s="192" t="str">
        <f t="shared" ca="1" si="3"/>
        <v/>
      </c>
      <c r="S16" s="166"/>
      <c r="T16" s="247"/>
    </row>
    <row r="17" spans="1:20" s="149" customFormat="1" ht="24.95" customHeight="1" x14ac:dyDescent="0.2">
      <c r="A17" s="175">
        <v>14</v>
      </c>
      <c r="B17" s="396" t="str">
        <f xml:space="preserve"> IF('1. Halbjahr'!B17="","",'1. Halbjahr'!B17)</f>
        <v/>
      </c>
      <c r="C17" s="151" t="str">
        <f ca="1">II1KA!C17</f>
        <v/>
      </c>
      <c r="D17" s="168" t="str">
        <f ca="1">II2KA!C17</f>
        <v/>
      </c>
      <c r="E17" s="167" t="str">
        <f ca="1">II1Ext!C17</f>
        <v/>
      </c>
      <c r="F17" s="154" t="str">
        <f ca="1">II2Ext!C17</f>
        <v/>
      </c>
      <c r="G17" s="154" t="str">
        <f ca="1">II3Ext!C17</f>
        <v/>
      </c>
      <c r="H17" s="146"/>
      <c r="I17" s="146"/>
      <c r="J17" s="144"/>
      <c r="K17" s="258" t="str">
        <f t="shared" ca="1" si="0"/>
        <v/>
      </c>
      <c r="L17" s="259" t="str">
        <f ca="1">II1SA!C17</f>
        <v/>
      </c>
      <c r="M17" s="260" t="str">
        <f ca="1">II2SA!C17</f>
        <v/>
      </c>
      <c r="N17" s="155" t="str">
        <f t="shared" ca="1" si="1"/>
        <v/>
      </c>
      <c r="O17" s="193" t="str">
        <f t="shared" ca="1" si="2"/>
        <v/>
      </c>
      <c r="P17" s="187"/>
      <c r="Q17" s="265" t="str">
        <f ca="1">'1. Halbjahr'!O17</f>
        <v/>
      </c>
      <c r="R17" s="192" t="str">
        <f t="shared" ca="1" si="3"/>
        <v/>
      </c>
      <c r="S17" s="166"/>
      <c r="T17" s="247"/>
    </row>
    <row r="18" spans="1:20" s="149" customFormat="1" ht="24.95" customHeight="1" x14ac:dyDescent="0.2">
      <c r="A18" s="175">
        <v>15</v>
      </c>
      <c r="B18" s="395" t="str">
        <f xml:space="preserve"> IF('1. Halbjahr'!B18="","",'1. Halbjahr'!B18)</f>
        <v/>
      </c>
      <c r="C18" s="151" t="str">
        <f ca="1">II1KA!C18</f>
        <v/>
      </c>
      <c r="D18" s="168" t="str">
        <f ca="1">II2KA!C18</f>
        <v/>
      </c>
      <c r="E18" s="167" t="str">
        <f ca="1">II1Ext!C18</f>
        <v/>
      </c>
      <c r="F18" s="154" t="str">
        <f ca="1">II2Ext!C18</f>
        <v/>
      </c>
      <c r="G18" s="154" t="str">
        <f ca="1">II3Ext!C18</f>
        <v/>
      </c>
      <c r="H18" s="146"/>
      <c r="I18" s="146"/>
      <c r="J18" s="144"/>
      <c r="K18" s="258" t="str">
        <f t="shared" ca="1" si="0"/>
        <v/>
      </c>
      <c r="L18" s="259" t="str">
        <f ca="1">II1SA!C18</f>
        <v/>
      </c>
      <c r="M18" s="260" t="str">
        <f ca="1">II2SA!C18</f>
        <v/>
      </c>
      <c r="N18" s="155" t="str">
        <f t="shared" ca="1" si="1"/>
        <v/>
      </c>
      <c r="O18" s="193" t="str">
        <f t="shared" ca="1" si="2"/>
        <v/>
      </c>
      <c r="P18" s="187"/>
      <c r="Q18" s="265" t="str">
        <f ca="1">'1. Halbjahr'!O18</f>
        <v/>
      </c>
      <c r="R18" s="192" t="str">
        <f t="shared" ca="1" si="3"/>
        <v/>
      </c>
      <c r="S18" s="166"/>
      <c r="T18" s="247"/>
    </row>
    <row r="19" spans="1:20" s="149" customFormat="1" ht="24.95" customHeight="1" x14ac:dyDescent="0.2">
      <c r="A19" s="175">
        <v>16</v>
      </c>
      <c r="B19" s="395" t="str">
        <f xml:space="preserve"> IF('1. Halbjahr'!B19="","",'1. Halbjahr'!B19)</f>
        <v/>
      </c>
      <c r="C19" s="151" t="str">
        <f ca="1">II1KA!C19</f>
        <v/>
      </c>
      <c r="D19" s="168" t="str">
        <f ca="1">II2KA!C19</f>
        <v/>
      </c>
      <c r="E19" s="167" t="str">
        <f ca="1">II1Ext!C19</f>
        <v/>
      </c>
      <c r="F19" s="154" t="str">
        <f ca="1">II2Ext!C19</f>
        <v/>
      </c>
      <c r="G19" s="154" t="str">
        <f ca="1">II3Ext!C19</f>
        <v/>
      </c>
      <c r="H19" s="146"/>
      <c r="I19" s="146"/>
      <c r="J19" s="144"/>
      <c r="K19" s="258" t="str">
        <f t="shared" ca="1" si="0"/>
        <v/>
      </c>
      <c r="L19" s="259" t="str">
        <f ca="1">II1SA!C19</f>
        <v/>
      </c>
      <c r="M19" s="260" t="str">
        <f ca="1">II2SA!C19</f>
        <v/>
      </c>
      <c r="N19" s="155" t="str">
        <f t="shared" ca="1" si="1"/>
        <v/>
      </c>
      <c r="O19" s="193" t="str">
        <f t="shared" ca="1" si="2"/>
        <v/>
      </c>
      <c r="P19" s="187"/>
      <c r="Q19" s="265" t="str">
        <f ca="1">'1. Halbjahr'!O19</f>
        <v/>
      </c>
      <c r="R19" s="192" t="str">
        <f t="shared" ca="1" si="3"/>
        <v/>
      </c>
      <c r="S19" s="166"/>
      <c r="T19" s="247"/>
    </row>
    <row r="20" spans="1:20" s="149" customFormat="1" ht="24.95" customHeight="1" x14ac:dyDescent="0.2">
      <c r="A20" s="175">
        <v>17</v>
      </c>
      <c r="B20" s="395" t="str">
        <f xml:space="preserve"> IF('1. Halbjahr'!B20="","",'1. Halbjahr'!B20)</f>
        <v/>
      </c>
      <c r="C20" s="151" t="str">
        <f ca="1">II1KA!C20</f>
        <v/>
      </c>
      <c r="D20" s="168" t="str">
        <f ca="1">II2KA!C20</f>
        <v/>
      </c>
      <c r="E20" s="167" t="str">
        <f ca="1">II1Ext!C20</f>
        <v/>
      </c>
      <c r="F20" s="154" t="str">
        <f ca="1">II2Ext!C20</f>
        <v/>
      </c>
      <c r="G20" s="154" t="str">
        <f ca="1">II3Ext!C20</f>
        <v/>
      </c>
      <c r="H20" s="146"/>
      <c r="I20" s="146"/>
      <c r="J20" s="144"/>
      <c r="K20" s="258" t="str">
        <f t="shared" ca="1" si="0"/>
        <v/>
      </c>
      <c r="L20" s="259" t="str">
        <f ca="1">II1SA!C20</f>
        <v/>
      </c>
      <c r="M20" s="260" t="str">
        <f ca="1">II2SA!C20</f>
        <v/>
      </c>
      <c r="N20" s="155" t="str">
        <f t="shared" ca="1" si="1"/>
        <v/>
      </c>
      <c r="O20" s="193" t="str">
        <f t="shared" ca="1" si="2"/>
        <v/>
      </c>
      <c r="P20" s="187"/>
      <c r="Q20" s="265" t="str">
        <f ca="1">'1. Halbjahr'!O20</f>
        <v/>
      </c>
      <c r="R20" s="192" t="str">
        <f t="shared" ca="1" si="3"/>
        <v/>
      </c>
      <c r="S20" s="166"/>
      <c r="T20" s="247"/>
    </row>
    <row r="21" spans="1:20" s="149" customFormat="1" ht="24.95" customHeight="1" x14ac:dyDescent="0.2">
      <c r="A21" s="175">
        <v>18</v>
      </c>
      <c r="B21" s="395" t="str">
        <f xml:space="preserve"> IF('1. Halbjahr'!B21="","",'1. Halbjahr'!B21)</f>
        <v/>
      </c>
      <c r="C21" s="151" t="str">
        <f ca="1">II1KA!C21</f>
        <v/>
      </c>
      <c r="D21" s="168" t="str">
        <f ca="1">II2KA!C21</f>
        <v/>
      </c>
      <c r="E21" s="167" t="str">
        <f ca="1">II1Ext!C21</f>
        <v/>
      </c>
      <c r="F21" s="154" t="str">
        <f ca="1">II2Ext!C21</f>
        <v/>
      </c>
      <c r="G21" s="154" t="str">
        <f ca="1">II3Ext!C21</f>
        <v/>
      </c>
      <c r="H21" s="146"/>
      <c r="I21" s="146"/>
      <c r="J21" s="144"/>
      <c r="K21" s="258" t="str">
        <f t="shared" ca="1" si="0"/>
        <v/>
      </c>
      <c r="L21" s="259" t="str">
        <f ca="1">II1SA!C21</f>
        <v/>
      </c>
      <c r="M21" s="260" t="str">
        <f ca="1">II2SA!C21</f>
        <v/>
      </c>
      <c r="N21" s="155" t="str">
        <f t="shared" ca="1" si="1"/>
        <v/>
      </c>
      <c r="O21" s="193" t="str">
        <f t="shared" ca="1" si="2"/>
        <v/>
      </c>
      <c r="P21" s="187"/>
      <c r="Q21" s="265" t="str">
        <f ca="1">'1. Halbjahr'!O21</f>
        <v/>
      </c>
      <c r="R21" s="192" t="str">
        <f t="shared" ca="1" si="3"/>
        <v/>
      </c>
      <c r="S21" s="166"/>
      <c r="T21" s="247"/>
    </row>
    <row r="22" spans="1:20" s="149" customFormat="1" ht="24.95" customHeight="1" x14ac:dyDescent="0.2">
      <c r="A22" s="175">
        <v>19</v>
      </c>
      <c r="B22" s="394" t="str">
        <f xml:space="preserve"> IF('1. Halbjahr'!B22="","",'1. Halbjahr'!B22)</f>
        <v/>
      </c>
      <c r="C22" s="151" t="str">
        <f ca="1">II1KA!C22</f>
        <v/>
      </c>
      <c r="D22" s="168" t="str">
        <f ca="1">II2KA!C22</f>
        <v/>
      </c>
      <c r="E22" s="167" t="str">
        <f ca="1">II1Ext!C22</f>
        <v/>
      </c>
      <c r="F22" s="154" t="str">
        <f ca="1">II2Ext!C22</f>
        <v/>
      </c>
      <c r="G22" s="154" t="str">
        <f ca="1">II3Ext!C22</f>
        <v/>
      </c>
      <c r="H22" s="146"/>
      <c r="I22" s="146"/>
      <c r="J22" s="144"/>
      <c r="K22" s="258" t="str">
        <f t="shared" ca="1" si="0"/>
        <v/>
      </c>
      <c r="L22" s="259" t="str">
        <f ca="1">II1SA!C22</f>
        <v/>
      </c>
      <c r="M22" s="260" t="str">
        <f ca="1">II2SA!C22</f>
        <v/>
      </c>
      <c r="N22" s="155" t="str">
        <f t="shared" ca="1" si="1"/>
        <v/>
      </c>
      <c r="O22" s="193" t="str">
        <f t="shared" ca="1" si="2"/>
        <v/>
      </c>
      <c r="P22" s="187"/>
      <c r="Q22" s="265" t="str">
        <f ca="1">'1. Halbjahr'!O22</f>
        <v/>
      </c>
      <c r="R22" s="192" t="str">
        <f t="shared" ca="1" si="3"/>
        <v/>
      </c>
      <c r="S22" s="166"/>
      <c r="T22" s="247"/>
    </row>
    <row r="23" spans="1:20" s="149" customFormat="1" ht="24.95" customHeight="1" x14ac:dyDescent="0.2">
      <c r="A23" s="175">
        <v>20</v>
      </c>
      <c r="B23" s="396" t="str">
        <f xml:space="preserve"> IF('1. Halbjahr'!B23="","",'1. Halbjahr'!B23)</f>
        <v/>
      </c>
      <c r="C23" s="151" t="str">
        <f ca="1">II1KA!C23</f>
        <v/>
      </c>
      <c r="D23" s="168" t="str">
        <f ca="1">II2KA!C23</f>
        <v/>
      </c>
      <c r="E23" s="167" t="str">
        <f ca="1">II1Ext!C23</f>
        <v/>
      </c>
      <c r="F23" s="154" t="str">
        <f ca="1">II2Ext!C23</f>
        <v/>
      </c>
      <c r="G23" s="154" t="str">
        <f ca="1">II3Ext!C23</f>
        <v/>
      </c>
      <c r="H23" s="146"/>
      <c r="I23" s="146"/>
      <c r="J23" s="144"/>
      <c r="K23" s="258" t="str">
        <f t="shared" ca="1" si="0"/>
        <v/>
      </c>
      <c r="L23" s="259" t="str">
        <f ca="1">II1SA!C23</f>
        <v/>
      </c>
      <c r="M23" s="260" t="str">
        <f ca="1">II2SA!C23</f>
        <v/>
      </c>
      <c r="N23" s="155" t="str">
        <f t="shared" ca="1" si="1"/>
        <v/>
      </c>
      <c r="O23" s="193" t="str">
        <f t="shared" ca="1" si="2"/>
        <v/>
      </c>
      <c r="P23" s="187"/>
      <c r="Q23" s="265" t="str">
        <f ca="1">'1. Halbjahr'!O23</f>
        <v/>
      </c>
      <c r="R23" s="192" t="str">
        <f t="shared" ca="1" si="3"/>
        <v/>
      </c>
      <c r="S23" s="166"/>
      <c r="T23" s="247"/>
    </row>
    <row r="24" spans="1:20" s="149" customFormat="1" ht="24.95" customHeight="1" x14ac:dyDescent="0.2">
      <c r="A24" s="175">
        <v>21</v>
      </c>
      <c r="B24" s="396" t="str">
        <f xml:space="preserve"> IF('1. Halbjahr'!B24="","",'1. Halbjahr'!B24)</f>
        <v/>
      </c>
      <c r="C24" s="151" t="str">
        <f ca="1">II1KA!C24</f>
        <v/>
      </c>
      <c r="D24" s="168" t="str">
        <f ca="1">II2KA!C24</f>
        <v/>
      </c>
      <c r="E24" s="167" t="str">
        <f ca="1">II1Ext!C24</f>
        <v/>
      </c>
      <c r="F24" s="154" t="str">
        <f ca="1">II2Ext!C24</f>
        <v/>
      </c>
      <c r="G24" s="154" t="str">
        <f ca="1">II3Ext!C24</f>
        <v/>
      </c>
      <c r="H24" s="146"/>
      <c r="I24" s="146"/>
      <c r="J24" s="144"/>
      <c r="K24" s="258" t="str">
        <f t="shared" ca="1" si="0"/>
        <v/>
      </c>
      <c r="L24" s="259" t="str">
        <f ca="1">II1SA!C24</f>
        <v/>
      </c>
      <c r="M24" s="260" t="str">
        <f ca="1">II2SA!C24</f>
        <v/>
      </c>
      <c r="N24" s="155" t="str">
        <f t="shared" ca="1" si="1"/>
        <v/>
      </c>
      <c r="O24" s="193" t="str">
        <f t="shared" ca="1" si="2"/>
        <v/>
      </c>
      <c r="P24" s="187"/>
      <c r="Q24" s="265" t="str">
        <f ca="1">'1. Halbjahr'!O24</f>
        <v/>
      </c>
      <c r="R24" s="192" t="str">
        <f t="shared" ca="1" si="3"/>
        <v/>
      </c>
      <c r="S24" s="166"/>
      <c r="T24" s="247"/>
    </row>
    <row r="25" spans="1:20" s="149" customFormat="1" ht="24.95" customHeight="1" x14ac:dyDescent="0.2">
      <c r="A25" s="175">
        <v>22</v>
      </c>
      <c r="B25" s="395" t="str">
        <f xml:space="preserve"> IF('1. Halbjahr'!B25="","",'1. Halbjahr'!B25)</f>
        <v/>
      </c>
      <c r="C25" s="151" t="str">
        <f ca="1">II1KA!C25</f>
        <v/>
      </c>
      <c r="D25" s="168" t="str">
        <f ca="1">II2KA!C25</f>
        <v/>
      </c>
      <c r="E25" s="167" t="str">
        <f ca="1">II1Ext!C25</f>
        <v/>
      </c>
      <c r="F25" s="154" t="str">
        <f ca="1">II2Ext!C25</f>
        <v/>
      </c>
      <c r="G25" s="154" t="str">
        <f ca="1">II3Ext!C25</f>
        <v/>
      </c>
      <c r="H25" s="146"/>
      <c r="I25" s="146"/>
      <c r="J25" s="144"/>
      <c r="K25" s="258" t="str">
        <f t="shared" ca="1" si="0"/>
        <v/>
      </c>
      <c r="L25" s="259" t="str">
        <f ca="1">II1SA!C25</f>
        <v/>
      </c>
      <c r="M25" s="260" t="str">
        <f ca="1">II2SA!C25</f>
        <v/>
      </c>
      <c r="N25" s="155" t="str">
        <f t="shared" ca="1" si="1"/>
        <v/>
      </c>
      <c r="O25" s="193" t="str">
        <f t="shared" ca="1" si="2"/>
        <v/>
      </c>
      <c r="P25" s="187"/>
      <c r="Q25" s="265" t="str">
        <f ca="1">'1. Halbjahr'!O25</f>
        <v/>
      </c>
      <c r="R25" s="192" t="str">
        <f t="shared" ca="1" si="3"/>
        <v/>
      </c>
      <c r="S25" s="166"/>
      <c r="T25" s="247"/>
    </row>
    <row r="26" spans="1:20" s="149" customFormat="1" ht="24.95" customHeight="1" x14ac:dyDescent="0.2">
      <c r="A26" s="175">
        <v>23</v>
      </c>
      <c r="B26" s="394" t="str">
        <f xml:space="preserve"> IF('1. Halbjahr'!B26="","",'1. Halbjahr'!B26)</f>
        <v/>
      </c>
      <c r="C26" s="151" t="str">
        <f ca="1">II1KA!C26</f>
        <v/>
      </c>
      <c r="D26" s="168" t="str">
        <f ca="1">II2KA!C26</f>
        <v/>
      </c>
      <c r="E26" s="167" t="str">
        <f ca="1">II1Ext!C26</f>
        <v/>
      </c>
      <c r="F26" s="154" t="str">
        <f ca="1">II2Ext!C26</f>
        <v/>
      </c>
      <c r="G26" s="154" t="str">
        <f ca="1">II3Ext!C26</f>
        <v/>
      </c>
      <c r="H26" s="146"/>
      <c r="I26" s="146"/>
      <c r="J26" s="144"/>
      <c r="K26" s="258" t="str">
        <f t="shared" ca="1" si="0"/>
        <v/>
      </c>
      <c r="L26" s="259" t="str">
        <f ca="1">II1SA!C26</f>
        <v/>
      </c>
      <c r="M26" s="260" t="str">
        <f ca="1">II2SA!C26</f>
        <v/>
      </c>
      <c r="N26" s="155" t="str">
        <f t="shared" ca="1" si="1"/>
        <v/>
      </c>
      <c r="O26" s="193" t="str">
        <f t="shared" ca="1" si="2"/>
        <v/>
      </c>
      <c r="P26" s="187"/>
      <c r="Q26" s="265" t="str">
        <f ca="1">'1. Halbjahr'!O26</f>
        <v/>
      </c>
      <c r="R26" s="192" t="str">
        <f t="shared" ca="1" si="3"/>
        <v/>
      </c>
      <c r="S26" s="166"/>
      <c r="T26" s="247"/>
    </row>
    <row r="27" spans="1:20" s="149" customFormat="1" ht="24.95" customHeight="1" x14ac:dyDescent="0.2">
      <c r="A27" s="175">
        <v>24</v>
      </c>
      <c r="B27" s="396" t="str">
        <f xml:space="preserve"> IF('1. Halbjahr'!B27="","",'1. Halbjahr'!B27)</f>
        <v/>
      </c>
      <c r="C27" s="151" t="str">
        <f ca="1">II1KA!C27</f>
        <v/>
      </c>
      <c r="D27" s="168" t="str">
        <f ca="1">II2KA!C27</f>
        <v/>
      </c>
      <c r="E27" s="167" t="str">
        <f ca="1">II1Ext!C27</f>
        <v/>
      </c>
      <c r="F27" s="154" t="str">
        <f ca="1">II2Ext!C27</f>
        <v/>
      </c>
      <c r="G27" s="154" t="str">
        <f ca="1">II3Ext!C27</f>
        <v/>
      </c>
      <c r="H27" s="146"/>
      <c r="I27" s="146"/>
      <c r="J27" s="144"/>
      <c r="K27" s="258" t="str">
        <f t="shared" ca="1" si="0"/>
        <v/>
      </c>
      <c r="L27" s="259" t="str">
        <f ca="1">II1SA!C27</f>
        <v/>
      </c>
      <c r="M27" s="260" t="str">
        <f ca="1">II2SA!C27</f>
        <v/>
      </c>
      <c r="N27" s="155" t="str">
        <f t="shared" ca="1" si="1"/>
        <v/>
      </c>
      <c r="O27" s="193" t="str">
        <f t="shared" ca="1" si="2"/>
        <v/>
      </c>
      <c r="P27" s="187"/>
      <c r="Q27" s="265" t="str">
        <f ca="1">'1. Halbjahr'!O27</f>
        <v/>
      </c>
      <c r="R27" s="192" t="str">
        <f t="shared" ca="1" si="3"/>
        <v/>
      </c>
      <c r="S27" s="166"/>
      <c r="T27" s="247"/>
    </row>
    <row r="28" spans="1:20" s="149" customFormat="1" ht="24.95" customHeight="1" x14ac:dyDescent="0.2">
      <c r="A28" s="175">
        <v>25</v>
      </c>
      <c r="B28" s="396" t="str">
        <f xml:space="preserve"> IF('1. Halbjahr'!B28="","",'1. Halbjahr'!B28)</f>
        <v/>
      </c>
      <c r="C28" s="151" t="str">
        <f ca="1">II1KA!C28</f>
        <v/>
      </c>
      <c r="D28" s="168" t="str">
        <f ca="1">II2KA!C28</f>
        <v/>
      </c>
      <c r="E28" s="167" t="str">
        <f ca="1">II1Ext!C28</f>
        <v/>
      </c>
      <c r="F28" s="154" t="str">
        <f ca="1">II2Ext!C28</f>
        <v/>
      </c>
      <c r="G28" s="154" t="str">
        <f ca="1">II3Ext!C28</f>
        <v/>
      </c>
      <c r="H28" s="146"/>
      <c r="I28" s="146"/>
      <c r="J28" s="144"/>
      <c r="K28" s="258" t="str">
        <f t="shared" ca="1" si="0"/>
        <v/>
      </c>
      <c r="L28" s="259" t="str">
        <f ca="1">II1SA!C28</f>
        <v/>
      </c>
      <c r="M28" s="260" t="str">
        <f ca="1">II2SA!C28</f>
        <v/>
      </c>
      <c r="N28" s="155" t="str">
        <f t="shared" ca="1" si="1"/>
        <v/>
      </c>
      <c r="O28" s="193" t="str">
        <f t="shared" ca="1" si="2"/>
        <v/>
      </c>
      <c r="P28" s="187"/>
      <c r="Q28" s="265" t="str">
        <f ca="1">'1. Halbjahr'!O28</f>
        <v/>
      </c>
      <c r="R28" s="192" t="str">
        <f t="shared" ca="1" si="3"/>
        <v/>
      </c>
      <c r="S28" s="166"/>
      <c r="T28" s="247"/>
    </row>
    <row r="29" spans="1:20" s="149" customFormat="1" ht="24.95" customHeight="1" x14ac:dyDescent="0.2">
      <c r="A29" s="175">
        <v>26</v>
      </c>
      <c r="B29" s="396" t="str">
        <f xml:space="preserve"> IF('1. Halbjahr'!B29="","",'1. Halbjahr'!B29)</f>
        <v/>
      </c>
      <c r="C29" s="151" t="str">
        <f ca="1">II1KA!C29</f>
        <v/>
      </c>
      <c r="D29" s="168" t="str">
        <f ca="1">II2KA!C29</f>
        <v/>
      </c>
      <c r="E29" s="167" t="str">
        <f ca="1">II1Ext!C29</f>
        <v/>
      </c>
      <c r="F29" s="154" t="str">
        <f ca="1">II2Ext!C29</f>
        <v/>
      </c>
      <c r="G29" s="154" t="str">
        <f ca="1">II3Ext!C29</f>
        <v/>
      </c>
      <c r="H29" s="146"/>
      <c r="I29" s="146"/>
      <c r="J29" s="144"/>
      <c r="K29" s="258" t="str">
        <f t="shared" ca="1" si="0"/>
        <v/>
      </c>
      <c r="L29" s="259" t="str">
        <f ca="1">II1SA!C29</f>
        <v/>
      </c>
      <c r="M29" s="260" t="str">
        <f ca="1">II2SA!C29</f>
        <v/>
      </c>
      <c r="N29" s="155" t="str">
        <f t="shared" ca="1" si="1"/>
        <v/>
      </c>
      <c r="O29" s="193" t="str">
        <f t="shared" ca="1" si="2"/>
        <v/>
      </c>
      <c r="P29" s="187"/>
      <c r="Q29" s="265" t="str">
        <f ca="1">'1. Halbjahr'!O29</f>
        <v/>
      </c>
      <c r="R29" s="192" t="str">
        <f t="shared" ca="1" si="3"/>
        <v/>
      </c>
      <c r="S29" s="166"/>
      <c r="T29" s="247"/>
    </row>
    <row r="30" spans="1:20" s="149" customFormat="1" ht="24.95" customHeight="1" x14ac:dyDescent="0.2">
      <c r="A30" s="175">
        <v>27</v>
      </c>
      <c r="B30" s="394" t="str">
        <f xml:space="preserve"> IF('1. Halbjahr'!B30="","",'1. Halbjahr'!B30)</f>
        <v/>
      </c>
      <c r="C30" s="151" t="str">
        <f ca="1">II1KA!C30</f>
        <v/>
      </c>
      <c r="D30" s="168" t="str">
        <f ca="1">II2KA!C30</f>
        <v/>
      </c>
      <c r="E30" s="167" t="str">
        <f ca="1">II1Ext!C30</f>
        <v/>
      </c>
      <c r="F30" s="154" t="str">
        <f ca="1">II2Ext!C30</f>
        <v/>
      </c>
      <c r="G30" s="154" t="str">
        <f ca="1">II3Ext!C30</f>
        <v/>
      </c>
      <c r="H30" s="146"/>
      <c r="I30" s="146"/>
      <c r="J30" s="144"/>
      <c r="K30" s="258" t="str">
        <f t="shared" ca="1" si="0"/>
        <v/>
      </c>
      <c r="L30" s="259" t="str">
        <f ca="1">II1SA!C30</f>
        <v/>
      </c>
      <c r="M30" s="260" t="str">
        <f ca="1">II2SA!C30</f>
        <v/>
      </c>
      <c r="N30" s="155" t="str">
        <f t="shared" ca="1" si="1"/>
        <v/>
      </c>
      <c r="O30" s="193" t="str">
        <f t="shared" ca="1" si="2"/>
        <v/>
      </c>
      <c r="P30" s="187"/>
      <c r="Q30" s="265" t="str">
        <f ca="1">'1. Halbjahr'!O30</f>
        <v/>
      </c>
      <c r="R30" s="192" t="str">
        <f t="shared" ca="1" si="3"/>
        <v/>
      </c>
      <c r="S30" s="166"/>
      <c r="T30" s="247"/>
    </row>
    <row r="31" spans="1:20" s="149" customFormat="1" ht="24.95" customHeight="1" x14ac:dyDescent="0.2">
      <c r="A31" s="175">
        <v>28</v>
      </c>
      <c r="B31" s="396" t="str">
        <f xml:space="preserve"> IF('1. Halbjahr'!B31="","",'1. Halbjahr'!B31)</f>
        <v/>
      </c>
      <c r="C31" s="151" t="str">
        <f ca="1">II1KA!C31</f>
        <v/>
      </c>
      <c r="D31" s="168" t="str">
        <f ca="1">II2KA!C31</f>
        <v/>
      </c>
      <c r="E31" s="167" t="str">
        <f ca="1">II1Ext!C31</f>
        <v/>
      </c>
      <c r="F31" s="154" t="str">
        <f ca="1">II2Ext!C31</f>
        <v/>
      </c>
      <c r="G31" s="154" t="str">
        <f ca="1">II3Ext!C31</f>
        <v/>
      </c>
      <c r="H31" s="146"/>
      <c r="I31" s="146"/>
      <c r="J31" s="144"/>
      <c r="K31" s="258" t="str">
        <f t="shared" ca="1" si="0"/>
        <v/>
      </c>
      <c r="L31" s="259" t="str">
        <f ca="1">II1SA!C31</f>
        <v/>
      </c>
      <c r="M31" s="260" t="str">
        <f ca="1">II2SA!C31</f>
        <v/>
      </c>
      <c r="N31" s="155" t="str">
        <f t="shared" ca="1" si="1"/>
        <v/>
      </c>
      <c r="O31" s="193" t="str">
        <f t="shared" ca="1" si="2"/>
        <v/>
      </c>
      <c r="P31" s="187"/>
      <c r="Q31" s="265" t="str">
        <f ca="1">'1. Halbjahr'!O31</f>
        <v/>
      </c>
      <c r="R31" s="192" t="str">
        <f t="shared" ca="1" si="3"/>
        <v/>
      </c>
      <c r="S31" s="166"/>
      <c r="T31" s="247"/>
    </row>
    <row r="32" spans="1:20" s="149" customFormat="1" ht="24.95" customHeight="1" x14ac:dyDescent="0.2">
      <c r="A32" s="175">
        <v>29</v>
      </c>
      <c r="B32" s="394" t="str">
        <f xml:space="preserve"> IF('1. Halbjahr'!B32="","",'1. Halbjahr'!B32)</f>
        <v/>
      </c>
      <c r="C32" s="151" t="str">
        <f ca="1">II1KA!C32</f>
        <v/>
      </c>
      <c r="D32" s="168" t="str">
        <f ca="1">II2KA!C32</f>
        <v/>
      </c>
      <c r="E32" s="167" t="str">
        <f ca="1">II1Ext!C32</f>
        <v/>
      </c>
      <c r="F32" s="154" t="str">
        <f ca="1">II2Ext!C32</f>
        <v/>
      </c>
      <c r="G32" s="154" t="str">
        <f ca="1">II3Ext!C32</f>
        <v/>
      </c>
      <c r="H32" s="146"/>
      <c r="I32" s="146"/>
      <c r="J32" s="144"/>
      <c r="K32" s="258" t="str">
        <f t="shared" ca="1" si="0"/>
        <v/>
      </c>
      <c r="L32" s="259" t="str">
        <f ca="1">II1SA!C32</f>
        <v/>
      </c>
      <c r="M32" s="260" t="str">
        <f ca="1">II2SA!C32</f>
        <v/>
      </c>
      <c r="N32" s="155" t="str">
        <f t="shared" ca="1" si="1"/>
        <v/>
      </c>
      <c r="O32" s="193" t="str">
        <f t="shared" ca="1" si="2"/>
        <v/>
      </c>
      <c r="P32" s="187"/>
      <c r="Q32" s="265" t="str">
        <f ca="1">'1. Halbjahr'!O32</f>
        <v/>
      </c>
      <c r="R32" s="192" t="str">
        <f t="shared" ca="1" si="3"/>
        <v/>
      </c>
      <c r="S32" s="166"/>
      <c r="T32" s="247"/>
    </row>
    <row r="33" spans="1:25" s="149" customFormat="1" ht="24.95" customHeight="1" x14ac:dyDescent="0.2">
      <c r="A33" s="175">
        <v>30</v>
      </c>
      <c r="B33" s="396" t="str">
        <f xml:space="preserve"> IF('1. Halbjahr'!B33="","",'1. Halbjahr'!B33)</f>
        <v/>
      </c>
      <c r="C33" s="151" t="str">
        <f ca="1">II1KA!C33</f>
        <v/>
      </c>
      <c r="D33" s="168" t="str">
        <f ca="1">II2KA!C33</f>
        <v/>
      </c>
      <c r="E33" s="167" t="str">
        <f ca="1">II1Ext!C33</f>
        <v/>
      </c>
      <c r="F33" s="154" t="str">
        <f ca="1">II2Ext!C33</f>
        <v/>
      </c>
      <c r="G33" s="154" t="str">
        <f ca="1">II3Ext!C33</f>
        <v/>
      </c>
      <c r="H33" s="146"/>
      <c r="I33" s="146"/>
      <c r="J33" s="144"/>
      <c r="K33" s="258" t="str">
        <f t="shared" ca="1" si="0"/>
        <v/>
      </c>
      <c r="L33" s="259" t="str">
        <f ca="1">II1SA!C33</f>
        <v/>
      </c>
      <c r="M33" s="260" t="str">
        <f ca="1">II2SA!C33</f>
        <v/>
      </c>
      <c r="N33" s="155" t="str">
        <f t="shared" ca="1" si="1"/>
        <v/>
      </c>
      <c r="O33" s="193" t="str">
        <f t="shared" ca="1" si="2"/>
        <v/>
      </c>
      <c r="P33" s="187"/>
      <c r="Q33" s="265" t="str">
        <f ca="1">'1. Halbjahr'!O33</f>
        <v/>
      </c>
      <c r="R33" s="192" t="str">
        <f t="shared" ca="1" si="3"/>
        <v/>
      </c>
      <c r="S33" s="166"/>
      <c r="T33" s="247"/>
    </row>
    <row r="34" spans="1:25" s="149" customFormat="1" ht="24.95" customHeight="1" x14ac:dyDescent="0.2">
      <c r="A34" s="175">
        <v>31</v>
      </c>
      <c r="B34" s="394" t="str">
        <f xml:space="preserve"> IF('1. Halbjahr'!B34="","",'1. Halbjahr'!B34)</f>
        <v/>
      </c>
      <c r="C34" s="151" t="str">
        <f ca="1">II1KA!C34</f>
        <v/>
      </c>
      <c r="D34" s="168" t="str">
        <f ca="1">II2KA!C34</f>
        <v/>
      </c>
      <c r="E34" s="167" t="str">
        <f ca="1">II1Ext!C34</f>
        <v/>
      </c>
      <c r="F34" s="154" t="str">
        <f ca="1">II2Ext!C34</f>
        <v/>
      </c>
      <c r="G34" s="154" t="str">
        <f ca="1">II3Ext!C34</f>
        <v/>
      </c>
      <c r="H34" s="146"/>
      <c r="I34" s="146"/>
      <c r="J34" s="144"/>
      <c r="K34" s="258" t="str">
        <f t="shared" ca="1" si="0"/>
        <v/>
      </c>
      <c r="L34" s="259" t="str">
        <f ca="1">II1SA!C34</f>
        <v/>
      </c>
      <c r="M34" s="260" t="str">
        <f ca="1">II2SA!C34</f>
        <v/>
      </c>
      <c r="N34" s="155" t="str">
        <f t="shared" ca="1" si="1"/>
        <v/>
      </c>
      <c r="O34" s="193" t="str">
        <f t="shared" ca="1" si="2"/>
        <v/>
      </c>
      <c r="P34" s="187"/>
      <c r="Q34" s="265" t="str">
        <f ca="1">'1. Halbjahr'!O34</f>
        <v/>
      </c>
      <c r="R34" s="192" t="str">
        <f t="shared" ca="1" si="3"/>
        <v/>
      </c>
      <c r="S34" s="166"/>
      <c r="T34" s="247"/>
    </row>
    <row r="35" spans="1:25" s="149" customFormat="1" ht="24.95" customHeight="1" x14ac:dyDescent="0.2">
      <c r="A35" s="175">
        <v>32</v>
      </c>
      <c r="B35" s="396" t="str">
        <f xml:space="preserve"> IF('1. Halbjahr'!B35="","",'1. Halbjahr'!B35)</f>
        <v/>
      </c>
      <c r="C35" s="151" t="str">
        <f ca="1">II1KA!C35</f>
        <v/>
      </c>
      <c r="D35" s="168" t="str">
        <f ca="1">II2KA!C35</f>
        <v/>
      </c>
      <c r="E35" s="167" t="str">
        <f ca="1">II1Ext!C35</f>
        <v/>
      </c>
      <c r="F35" s="154" t="str">
        <f ca="1">II2Ext!C35</f>
        <v/>
      </c>
      <c r="G35" s="154" t="str">
        <f ca="1">II3Ext!C35</f>
        <v/>
      </c>
      <c r="H35" s="146"/>
      <c r="I35" s="146"/>
      <c r="J35" s="144"/>
      <c r="K35" s="258" t="str">
        <f t="shared" ca="1" si="0"/>
        <v/>
      </c>
      <c r="L35" s="259" t="str">
        <f ca="1">II1SA!C35</f>
        <v/>
      </c>
      <c r="M35" s="260" t="str">
        <f ca="1">II2SA!C35</f>
        <v/>
      </c>
      <c r="N35" s="155" t="str">
        <f t="shared" ca="1" si="1"/>
        <v/>
      </c>
      <c r="O35" s="193" t="str">
        <f t="shared" ca="1" si="2"/>
        <v/>
      </c>
      <c r="P35" s="187"/>
      <c r="Q35" s="265" t="str">
        <f ca="1">'1. Halbjahr'!O35</f>
        <v/>
      </c>
      <c r="R35" s="192" t="str">
        <f t="shared" ca="1" si="3"/>
        <v/>
      </c>
      <c r="S35" s="166"/>
      <c r="T35" s="247"/>
    </row>
    <row r="36" spans="1:25" s="149" customFormat="1" ht="24.95" customHeight="1" x14ac:dyDescent="0.2">
      <c r="A36" s="175">
        <v>33</v>
      </c>
      <c r="B36" s="395" t="str">
        <f xml:space="preserve"> IF('1. Halbjahr'!B36="","",'1. Halbjahr'!B36)</f>
        <v/>
      </c>
      <c r="C36" s="151" t="str">
        <f ca="1">II1KA!C36</f>
        <v/>
      </c>
      <c r="D36" s="168" t="str">
        <f ca="1">II2KA!C36</f>
        <v/>
      </c>
      <c r="E36" s="167" t="str">
        <f ca="1">II1Ext!C36</f>
        <v/>
      </c>
      <c r="F36" s="154" t="str">
        <f ca="1">II2Ext!C36</f>
        <v/>
      </c>
      <c r="G36" s="154" t="str">
        <f ca="1">II3Ext!C36</f>
        <v/>
      </c>
      <c r="H36" s="146"/>
      <c r="I36" s="146"/>
      <c r="J36" s="144"/>
      <c r="K36" s="258" t="str">
        <f t="shared" ca="1" si="0"/>
        <v/>
      </c>
      <c r="L36" s="259" t="str">
        <f ca="1">II1SA!C36</f>
        <v/>
      </c>
      <c r="M36" s="260" t="str">
        <f ca="1">II2SA!C36</f>
        <v/>
      </c>
      <c r="N36" s="155" t="str">
        <f t="shared" ca="1" si="1"/>
        <v/>
      </c>
      <c r="O36" s="193" t="str">
        <f t="shared" ca="1" si="2"/>
        <v/>
      </c>
      <c r="P36" s="187"/>
      <c r="Q36" s="265" t="str">
        <f ca="1">'1. Halbjahr'!O36</f>
        <v/>
      </c>
      <c r="R36" s="192" t="str">
        <f t="shared" ca="1" si="3"/>
        <v/>
      </c>
      <c r="S36" s="166"/>
      <c r="T36" s="247"/>
    </row>
    <row r="37" spans="1:25" s="149" customFormat="1" ht="24.95" customHeight="1" x14ac:dyDescent="0.2">
      <c r="A37" s="175">
        <v>34</v>
      </c>
      <c r="B37" s="394" t="str">
        <f xml:space="preserve"> IF('1. Halbjahr'!B37="","",'1. Halbjahr'!B37)</f>
        <v/>
      </c>
      <c r="C37" s="151" t="str">
        <f ca="1">II1KA!C37</f>
        <v/>
      </c>
      <c r="D37" s="168" t="str">
        <f ca="1">II2KA!C37</f>
        <v/>
      </c>
      <c r="E37" s="167" t="str">
        <f ca="1">II1Ext!C37</f>
        <v/>
      </c>
      <c r="F37" s="154" t="str">
        <f ca="1">II2Ext!C37</f>
        <v/>
      </c>
      <c r="G37" s="154" t="str">
        <f ca="1">II3Ext!C37</f>
        <v/>
      </c>
      <c r="H37" s="146"/>
      <c r="I37" s="146"/>
      <c r="J37" s="144"/>
      <c r="K37" s="258" t="str">
        <f t="shared" ca="1" si="0"/>
        <v/>
      </c>
      <c r="L37" s="259" t="str">
        <f ca="1">II1SA!C37</f>
        <v/>
      </c>
      <c r="M37" s="260" t="str">
        <f ca="1">II2SA!C37</f>
        <v/>
      </c>
      <c r="N37" s="155" t="str">
        <f t="shared" ca="1" si="1"/>
        <v/>
      </c>
      <c r="O37" s="193" t="str">
        <f t="shared" ca="1" si="2"/>
        <v/>
      </c>
      <c r="P37" s="187"/>
      <c r="Q37" s="265" t="str">
        <f ca="1">'1. Halbjahr'!O37</f>
        <v/>
      </c>
      <c r="R37" s="192" t="str">
        <f t="shared" ca="1" si="3"/>
        <v/>
      </c>
      <c r="S37" s="166"/>
      <c r="T37" s="247"/>
    </row>
    <row r="38" spans="1:25" s="149" customFormat="1" ht="24.95" customHeight="1" thickBot="1" x14ac:dyDescent="0.25">
      <c r="A38" s="176">
        <v>35</v>
      </c>
      <c r="B38" s="393" t="str">
        <f xml:space="preserve"> IF('1. Halbjahr'!B38="","",'1. Halbjahr'!B38)</f>
        <v/>
      </c>
      <c r="C38" s="165" t="str">
        <f ca="1">II1KA!C38</f>
        <v/>
      </c>
      <c r="D38" s="169" t="str">
        <f ca="1">II2KA!C38</f>
        <v/>
      </c>
      <c r="E38" s="169" t="str">
        <f ca="1">II1Ext!C38</f>
        <v/>
      </c>
      <c r="F38" s="230" t="str">
        <f ca="1">II2Ext!C38</f>
        <v/>
      </c>
      <c r="G38" s="162" t="str">
        <f ca="1">II3Ext!C38</f>
        <v/>
      </c>
      <c r="H38" s="163"/>
      <c r="I38" s="163"/>
      <c r="J38" s="164"/>
      <c r="K38" s="264" t="str">
        <f t="shared" ca="1" si="0"/>
        <v/>
      </c>
      <c r="L38" s="390" t="str">
        <f ca="1">II1SA!C38</f>
        <v/>
      </c>
      <c r="M38" s="260" t="str">
        <f ca="1">II2SA!C38</f>
        <v/>
      </c>
      <c r="N38" s="155" t="str">
        <f t="shared" ca="1" si="1"/>
        <v/>
      </c>
      <c r="O38" s="194" t="str">
        <f t="shared" ca="1" si="2"/>
        <v/>
      </c>
      <c r="P38" s="187"/>
      <c r="Q38" s="267" t="str">
        <f ca="1">'1. Halbjahr'!O38</f>
        <v/>
      </c>
      <c r="R38" s="391" t="str">
        <f t="shared" ca="1" si="3"/>
        <v/>
      </c>
      <c r="S38" s="250"/>
      <c r="T38" s="247"/>
    </row>
    <row r="39" spans="1:25" ht="20.100000000000001" customHeight="1" thickBot="1" x14ac:dyDescent="0.25">
      <c r="A39" s="172"/>
      <c r="B39" s="190" t="s">
        <v>31</v>
      </c>
      <c r="C39" s="228">
        <v>2</v>
      </c>
      <c r="D39" s="188">
        <v>2</v>
      </c>
      <c r="E39" s="188">
        <v>1</v>
      </c>
      <c r="F39" s="188">
        <v>1</v>
      </c>
      <c r="G39" s="188">
        <v>1</v>
      </c>
      <c r="H39" s="188">
        <v>1</v>
      </c>
      <c r="I39" s="188">
        <v>1</v>
      </c>
      <c r="J39" s="188">
        <v>1</v>
      </c>
      <c r="K39" s="159"/>
      <c r="L39" s="256"/>
      <c r="M39" s="189"/>
      <c r="N39" s="191"/>
      <c r="O39" s="189"/>
      <c r="P39" s="246"/>
      <c r="Q39" s="161"/>
      <c r="R39" s="189"/>
      <c r="S39" s="158"/>
      <c r="T39" s="148"/>
    </row>
    <row r="40" spans="1:25" x14ac:dyDescent="0.2">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Ausdruck SAP</vt:lpstr>
      <vt:lpstr>Ausdruck MAP</vt:lpstr>
      <vt:lpstr>APRohpunkte</vt:lpstr>
      <vt:lpstr>Eingabe Abitur</vt:lpstr>
      <vt:lpstr>diNo</vt:lpstr>
      <vt:lpstr>'1. Halbjahr'!Druckbereich</vt:lpstr>
      <vt:lpstr>'2. Halbjahr'!Druckbereich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2017-01-02T19:09:59Z</cp:lastPrinted>
  <dcterms:created xsi:type="dcterms:W3CDTF">2001-05-29T23:50:03Z</dcterms:created>
  <dcterms:modified xsi:type="dcterms:W3CDTF">2018-12-08T16:12:12Z</dcterms:modified>
</cp:coreProperties>
</file>