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/>
  </bookViews>
  <sheets>
    <sheet name="Notenbogen" sheetId="1" r:id="rId1"/>
    <sheet name="NB" sheetId="21" state="hidden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Was wäre wenn" sheetId="31" r:id="rId16"/>
    <sheet name="diNo" sheetId="34" r:id="rId17"/>
  </sheets>
  <definedNames>
    <definedName name="_xlnm.Print_Area" localSheetId="13">'Ausdruck SAP'!$A$1:$G$68</definedName>
    <definedName name="_xlnm.Print_Area" localSheetId="0">Notenbogen!$A$1:$Z$39</definedName>
    <definedName name="FR" localSheetId="16">NB!$I$1</definedName>
    <definedName name="FR">NB!$I$1</definedName>
    <definedName name="gew" localSheetId="16">NB!$K$1</definedName>
    <definedName name="gew">NB!$K$1</definedName>
    <definedName name="gueltigeNoten">NB!$Y$6:$Y$21</definedName>
    <definedName name="M" localSheetId="16">I2SA!$O$16</definedName>
    <definedName name="M">I2SA!$O$16</definedName>
    <definedName name="pt">Notenbogen!#REF!</definedName>
    <definedName name="TZ" localSheetId="16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" i="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C6" i="31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6" i="27"/>
  <c r="I6" i="27"/>
  <c r="E41" i="27"/>
  <c r="C4" i="1"/>
  <c r="B1" i="27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4" i="36"/>
  <c r="E2" i="27"/>
  <c r="C1" i="19"/>
  <c r="C1" i="17"/>
  <c r="C1" i="13"/>
  <c r="C1" i="23"/>
  <c r="C1" i="22"/>
  <c r="C1" i="15"/>
  <c r="C1" i="14"/>
  <c r="C1" i="12"/>
  <c r="C1" i="6"/>
  <c r="C1" i="5"/>
  <c r="C2" i="34"/>
  <c r="E4" i="27"/>
  <c r="G2" i="19"/>
  <c r="G2" i="17"/>
  <c r="G2" i="13"/>
  <c r="G2" i="23"/>
  <c r="G2" i="22"/>
  <c r="G2" i="15"/>
  <c r="G2" i="14"/>
  <c r="G2" i="12"/>
  <c r="G2" i="6"/>
  <c r="G2" i="5"/>
  <c r="A5" i="36"/>
  <c r="E3" i="27"/>
  <c r="C2" i="19"/>
  <c r="C2" i="17"/>
  <c r="C2" i="13"/>
  <c r="C2" i="23"/>
  <c r="C2" i="22"/>
  <c r="C2" i="15"/>
  <c r="C2" i="14"/>
  <c r="B4" i="14"/>
  <c r="C2" i="12"/>
  <c r="C2" i="6"/>
  <c r="C2" i="5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4" i="34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11" i="36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6" i="27"/>
  <c r="B4" i="32" s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T38" i="1"/>
  <c r="D37" i="21"/>
  <c r="D30" i="21"/>
  <c r="D31" i="21"/>
  <c r="D32" i="21"/>
  <c r="D33" i="21"/>
  <c r="D34" i="21"/>
  <c r="D35" i="21"/>
  <c r="D36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D13" i="36" l="1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C5" i="19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C6" i="13"/>
  <c r="N6" i="1" s="1"/>
  <c r="C7" i="13"/>
  <c r="N7" i="1" s="1"/>
  <c r="C8" i="13"/>
  <c r="N8" i="1" s="1"/>
  <c r="C9" i="13"/>
  <c r="N9" i="1" s="1"/>
  <c r="C10" i="13"/>
  <c r="N10" i="1" s="1"/>
  <c r="C11" i="13"/>
  <c r="N11" i="1" s="1"/>
  <c r="C12" i="13"/>
  <c r="N12" i="1" s="1"/>
  <c r="C13" i="13"/>
  <c r="N13" i="1" s="1"/>
  <c r="C14" i="13"/>
  <c r="N14" i="1" s="1"/>
  <c r="C15" i="13"/>
  <c r="N15" i="1" s="1"/>
  <c r="C16" i="13"/>
  <c r="N16" i="1" s="1"/>
  <c r="C17" i="13"/>
  <c r="N17" i="1" s="1"/>
  <c r="C18" i="13"/>
  <c r="N18" i="1" s="1"/>
  <c r="C19" i="13"/>
  <c r="N19" i="1" s="1"/>
  <c r="C20" i="13"/>
  <c r="N20" i="1" s="1"/>
  <c r="C21" i="13"/>
  <c r="N21" i="1" s="1"/>
  <c r="C22" i="13"/>
  <c r="N22" i="1" s="1"/>
  <c r="C23" i="13"/>
  <c r="N23" i="1" s="1"/>
  <c r="C24" i="13"/>
  <c r="N24" i="1" s="1"/>
  <c r="C25" i="13"/>
  <c r="N25" i="1" s="1"/>
  <c r="C26" i="13"/>
  <c r="N26" i="1" s="1"/>
  <c r="C27" i="13"/>
  <c r="N27" i="1" s="1"/>
  <c r="C28" i="13"/>
  <c r="N28" i="1" s="1"/>
  <c r="C29" i="13"/>
  <c r="N29" i="1" s="1"/>
  <c r="C30" i="13"/>
  <c r="N30" i="1" s="1"/>
  <c r="C31" i="13"/>
  <c r="N31" i="1" s="1"/>
  <c r="C32" i="13"/>
  <c r="N32" i="1" s="1"/>
  <c r="C33" i="13"/>
  <c r="N33" i="1" s="1"/>
  <c r="C34" i="13"/>
  <c r="N34" i="1" s="1"/>
  <c r="C35" i="13"/>
  <c r="N35" i="1" s="1"/>
  <c r="C36" i="13"/>
  <c r="N36" i="1" s="1"/>
  <c r="C37" i="13"/>
  <c r="N37" i="1" s="1"/>
  <c r="C38" i="13"/>
  <c r="N38" i="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D38" i="1" s="1"/>
  <c r="E111" i="21" s="1"/>
  <c r="C4" i="14"/>
  <c r="C5" i="12"/>
  <c r="C5" i="1" s="1"/>
  <c r="D78" i="21" s="1"/>
  <c r="C6" i="12"/>
  <c r="C6" i="1" s="1"/>
  <c r="D79" i="21" s="1"/>
  <c r="C7" i="12"/>
  <c r="C7" i="1" s="1"/>
  <c r="D80" i="21" s="1"/>
  <c r="C8" i="12"/>
  <c r="C8" i="1" s="1"/>
  <c r="D81" i="21" s="1"/>
  <c r="C9" i="12"/>
  <c r="C9" i="1" s="1"/>
  <c r="D82" i="21" s="1"/>
  <c r="C10" i="12"/>
  <c r="C10" i="1" s="1"/>
  <c r="D83" i="21" s="1"/>
  <c r="C11" i="12"/>
  <c r="C11" i="1" s="1"/>
  <c r="D84" i="21" s="1"/>
  <c r="C12" i="12"/>
  <c r="C12" i="1" s="1"/>
  <c r="D85" i="21" s="1"/>
  <c r="C13" i="12"/>
  <c r="C13" i="1" s="1"/>
  <c r="D86" i="21" s="1"/>
  <c r="C14" i="12"/>
  <c r="C14" i="1" s="1"/>
  <c r="D87" i="21" s="1"/>
  <c r="C15" i="12"/>
  <c r="C15" i="1" s="1"/>
  <c r="D88" i="21" s="1"/>
  <c r="C16" i="12"/>
  <c r="C16" i="1" s="1"/>
  <c r="D89" i="21" s="1"/>
  <c r="C17" i="12"/>
  <c r="C17" i="1" s="1"/>
  <c r="D90" i="21" s="1"/>
  <c r="C18" i="12"/>
  <c r="C18" i="1" s="1"/>
  <c r="D91" i="21" s="1"/>
  <c r="C19" i="12"/>
  <c r="C19" i="1" s="1"/>
  <c r="D92" i="21" s="1"/>
  <c r="C20" i="12"/>
  <c r="C20" i="1" s="1"/>
  <c r="D93" i="21" s="1"/>
  <c r="C21" i="12"/>
  <c r="C21" i="1" s="1"/>
  <c r="D94" i="21" s="1"/>
  <c r="C22" i="12"/>
  <c r="C22" i="1" s="1"/>
  <c r="D95" i="21" s="1"/>
  <c r="C23" i="12"/>
  <c r="C23" i="1" s="1"/>
  <c r="D96" i="21" s="1"/>
  <c r="C24" i="12"/>
  <c r="C24" i="1" s="1"/>
  <c r="D97" i="21" s="1"/>
  <c r="C25" i="12"/>
  <c r="C25" i="1" s="1"/>
  <c r="D98" i="21" s="1"/>
  <c r="C26" i="12"/>
  <c r="C26" i="1" s="1"/>
  <c r="D99" i="21" s="1"/>
  <c r="C27" i="12"/>
  <c r="C27" i="1" s="1"/>
  <c r="D100" i="21" s="1"/>
  <c r="C28" i="12"/>
  <c r="C28" i="1" s="1"/>
  <c r="D101" i="21" s="1"/>
  <c r="C29" i="12"/>
  <c r="C29" i="1" s="1"/>
  <c r="D102" i="21" s="1"/>
  <c r="C30" i="12"/>
  <c r="C30" i="1" s="1"/>
  <c r="D103" i="21" s="1"/>
  <c r="C31" i="12"/>
  <c r="C31" i="1" s="1"/>
  <c r="D104" i="21" s="1"/>
  <c r="C32" i="12"/>
  <c r="C32" i="1" s="1"/>
  <c r="D105" i="21" s="1"/>
  <c r="C33" i="12"/>
  <c r="C33" i="1" s="1"/>
  <c r="D106" i="21" s="1"/>
  <c r="C34" i="12"/>
  <c r="C34" i="1" s="1"/>
  <c r="D107" i="21" s="1"/>
  <c r="C35" i="12"/>
  <c r="C35" i="1" s="1"/>
  <c r="D108" i="21" s="1"/>
  <c r="C36" i="12"/>
  <c r="C36" i="1" s="1"/>
  <c r="D109" i="21" s="1"/>
  <c r="C37" i="12"/>
  <c r="C37" i="1" s="1"/>
  <c r="D110" i="21" s="1"/>
  <c r="C38" i="12"/>
  <c r="C38" i="1" s="1"/>
  <c r="C4" i="12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T26" i="1" l="1"/>
  <c r="T22" i="1"/>
  <c r="T18" i="1"/>
  <c r="W18" i="1" s="1"/>
  <c r="X18" i="1" s="1"/>
  <c r="D150" i="21"/>
  <c r="T36" i="1"/>
  <c r="D146" i="21"/>
  <c r="T32" i="1"/>
  <c r="D142" i="21"/>
  <c r="T28" i="1"/>
  <c r="D138" i="21"/>
  <c r="T24" i="1"/>
  <c r="W24" i="1" s="1"/>
  <c r="X24" i="1" s="1"/>
  <c r="D134" i="21"/>
  <c r="T20" i="1"/>
  <c r="J134" i="21" s="1"/>
  <c r="D130" i="21"/>
  <c r="T16" i="1"/>
  <c r="J130" i="21" s="1"/>
  <c r="D126" i="21"/>
  <c r="T12" i="1"/>
  <c r="J126" i="21" s="1"/>
  <c r="D122" i="21"/>
  <c r="T8" i="1"/>
  <c r="W8" i="1" s="1"/>
  <c r="X8" i="1" s="1"/>
  <c r="D149" i="21"/>
  <c r="T35" i="1"/>
  <c r="D145" i="21"/>
  <c r="T31" i="1"/>
  <c r="J145" i="21" s="1"/>
  <c r="D141" i="21"/>
  <c r="T27" i="1"/>
  <c r="D137" i="21"/>
  <c r="T23" i="1"/>
  <c r="J137" i="21" s="1"/>
  <c r="D133" i="21"/>
  <c r="T19" i="1"/>
  <c r="J133" i="21" s="1"/>
  <c r="D129" i="21"/>
  <c r="T15" i="1"/>
  <c r="J129" i="21" s="1"/>
  <c r="D125" i="21"/>
  <c r="T11" i="1"/>
  <c r="J125" i="21" s="1"/>
  <c r="D121" i="21"/>
  <c r="T7" i="1"/>
  <c r="J121" i="21" s="1"/>
  <c r="D152" i="21"/>
  <c r="J152" i="21"/>
  <c r="D148" i="21"/>
  <c r="T34" i="1"/>
  <c r="J148" i="21" s="1"/>
  <c r="D144" i="21"/>
  <c r="T30" i="1"/>
  <c r="J144" i="21" s="1"/>
  <c r="D128" i="21"/>
  <c r="T14" i="1"/>
  <c r="W14" i="1" s="1"/>
  <c r="X14" i="1" s="1"/>
  <c r="D124" i="21"/>
  <c r="T10" i="1"/>
  <c r="D120" i="21"/>
  <c r="T6" i="1"/>
  <c r="D151" i="21"/>
  <c r="T37" i="1"/>
  <c r="D147" i="21"/>
  <c r="T33" i="1"/>
  <c r="J147" i="21" s="1"/>
  <c r="D143" i="21"/>
  <c r="T29" i="1"/>
  <c r="D139" i="21"/>
  <c r="T25" i="1"/>
  <c r="T21" i="1"/>
  <c r="T17" i="1"/>
  <c r="W17" i="1" s="1"/>
  <c r="X17" i="1" s="1"/>
  <c r="D127" i="21"/>
  <c r="T13" i="1"/>
  <c r="J127" i="21" s="1"/>
  <c r="D123" i="21"/>
  <c r="T9" i="1"/>
  <c r="D119" i="21"/>
  <c r="T5" i="1"/>
  <c r="J119" i="21" s="1"/>
  <c r="J140" i="21"/>
  <c r="J136" i="21"/>
  <c r="I38" i="1"/>
  <c r="J111" i="21" s="1"/>
  <c r="D131" i="21"/>
  <c r="D111" i="21"/>
  <c r="D35" i="1"/>
  <c r="E108" i="21" s="1"/>
  <c r="D34" i="1"/>
  <c r="E107" i="21" s="1"/>
  <c r="D31" i="1"/>
  <c r="E104" i="21" s="1"/>
  <c r="D30" i="1"/>
  <c r="D27" i="1"/>
  <c r="E100" i="21" s="1"/>
  <c r="D26" i="1"/>
  <c r="E99" i="21" s="1"/>
  <c r="D23" i="1"/>
  <c r="E96" i="21" s="1"/>
  <c r="D22" i="1"/>
  <c r="E95" i="21" s="1"/>
  <c r="D19" i="1"/>
  <c r="E92" i="21" s="1"/>
  <c r="D18" i="1"/>
  <c r="D15" i="1"/>
  <c r="E88" i="21" s="1"/>
  <c r="D14" i="1"/>
  <c r="D11" i="1"/>
  <c r="E84" i="21" s="1"/>
  <c r="D10" i="1"/>
  <c r="E83" i="21" s="1"/>
  <c r="D7" i="1"/>
  <c r="E80" i="21" s="1"/>
  <c r="D6" i="1"/>
  <c r="E5" i="1"/>
  <c r="F78" i="21" s="1"/>
  <c r="V4" i="1"/>
  <c r="L118" i="21" s="1"/>
  <c r="D140" i="21"/>
  <c r="J150" i="21"/>
  <c r="J149" i="21"/>
  <c r="K4" i="1"/>
  <c r="L77" i="21" s="1"/>
  <c r="U4" i="1"/>
  <c r="K118" i="21" s="1"/>
  <c r="P4" i="1"/>
  <c r="F118" i="21" s="1"/>
  <c r="J142" i="21"/>
  <c r="D135" i="21"/>
  <c r="J4" i="1"/>
  <c r="AC4" i="1" s="1"/>
  <c r="D37" i="1"/>
  <c r="E110" i="21" s="1"/>
  <c r="D36" i="1"/>
  <c r="E109" i="21" s="1"/>
  <c r="D33" i="1"/>
  <c r="E106" i="21" s="1"/>
  <c r="D32" i="1"/>
  <c r="D29" i="1"/>
  <c r="E102" i="21" s="1"/>
  <c r="D28" i="1"/>
  <c r="E101" i="21" s="1"/>
  <c r="D25" i="1"/>
  <c r="E98" i="21" s="1"/>
  <c r="D24" i="1"/>
  <c r="D21" i="1"/>
  <c r="E94" i="21" s="1"/>
  <c r="D20" i="1"/>
  <c r="E93" i="21" s="1"/>
  <c r="D17" i="1"/>
  <c r="E90" i="21" s="1"/>
  <c r="D16" i="1"/>
  <c r="D13" i="1"/>
  <c r="E86" i="21" s="1"/>
  <c r="D12" i="1"/>
  <c r="E85" i="21" s="1"/>
  <c r="D9" i="1"/>
  <c r="E82" i="21" s="1"/>
  <c r="D8" i="1"/>
  <c r="E4" i="1"/>
  <c r="F77" i="21" s="1"/>
  <c r="V5" i="1"/>
  <c r="L119" i="21" s="1"/>
  <c r="O4" i="1"/>
  <c r="E118" i="21" s="1"/>
  <c r="D132" i="21"/>
  <c r="D136" i="21"/>
  <c r="J151" i="21"/>
  <c r="D5" i="1"/>
  <c r="E78" i="21" s="1"/>
  <c r="D4" i="1"/>
  <c r="E77" i="21" s="1"/>
  <c r="N4" i="1"/>
  <c r="AF2" i="32"/>
  <c r="J132" i="21" l="1"/>
  <c r="I15" i="1"/>
  <c r="J88" i="21" s="1"/>
  <c r="W38" i="1"/>
  <c r="X38" i="1" s="1"/>
  <c r="Y38" i="1" s="1"/>
  <c r="K77" i="21"/>
  <c r="W32" i="1"/>
  <c r="X32" i="1" s="1"/>
  <c r="J146" i="21"/>
  <c r="W12" i="1"/>
  <c r="X12" i="1" s="1"/>
  <c r="W26" i="1"/>
  <c r="X26" i="1" s="1"/>
  <c r="W7" i="1"/>
  <c r="X7" i="1" s="1"/>
  <c r="W22" i="1"/>
  <c r="X22" i="1" s="1"/>
  <c r="W30" i="1"/>
  <c r="X30" i="1" s="1"/>
  <c r="I29" i="1"/>
  <c r="J102" i="21" s="1"/>
  <c r="W20" i="1"/>
  <c r="X20" i="1" s="1"/>
  <c r="W36" i="1"/>
  <c r="X36" i="1" s="1"/>
  <c r="I34" i="1"/>
  <c r="J107" i="21" s="1"/>
  <c r="W11" i="1"/>
  <c r="X11" i="1" s="1"/>
  <c r="J138" i="21"/>
  <c r="W5" i="1"/>
  <c r="X5" i="1" s="1"/>
  <c r="L38" i="1"/>
  <c r="M38" i="1" s="1"/>
  <c r="W35" i="1"/>
  <c r="X35" i="1" s="1"/>
  <c r="W16" i="1"/>
  <c r="X16" i="1" s="1"/>
  <c r="I25" i="1"/>
  <c r="L25" i="1" s="1"/>
  <c r="M25" i="1" s="1"/>
  <c r="W31" i="1"/>
  <c r="X31" i="1" s="1"/>
  <c r="I26" i="1"/>
  <c r="L26" i="1" s="1"/>
  <c r="M26" i="1" s="1"/>
  <c r="I9" i="1"/>
  <c r="L9" i="1" s="1"/>
  <c r="M9" i="1" s="1"/>
  <c r="W28" i="1"/>
  <c r="X28" i="1" s="1"/>
  <c r="W15" i="1"/>
  <c r="X15" i="1" s="1"/>
  <c r="I28" i="1"/>
  <c r="L28" i="1" s="1"/>
  <c r="M28" i="1" s="1"/>
  <c r="I17" i="1"/>
  <c r="L17" i="1" s="1"/>
  <c r="M17" i="1" s="1"/>
  <c r="Y17" i="1" s="1"/>
  <c r="W13" i="1"/>
  <c r="X13" i="1" s="1"/>
  <c r="I35" i="1"/>
  <c r="J108" i="21" s="1"/>
  <c r="J122" i="21"/>
  <c r="I37" i="1"/>
  <c r="L37" i="1" s="1"/>
  <c r="M37" i="1" s="1"/>
  <c r="I33" i="1"/>
  <c r="L33" i="1" s="1"/>
  <c r="M33" i="1" s="1"/>
  <c r="J131" i="21"/>
  <c r="W23" i="1"/>
  <c r="X23" i="1" s="1"/>
  <c r="J128" i="21"/>
  <c r="I10" i="1"/>
  <c r="J83" i="21" s="1"/>
  <c r="I22" i="1"/>
  <c r="J95" i="21" s="1"/>
  <c r="E81" i="21"/>
  <c r="I8" i="1"/>
  <c r="E89" i="21"/>
  <c r="I16" i="1"/>
  <c r="E97" i="21"/>
  <c r="I24" i="1"/>
  <c r="E105" i="21"/>
  <c r="I32" i="1"/>
  <c r="J123" i="21"/>
  <c r="W9" i="1"/>
  <c r="X9" i="1" s="1"/>
  <c r="J143" i="21"/>
  <c r="W29" i="1"/>
  <c r="X29" i="1" s="1"/>
  <c r="J120" i="21"/>
  <c r="W6" i="1"/>
  <c r="X6" i="1" s="1"/>
  <c r="W37" i="1"/>
  <c r="X37" i="1" s="1"/>
  <c r="W19" i="1"/>
  <c r="X19" i="1" s="1"/>
  <c r="J141" i="21"/>
  <c r="W27" i="1"/>
  <c r="X27" i="1" s="1"/>
  <c r="I13" i="1"/>
  <c r="I12" i="1"/>
  <c r="I19" i="1"/>
  <c r="I7" i="1"/>
  <c r="I21" i="1"/>
  <c r="J135" i="21"/>
  <c r="W21" i="1"/>
  <c r="X21" i="1" s="1"/>
  <c r="I27" i="1"/>
  <c r="E91" i="21"/>
  <c r="I18" i="1"/>
  <c r="W33" i="1"/>
  <c r="X33" i="1" s="1"/>
  <c r="D118" i="21"/>
  <c r="T4" i="1" s="1"/>
  <c r="I36" i="1"/>
  <c r="W10" i="1"/>
  <c r="X10" i="1" s="1"/>
  <c r="J124" i="21"/>
  <c r="J139" i="21"/>
  <c r="W25" i="1"/>
  <c r="X25" i="1" s="1"/>
  <c r="L15" i="1"/>
  <c r="M15" i="1" s="1"/>
  <c r="W34" i="1"/>
  <c r="X34" i="1" s="1"/>
  <c r="I31" i="1"/>
  <c r="I11" i="1"/>
  <c r="I20" i="1"/>
  <c r="I5" i="1"/>
  <c r="I23" i="1"/>
  <c r="E79" i="21"/>
  <c r="I6" i="1"/>
  <c r="E87" i="21"/>
  <c r="I14" i="1"/>
  <c r="E103" i="21"/>
  <c r="I30" i="1"/>
  <c r="D77" i="21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AF5" i="32"/>
  <c r="D12" i="36" s="1"/>
  <c r="F12" i="36" s="1"/>
  <c r="AF6" i="32"/>
  <c r="AF7" i="32"/>
  <c r="AF8" i="32"/>
  <c r="AF9" i="32"/>
  <c r="AF10" i="32"/>
  <c r="AF11" i="32"/>
  <c r="AF12" i="32"/>
  <c r="AF13" i="32"/>
  <c r="AF14" i="32"/>
  <c r="AF15" i="32"/>
  <c r="AF16" i="32"/>
  <c r="AF17" i="32"/>
  <c r="AF18" i="32"/>
  <c r="AF19" i="32"/>
  <c r="AF20" i="32"/>
  <c r="AF21" i="32"/>
  <c r="AF22" i="32"/>
  <c r="AF23" i="32"/>
  <c r="AF24" i="32"/>
  <c r="AF25" i="32"/>
  <c r="AF26" i="32"/>
  <c r="AF27" i="32"/>
  <c r="AF28" i="32"/>
  <c r="AF29" i="32"/>
  <c r="AF30" i="32"/>
  <c r="AF31" i="32"/>
  <c r="AF32" i="32"/>
  <c r="AF33" i="32"/>
  <c r="AF34" i="32"/>
  <c r="AF35" i="32"/>
  <c r="AF36" i="32"/>
  <c r="AF37" i="32"/>
  <c r="AF38" i="32"/>
  <c r="AF4" i="32"/>
  <c r="D3" i="21" l="1"/>
  <c r="AE4" i="1" s="1"/>
  <c r="AF4" i="1" s="1"/>
  <c r="I4" i="1"/>
  <c r="L29" i="1"/>
  <c r="M29" i="1" s="1"/>
  <c r="Y29" i="1" s="1"/>
  <c r="L10" i="1"/>
  <c r="M10" i="1" s="1"/>
  <c r="Y10" i="1" s="1"/>
  <c r="Y26" i="1"/>
  <c r="Y15" i="1"/>
  <c r="Y28" i="1"/>
  <c r="L34" i="1"/>
  <c r="M34" i="1" s="1"/>
  <c r="J82" i="21"/>
  <c r="J110" i="21"/>
  <c r="J99" i="21"/>
  <c r="L35" i="1"/>
  <c r="M35" i="1" s="1"/>
  <c r="Y35" i="1" s="1"/>
  <c r="J101" i="21"/>
  <c r="Y25" i="1"/>
  <c r="J98" i="21"/>
  <c r="J106" i="21"/>
  <c r="Y33" i="1"/>
  <c r="L22" i="1"/>
  <c r="M22" i="1" s="1"/>
  <c r="Y22" i="1" s="1"/>
  <c r="J90" i="21"/>
  <c r="Y34" i="1"/>
  <c r="Y37" i="1"/>
  <c r="J77" i="21"/>
  <c r="L4" i="1" s="1"/>
  <c r="M4" i="1" s="1"/>
  <c r="L11" i="1"/>
  <c r="M11" i="1" s="1"/>
  <c r="Y11" i="1" s="1"/>
  <c r="J84" i="21"/>
  <c r="J86" i="21"/>
  <c r="L13" i="1"/>
  <c r="M13" i="1" s="1"/>
  <c r="Y13" i="1" s="1"/>
  <c r="J78" i="21"/>
  <c r="L5" i="1"/>
  <c r="M5" i="1" s="1"/>
  <c r="Y5" i="1" s="1"/>
  <c r="J118" i="21"/>
  <c r="W4" i="1" s="1"/>
  <c r="X4" i="1" s="1"/>
  <c r="J92" i="21"/>
  <c r="L19" i="1"/>
  <c r="M19" i="1" s="1"/>
  <c r="Y19" i="1" s="1"/>
  <c r="J103" i="21"/>
  <c r="L30" i="1"/>
  <c r="M30" i="1" s="1"/>
  <c r="Y30" i="1" s="1"/>
  <c r="J79" i="21"/>
  <c r="L6" i="1"/>
  <c r="M6" i="1" s="1"/>
  <c r="Y6" i="1" s="1"/>
  <c r="J93" i="21"/>
  <c r="L20" i="1"/>
  <c r="M20" i="1" s="1"/>
  <c r="Y20" i="1" s="1"/>
  <c r="J91" i="21"/>
  <c r="L18" i="1"/>
  <c r="M18" i="1" s="1"/>
  <c r="Y18" i="1" s="1"/>
  <c r="J85" i="21"/>
  <c r="L12" i="1"/>
  <c r="M12" i="1" s="1"/>
  <c r="Y12" i="1" s="1"/>
  <c r="J105" i="21"/>
  <c r="L32" i="1"/>
  <c r="M32" i="1" s="1"/>
  <c r="Y32" i="1" s="1"/>
  <c r="J89" i="21"/>
  <c r="L16" i="1"/>
  <c r="M16" i="1" s="1"/>
  <c r="Y16" i="1" s="1"/>
  <c r="J94" i="21"/>
  <c r="L21" i="1"/>
  <c r="M21" i="1" s="1"/>
  <c r="Y21" i="1" s="1"/>
  <c r="J87" i="21"/>
  <c r="L14" i="1"/>
  <c r="M14" i="1" s="1"/>
  <c r="Y14" i="1" s="1"/>
  <c r="J96" i="21"/>
  <c r="L23" i="1"/>
  <c r="M23" i="1" s="1"/>
  <c r="Y23" i="1" s="1"/>
  <c r="J104" i="21"/>
  <c r="L31" i="1"/>
  <c r="M31" i="1" s="1"/>
  <c r="Y31" i="1" s="1"/>
  <c r="J109" i="21"/>
  <c r="L36" i="1"/>
  <c r="M36" i="1" s="1"/>
  <c r="Y36" i="1" s="1"/>
  <c r="L27" i="1"/>
  <c r="M27" i="1" s="1"/>
  <c r="Y27" i="1" s="1"/>
  <c r="J100" i="21"/>
  <c r="J80" i="21"/>
  <c r="L7" i="1"/>
  <c r="M7" i="1" s="1"/>
  <c r="Y7" i="1" s="1"/>
  <c r="Y9" i="1"/>
  <c r="J97" i="21"/>
  <c r="L24" i="1"/>
  <c r="M24" i="1" s="1"/>
  <c r="Y24" i="1" s="1"/>
  <c r="J81" i="21"/>
  <c r="L8" i="1"/>
  <c r="M8" i="1" s="1"/>
  <c r="Y8" i="1" s="1"/>
  <c r="C12" i="36"/>
  <c r="D11" i="36"/>
  <c r="F11" i="36" s="1"/>
  <c r="F6" i="27"/>
  <c r="C11" i="36"/>
  <c r="Y4" i="1" l="1"/>
  <c r="AM778" i="2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G6" i="27" l="1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F65" i="27"/>
  <c r="G65" i="27"/>
  <c r="G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F40" i="27"/>
  <c r="G40" i="27" s="1"/>
  <c r="F39" i="27"/>
  <c r="G39" i="27" s="1"/>
  <c r="E44" i="36" s="1"/>
  <c r="G44" i="36" s="1"/>
  <c r="F38" i="27"/>
  <c r="G38" i="27" s="1"/>
  <c r="F37" i="27"/>
  <c r="G37" i="27" s="1"/>
  <c r="E42" i="36" s="1"/>
  <c r="G42" i="36" s="1"/>
  <c r="F36" i="27"/>
  <c r="G36" i="27" s="1"/>
  <c r="F35" i="27"/>
  <c r="G35" i="27" s="1"/>
  <c r="F34" i="27"/>
  <c r="G34" i="27" s="1"/>
  <c r="E39" i="36" s="1"/>
  <c r="G39" i="36" s="1"/>
  <c r="F33" i="27"/>
  <c r="F32" i="27"/>
  <c r="G32" i="27" s="1"/>
  <c r="F31" i="27"/>
  <c r="G31" i="27" s="1"/>
  <c r="E36" i="36" s="1"/>
  <c r="G36" i="36" s="1"/>
  <c r="F30" i="27"/>
  <c r="G30" i="27" s="1"/>
  <c r="F29" i="27"/>
  <c r="G29" i="27" s="1"/>
  <c r="E34" i="36" s="1"/>
  <c r="G34" i="36" s="1"/>
  <c r="F28" i="27"/>
  <c r="G28" i="27" s="1"/>
  <c r="F27" i="27"/>
  <c r="G27" i="27" s="1"/>
  <c r="F26" i="27"/>
  <c r="G26" i="27" s="1"/>
  <c r="E31" i="36" s="1"/>
  <c r="G31" i="36" s="1"/>
  <c r="F25" i="27"/>
  <c r="F24" i="27"/>
  <c r="G24" i="27" s="1"/>
  <c r="F23" i="27"/>
  <c r="G23" i="27" s="1"/>
  <c r="F22" i="27"/>
  <c r="G22" i="27" s="1"/>
  <c r="F21" i="27"/>
  <c r="G21" i="27" s="1"/>
  <c r="F20" i="27"/>
  <c r="G20" i="27" s="1"/>
  <c r="F19" i="27"/>
  <c r="G19" i="27" s="1"/>
  <c r="F18" i="27"/>
  <c r="G18" i="27" s="1"/>
  <c r="E23" i="36" s="1"/>
  <c r="G23" i="36" s="1"/>
  <c r="F17" i="27"/>
  <c r="F16" i="27"/>
  <c r="G16" i="27" s="1"/>
  <c r="F15" i="27"/>
  <c r="G15" i="27" s="1"/>
  <c r="E20" i="36" s="1"/>
  <c r="G20" i="36" s="1"/>
  <c r="F14" i="27"/>
  <c r="G14" i="27" s="1"/>
  <c r="F13" i="27"/>
  <c r="G13" i="27" s="1"/>
  <c r="F12" i="27"/>
  <c r="G12" i="27" s="1"/>
  <c r="F10" i="27"/>
  <c r="G10" i="27" s="1"/>
  <c r="F9" i="27"/>
  <c r="G9" i="27" s="1"/>
  <c r="F8" i="27"/>
  <c r="G8" i="27"/>
  <c r="E13" i="36" s="1"/>
  <c r="G13" i="36" s="1"/>
  <c r="F7" i="27"/>
  <c r="G7" i="27" s="1"/>
  <c r="A2" i="31"/>
  <c r="E44" i="27"/>
  <c r="G17" i="27"/>
  <c r="G25" i="27"/>
  <c r="G33" i="27"/>
  <c r="I37" i="27"/>
  <c r="H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/>
  <c r="AB39" i="32"/>
  <c r="AB40" i="32" s="1"/>
  <c r="AC39" i="32"/>
  <c r="AC40" i="32" s="1"/>
  <c r="A5" i="32"/>
  <c r="A6" i="32" s="1"/>
  <c r="A7" i="32" s="1"/>
  <c r="A8" i="32" s="1"/>
  <c r="A9" i="32" s="1"/>
  <c r="A10" i="32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E39" i="32"/>
  <c r="E40" i="32" s="1"/>
  <c r="F39" i="32"/>
  <c r="F40" i="32" s="1"/>
  <c r="G39" i="32"/>
  <c r="H39" i="32"/>
  <c r="I39" i="32"/>
  <c r="I40" i="32" s="1"/>
  <c r="J39" i="32"/>
  <c r="J40" i="32" s="1"/>
  <c r="K39" i="32"/>
  <c r="L39" i="32"/>
  <c r="M39" i="32"/>
  <c r="M40" i="32" s="1"/>
  <c r="N39" i="32"/>
  <c r="N40" i="32" s="1"/>
  <c r="O39" i="32"/>
  <c r="P39" i="32"/>
  <c r="Q39" i="32"/>
  <c r="Q40" i="32" s="1"/>
  <c r="R39" i="32"/>
  <c r="R40" i="32" s="1"/>
  <c r="S39" i="32"/>
  <c r="T39" i="32"/>
  <c r="U39" i="32"/>
  <c r="U40" i="32" s="1"/>
  <c r="V39" i="32"/>
  <c r="V40" i="32" s="1"/>
  <c r="W39" i="32"/>
  <c r="X39" i="32"/>
  <c r="Y39" i="32"/>
  <c r="Y40" i="32" s="1"/>
  <c r="Z39" i="32"/>
  <c r="Z40" i="32" s="1"/>
  <c r="AD39" i="32"/>
  <c r="AE39" i="32"/>
  <c r="AE40" i="32" s="1"/>
  <c r="D40" i="32"/>
  <c r="G40" i="32"/>
  <c r="H40" i="32"/>
  <c r="K40" i="32"/>
  <c r="L40" i="32"/>
  <c r="O40" i="32"/>
  <c r="P40" i="32"/>
  <c r="S40" i="32"/>
  <c r="T40" i="32"/>
  <c r="W40" i="32"/>
  <c r="X40" i="32"/>
  <c r="AD40" i="32"/>
  <c r="D58" i="12"/>
  <c r="E42" i="12"/>
  <c r="E41" i="12"/>
  <c r="E40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AG352" i="21" l="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I13" i="27"/>
  <c r="I14" i="27"/>
  <c r="E19" i="36"/>
  <c r="G19" i="36" s="1"/>
  <c r="E18" i="36"/>
  <c r="G18" i="36" s="1"/>
  <c r="E26" i="36"/>
  <c r="G26" i="36" s="1"/>
  <c r="I33" i="27"/>
  <c r="E38" i="36"/>
  <c r="G38" i="36" s="1"/>
  <c r="E14" i="36"/>
  <c r="G14" i="36" s="1"/>
  <c r="I22" i="27"/>
  <c r="E27" i="36"/>
  <c r="G27" i="36" s="1"/>
  <c r="E35" i="36"/>
  <c r="G35" i="36" s="1"/>
  <c r="I38" i="27"/>
  <c r="E43" i="36"/>
  <c r="G43" i="36" s="1"/>
  <c r="E11" i="36"/>
  <c r="I25" i="27"/>
  <c r="E30" i="36"/>
  <c r="G30" i="36" s="1"/>
  <c r="E12" i="36"/>
  <c r="G12" i="36" s="1"/>
  <c r="E15" i="36"/>
  <c r="G15" i="36" s="1"/>
  <c r="I19" i="27"/>
  <c r="E24" i="36"/>
  <c r="G24" i="36" s="1"/>
  <c r="I23" i="27"/>
  <c r="E28" i="36"/>
  <c r="G28" i="36" s="1"/>
  <c r="I27" i="27"/>
  <c r="E32" i="36"/>
  <c r="G32" i="36" s="1"/>
  <c r="E40" i="36"/>
  <c r="G40" i="36" s="1"/>
  <c r="I17" i="27"/>
  <c r="E22" i="36"/>
  <c r="G22" i="36" s="1"/>
  <c r="B36" i="31"/>
  <c r="E41" i="36"/>
  <c r="G41" i="36" s="1"/>
  <c r="E17" i="36"/>
  <c r="G17" i="36" s="1"/>
  <c r="E21" i="36"/>
  <c r="G21" i="36" s="1"/>
  <c r="E25" i="36"/>
  <c r="G25" i="36" s="1"/>
  <c r="I24" i="27"/>
  <c r="E29" i="36"/>
  <c r="G29" i="36" s="1"/>
  <c r="E33" i="36"/>
  <c r="G33" i="36" s="1"/>
  <c r="I32" i="27"/>
  <c r="E37" i="36"/>
  <c r="G37" i="36" s="1"/>
  <c r="I40" i="27"/>
  <c r="E45" i="36"/>
  <c r="G45" i="36" s="1"/>
  <c r="B38" i="31"/>
  <c r="B33" i="31"/>
  <c r="B17" i="31"/>
  <c r="B10" i="31"/>
  <c r="B30" i="31"/>
  <c r="B14" i="31"/>
  <c r="B22" i="31"/>
  <c r="B31" i="31"/>
  <c r="B19" i="31"/>
  <c r="B40" i="31"/>
  <c r="I10" i="27"/>
  <c r="AL849" i="21"/>
  <c r="AM848" i="21" s="1"/>
  <c r="B23" i="31"/>
  <c r="AL846" i="21"/>
  <c r="B9" i="31"/>
  <c r="AL857" i="21"/>
  <c r="AM856" i="21" s="1"/>
  <c r="B27" i="31"/>
  <c r="B32" i="31"/>
  <c r="B39" i="31"/>
  <c r="B24" i="31"/>
  <c r="B16" i="31"/>
  <c r="I16" i="27"/>
  <c r="B13" i="31"/>
  <c r="B25" i="31"/>
  <c r="AL810" i="21"/>
  <c r="AL815" i="21"/>
  <c r="AL850" i="21"/>
  <c r="AM849" i="21" s="1"/>
  <c r="AN849" i="21" s="1"/>
  <c r="AM817" i="21"/>
  <c r="AM860" i="21"/>
  <c r="AL861" i="21" s="1"/>
  <c r="AN861" i="21" s="1"/>
  <c r="I9" i="27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0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I30" i="27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G17" i="19"/>
  <c r="H17" i="19" s="1"/>
  <c r="I36" i="27"/>
  <c r="I7" i="27"/>
  <c r="I12" i="27"/>
  <c r="B12" i="31"/>
  <c r="B20" i="31"/>
  <c r="I20" i="27"/>
  <c r="B28" i="31"/>
  <c r="I28" i="27"/>
  <c r="G8" i="19"/>
  <c r="H8" i="19" s="1"/>
  <c r="G15" i="19"/>
  <c r="H15" i="19" s="1"/>
  <c r="G12" i="19"/>
  <c r="H12" i="19" s="1"/>
  <c r="I31" i="27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I35" i="27"/>
  <c r="B35" i="31"/>
  <c r="B8" i="31"/>
  <c r="I8" i="27"/>
  <c r="I18" i="27"/>
  <c r="B18" i="31"/>
  <c r="I21" i="27"/>
  <c r="B21" i="31"/>
  <c r="I26" i="27"/>
  <c r="B26" i="31"/>
  <c r="I29" i="27"/>
  <c r="B29" i="31"/>
  <c r="I34" i="27"/>
  <c r="B34" i="31"/>
  <c r="B37" i="31"/>
  <c r="I15" i="27"/>
  <c r="B15" i="3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I39" i="27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F11" i="27"/>
  <c r="G11" i="27" s="1"/>
  <c r="AF39" i="32"/>
  <c r="AF40" i="32" s="1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G133" i="21" l="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H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E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H63" i="27"/>
  <c r="G41" i="27"/>
  <c r="H56" i="27"/>
  <c r="H61" i="27"/>
  <c r="H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H62" i="27"/>
  <c r="H55" i="27"/>
  <c r="H52" i="27"/>
  <c r="AM804" i="21"/>
  <c r="AM807" i="21"/>
  <c r="I11" i="27"/>
  <c r="B11" i="31"/>
  <c r="H65" i="27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H54" i="27"/>
  <c r="H59" i="27"/>
  <c r="H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H64" i="27"/>
  <c r="H57" i="27"/>
  <c r="H50" i="27"/>
  <c r="H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I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I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I51" i="27"/>
  <c r="AN121" i="21"/>
  <c r="I55" i="27"/>
  <c r="I56" i="27"/>
  <c r="K57" i="27"/>
  <c r="AN90" i="21"/>
  <c r="V91" i="21" s="1"/>
  <c r="B56" i="6" s="1"/>
  <c r="AN377" i="21"/>
  <c r="V378" i="21" s="1"/>
  <c r="E51" i="27"/>
  <c r="X804" i="21"/>
  <c r="AA804" i="21" s="1"/>
  <c r="W836" i="21"/>
  <c r="AN813" i="21"/>
  <c r="V814" i="21" s="1"/>
  <c r="I57" i="27"/>
  <c r="B43" i="13"/>
  <c r="W523" i="21"/>
  <c r="X522" i="21" s="1"/>
  <c r="AN847" i="21"/>
  <c r="AN278" i="21"/>
  <c r="AN632" i="21"/>
  <c r="V633" i="21" s="1"/>
  <c r="B54" i="17" s="1"/>
  <c r="K60" i="27"/>
  <c r="I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I62" i="27"/>
  <c r="K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I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I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I50" i="27"/>
  <c r="K51" i="27"/>
  <c r="I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I41" i="27"/>
  <c r="AN511" i="21"/>
  <c r="AN456" i="21"/>
  <c r="V457" i="21" s="1"/>
  <c r="AN203" i="21"/>
  <c r="AN810" i="21"/>
  <c r="V811" i="21" s="1"/>
  <c r="I54" i="27"/>
  <c r="AN535" i="21"/>
  <c r="V536" i="21" s="1"/>
  <c r="B57" i="13" s="1"/>
  <c r="AN287" i="21"/>
  <c r="AN621" i="21"/>
  <c r="V622" i="21" s="1"/>
  <c r="AN11" i="21"/>
  <c r="V12" i="21" s="1"/>
  <c r="B49" i="5" s="1"/>
  <c r="I65" i="27"/>
  <c r="L65" i="27" s="1"/>
  <c r="K65" i="27"/>
  <c r="AN804" i="21"/>
  <c r="V805" i="21" s="1"/>
  <c r="W806" i="21" s="1"/>
  <c r="Z806" i="21" s="1"/>
  <c r="AN671" i="21"/>
  <c r="I53" i="27"/>
  <c r="K54" i="27"/>
  <c r="I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L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L63" i="27"/>
  <c r="X837" i="21"/>
  <c r="V837" i="21" s="1"/>
  <c r="F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E52" i="27"/>
  <c r="X805" i="21"/>
  <c r="AA805" i="21" s="1"/>
  <c r="W835" i="21"/>
  <c r="W807" i="21"/>
  <c r="Z807" i="21" s="1"/>
  <c r="L57" i="27"/>
  <c r="AN576" i="21"/>
  <c r="L54" i="27"/>
  <c r="AN676" i="21"/>
  <c r="AN286" i="21"/>
  <c r="AN777" i="21"/>
  <c r="AN390" i="21"/>
  <c r="V391" i="21" s="1"/>
  <c r="B56" i="22" s="1"/>
  <c r="L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E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C47" i="19"/>
  <c r="W107" i="21"/>
  <c r="C47" i="6"/>
  <c r="W83" i="21"/>
  <c r="X82" i="21" s="1"/>
  <c r="Z82" i="21"/>
  <c r="E47" i="6" s="1"/>
  <c r="X836" i="21"/>
  <c r="V836" i="21" s="1"/>
  <c r="F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Z726" i="21" l="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E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F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F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E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F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E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F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E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E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F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AA168" i="21" l="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F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E59" i="27"/>
  <c r="J23" i="6" l="1"/>
  <c r="J22" i="17"/>
  <c r="J22" i="13"/>
  <c r="J31" i="22"/>
  <c r="J9" i="19"/>
  <c r="J6" i="14"/>
  <c r="J27" i="15"/>
  <c r="J16" i="5"/>
  <c r="B16" i="32"/>
  <c r="J28" i="15"/>
  <c r="J5" i="23"/>
  <c r="J4" i="6"/>
  <c r="J10" i="12"/>
  <c r="J12" i="22"/>
  <c r="K35" i="27"/>
  <c r="J29" i="23"/>
  <c r="J11" i="23"/>
  <c r="J21" i="19"/>
  <c r="J4" i="19"/>
  <c r="J32" i="17"/>
  <c r="J18" i="19"/>
  <c r="J9" i="22"/>
  <c r="J18" i="13"/>
  <c r="J19" i="17"/>
  <c r="K18" i="27"/>
  <c r="J15" i="17"/>
  <c r="J18" i="23"/>
  <c r="J18" i="22"/>
  <c r="A16" i="31"/>
  <c r="J14" i="5"/>
  <c r="J22" i="5"/>
  <c r="A24" i="31"/>
  <c r="J17" i="17"/>
  <c r="J12" i="23"/>
  <c r="J25" i="14"/>
  <c r="J33" i="13"/>
  <c r="J22" i="12"/>
  <c r="J25" i="12"/>
  <c r="J21" i="12"/>
  <c r="J35" i="12"/>
  <c r="J16" i="23"/>
  <c r="K34" i="27"/>
  <c r="J17" i="5"/>
  <c r="B17" i="32"/>
  <c r="A27" i="31"/>
  <c r="J25" i="5"/>
  <c r="J35" i="19"/>
  <c r="J4" i="15"/>
  <c r="J14" i="17"/>
  <c r="J7" i="17"/>
  <c r="J15" i="14"/>
  <c r="J37" i="19"/>
  <c r="B23" i="32"/>
  <c r="J23" i="5"/>
  <c r="J23" i="22"/>
  <c r="J27" i="6"/>
  <c r="K40" i="27"/>
  <c r="J14" i="19"/>
  <c r="J8" i="15"/>
  <c r="J35" i="17"/>
  <c r="J38" i="14"/>
  <c r="J26" i="13"/>
  <c r="J26" i="22"/>
  <c r="J12" i="15"/>
  <c r="J15" i="12"/>
  <c r="J38" i="13"/>
  <c r="A38" i="31"/>
  <c r="J36" i="5"/>
  <c r="J34" i="14"/>
  <c r="J26" i="5"/>
  <c r="A28" i="31"/>
  <c r="J5" i="12"/>
  <c r="J17" i="6"/>
  <c r="J9" i="17"/>
  <c r="J10" i="22"/>
  <c r="J17" i="13"/>
  <c r="J6" i="12"/>
  <c r="J24" i="13"/>
  <c r="J31" i="13"/>
  <c r="J9" i="12"/>
  <c r="J35" i="14"/>
  <c r="J20" i="12"/>
  <c r="J29" i="22"/>
  <c r="J33" i="14"/>
  <c r="J31" i="17"/>
  <c r="J8" i="13"/>
  <c r="J20" i="15"/>
  <c r="J29" i="19"/>
  <c r="J25" i="22"/>
  <c r="J24" i="15"/>
  <c r="J11" i="12"/>
  <c r="J7" i="15"/>
  <c r="J17" i="14"/>
  <c r="J38" i="22"/>
  <c r="J14" i="15"/>
  <c r="J37" i="14"/>
  <c r="J22" i="15"/>
  <c r="J27" i="14"/>
  <c r="J19" i="14"/>
  <c r="J32" i="14"/>
  <c r="B11" i="32"/>
  <c r="J11" i="5"/>
  <c r="J20" i="14"/>
  <c r="K16" i="27"/>
  <c r="K29" i="27"/>
  <c r="J5" i="22"/>
  <c r="J6" i="22"/>
  <c r="J17" i="19"/>
  <c r="J13" i="14"/>
  <c r="J25" i="23"/>
  <c r="J15" i="15"/>
  <c r="J38" i="6"/>
  <c r="J6" i="6"/>
  <c r="J18" i="5"/>
  <c r="B18" i="32"/>
  <c r="J31" i="12"/>
  <c r="J12" i="12"/>
  <c r="J34" i="19"/>
  <c r="J38" i="15"/>
  <c r="J24" i="14"/>
  <c r="K39" i="27"/>
  <c r="J21" i="15"/>
  <c r="J12" i="14"/>
  <c r="J33" i="23"/>
  <c r="J31" i="19"/>
  <c r="J37" i="15"/>
  <c r="J38" i="23"/>
  <c r="J12" i="19"/>
  <c r="J7" i="13"/>
  <c r="J28" i="12"/>
  <c r="J13" i="15"/>
  <c r="J29" i="13"/>
  <c r="B20" i="32"/>
  <c r="J20" i="5"/>
  <c r="B15" i="32"/>
  <c r="J15" i="5"/>
  <c r="J37" i="6"/>
  <c r="J5" i="13"/>
  <c r="J26" i="19"/>
  <c r="J29" i="6"/>
  <c r="J8" i="17"/>
  <c r="J17" i="22"/>
  <c r="J32" i="19"/>
  <c r="J32" i="15"/>
  <c r="J19" i="13"/>
  <c r="J16" i="17"/>
  <c r="J16" i="14"/>
  <c r="J28" i="17"/>
  <c r="K38" i="27"/>
  <c r="J26" i="14"/>
  <c r="J21" i="14"/>
  <c r="J12" i="5"/>
  <c r="A14" i="31"/>
  <c r="J36" i="19"/>
  <c r="J31" i="23"/>
  <c r="B31" i="32"/>
  <c r="J31" i="5"/>
  <c r="A40" i="31"/>
  <c r="J38" i="5"/>
  <c r="J30" i="15"/>
  <c r="J33" i="17"/>
  <c r="J24" i="5"/>
  <c r="A26" i="31"/>
  <c r="J10" i="23"/>
  <c r="J35" i="15"/>
  <c r="J21" i="6"/>
  <c r="J9" i="15"/>
  <c r="J35" i="5"/>
  <c r="A37" i="31"/>
  <c r="J8" i="23"/>
  <c r="J23" i="15"/>
  <c r="J5" i="14"/>
  <c r="J16" i="19"/>
  <c r="J7" i="6"/>
  <c r="J4" i="22"/>
  <c r="J30" i="14"/>
  <c r="J10" i="6"/>
  <c r="J11" i="19"/>
  <c r="J10" i="19"/>
  <c r="J33" i="15"/>
  <c r="J16" i="12"/>
  <c r="J37" i="22"/>
  <c r="J26" i="17"/>
  <c r="J31" i="15"/>
  <c r="J28" i="5"/>
  <c r="B28" i="32"/>
  <c r="A12" i="31"/>
  <c r="J10" i="5"/>
  <c r="J4" i="17"/>
  <c r="J20" i="13"/>
  <c r="J35" i="22"/>
  <c r="J34" i="23"/>
  <c r="J15" i="13"/>
  <c r="J8" i="22"/>
  <c r="J16" i="6"/>
  <c r="J38" i="12"/>
  <c r="J4" i="5"/>
  <c r="A6" i="31"/>
  <c r="J13" i="22"/>
  <c r="J22" i="6"/>
  <c r="J34" i="15"/>
  <c r="B7" i="32"/>
  <c r="J7" i="5"/>
  <c r="J7" i="22"/>
  <c r="J19" i="22"/>
  <c r="J24" i="6"/>
  <c r="J10" i="15"/>
  <c r="J19" i="6"/>
  <c r="J20" i="22"/>
  <c r="J18" i="17"/>
  <c r="B29" i="32"/>
  <c r="J29" i="5"/>
  <c r="J36" i="12"/>
  <c r="J11" i="22"/>
  <c r="J15" i="19"/>
  <c r="J7" i="12"/>
  <c r="J4" i="23"/>
  <c r="J36" i="22"/>
  <c r="J27" i="17"/>
  <c r="J27" i="5"/>
  <c r="B27" i="32"/>
  <c r="J6" i="23"/>
  <c r="J36" i="23"/>
  <c r="J37" i="12"/>
  <c r="J29" i="14"/>
  <c r="J22" i="23"/>
  <c r="J21" i="22"/>
  <c r="J31" i="14"/>
  <c r="J38" i="17"/>
  <c r="J24" i="12"/>
  <c r="J20" i="6"/>
  <c r="J32" i="22"/>
  <c r="J33" i="22"/>
  <c r="J30" i="23"/>
  <c r="J21" i="13"/>
  <c r="J27" i="19"/>
  <c r="A34" i="31"/>
  <c r="J32" i="5"/>
  <c r="J7" i="14"/>
  <c r="J28" i="14"/>
  <c r="J15" i="6"/>
  <c r="J19" i="12"/>
  <c r="J15" i="22"/>
  <c r="J6" i="19"/>
  <c r="B21" i="32"/>
  <c r="J21" i="5"/>
  <c r="J10" i="13"/>
  <c r="J5" i="15"/>
  <c r="J32" i="13"/>
  <c r="J32" i="23"/>
  <c r="J34" i="22"/>
  <c r="J27" i="13"/>
  <c r="K37" i="27"/>
  <c r="J4" i="14"/>
  <c r="J6" i="13"/>
  <c r="J5" i="19"/>
  <c r="J13" i="13"/>
  <c r="J20" i="23"/>
  <c r="J33" i="6"/>
  <c r="J26" i="12"/>
  <c r="J37" i="13"/>
  <c r="J13" i="19"/>
  <c r="J34" i="17"/>
  <c r="J23" i="23"/>
  <c r="J33" i="12"/>
  <c r="J9" i="14"/>
  <c r="J38" i="19"/>
  <c r="J26" i="23"/>
  <c r="J16" i="13"/>
  <c r="J23" i="13"/>
  <c r="J36" i="15"/>
  <c r="J10" i="17"/>
  <c r="J11" i="15"/>
  <c r="J22" i="22"/>
  <c r="J34" i="5"/>
  <c r="A36" i="31"/>
  <c r="J8" i="19"/>
  <c r="J30" i="17"/>
  <c r="J26" i="15"/>
  <c r="K31" i="27"/>
  <c r="J13" i="17"/>
  <c r="J30" i="13"/>
  <c r="J28" i="13"/>
  <c r="J28" i="22"/>
  <c r="J34" i="6"/>
  <c r="J19" i="19"/>
  <c r="J36" i="6"/>
  <c r="J36" i="14"/>
  <c r="J32" i="12"/>
  <c r="J4" i="12"/>
  <c r="K21" i="27"/>
  <c r="J20" i="17"/>
  <c r="J17" i="12"/>
  <c r="J36" i="17"/>
  <c r="J8" i="12"/>
  <c r="J37" i="17"/>
  <c r="J35" i="23"/>
  <c r="J4" i="13"/>
  <c r="J12" i="13"/>
  <c r="J31" i="6"/>
  <c r="J25" i="17"/>
  <c r="J25" i="6"/>
  <c r="J18" i="14"/>
  <c r="J30" i="5"/>
  <c r="A32" i="31"/>
  <c r="J30" i="22"/>
  <c r="J32" i="6"/>
  <c r="J17" i="15"/>
  <c r="J23" i="17"/>
  <c r="K36" i="27"/>
  <c r="J28" i="19"/>
  <c r="J36" i="13"/>
  <c r="J23" i="19"/>
  <c r="J13" i="12"/>
  <c r="J30" i="12"/>
  <c r="B33" i="32"/>
  <c r="J33" i="5"/>
  <c r="J8" i="5"/>
  <c r="B8" i="32"/>
  <c r="J6" i="5"/>
  <c r="A8" i="31"/>
  <c r="J8" i="6"/>
  <c r="K32" i="27"/>
  <c r="K25" i="27"/>
  <c r="J15" i="23"/>
  <c r="J27" i="12"/>
  <c r="J5" i="6"/>
  <c r="J14" i="13"/>
  <c r="J23" i="12"/>
  <c r="B19" i="32"/>
  <c r="J19" i="5"/>
  <c r="J29" i="15"/>
  <c r="J11" i="13"/>
  <c r="J23" i="14"/>
  <c r="J34" i="13"/>
  <c r="J13" i="5"/>
  <c r="A15" i="31"/>
  <c r="J18" i="6"/>
  <c r="J13" i="23"/>
  <c r="J9" i="5"/>
  <c r="A11" i="31"/>
  <c r="J6" i="15"/>
  <c r="J37" i="23"/>
  <c r="J19" i="15"/>
  <c r="J33" i="19"/>
  <c r="J17" i="23"/>
  <c r="J13" i="6"/>
  <c r="J5" i="17"/>
  <c r="J14" i="23"/>
  <c r="J25" i="15"/>
  <c r="J8" i="14"/>
  <c r="J9" i="6"/>
  <c r="J14" i="14"/>
  <c r="A39" i="31"/>
  <c r="J37" i="5"/>
  <c r="J11" i="14"/>
  <c r="J21" i="17"/>
  <c r="J25" i="19"/>
  <c r="J14" i="6"/>
  <c r="J18" i="15"/>
  <c r="J28" i="6"/>
  <c r="J7" i="23"/>
  <c r="J22" i="19"/>
  <c r="J20" i="19"/>
  <c r="J35" i="6"/>
  <c r="J12" i="17"/>
  <c r="J9" i="13"/>
  <c r="J10" i="14"/>
  <c r="J29" i="12"/>
  <c r="J14" i="22"/>
  <c r="J30" i="19"/>
  <c r="J30" i="6"/>
  <c r="J22" i="14"/>
  <c r="J16" i="22"/>
  <c r="J34" i="12"/>
  <c r="J27" i="22"/>
  <c r="J12" i="6"/>
  <c r="J14" i="12"/>
  <c r="J24" i="23"/>
  <c r="J16" i="15"/>
  <c r="J7" i="19"/>
  <c r="J9" i="23"/>
  <c r="J28" i="23"/>
  <c r="K8" i="27"/>
  <c r="J24" i="17"/>
  <c r="J18" i="12"/>
  <c r="J35" i="13"/>
  <c r="J25" i="13"/>
  <c r="J26" i="6"/>
  <c r="A7" i="31"/>
  <c r="J5" i="5"/>
  <c r="J27" i="23"/>
  <c r="J11" i="6"/>
  <c r="J19" i="23"/>
  <c r="J11" i="17"/>
  <c r="K9" i="27"/>
  <c r="J6" i="17"/>
  <c r="J24" i="19"/>
  <c r="J29" i="17"/>
  <c r="J24" i="22"/>
  <c r="J21" i="23"/>
  <c r="A30" i="31"/>
  <c r="A10" i="31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F58" i="27"/>
  <c r="F48" i="36" s="1"/>
  <c r="X829" i="21"/>
  <c r="V829" i="21" s="1"/>
  <c r="X746" i="21"/>
  <c r="V746" i="21" s="1"/>
  <c r="D52" i="19"/>
  <c r="AA731" i="21"/>
  <c r="G52" i="19" s="1"/>
  <c r="E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A22" i="31" l="1"/>
  <c r="A23" i="31"/>
  <c r="A25" i="31"/>
  <c r="A18" i="31"/>
  <c r="B25" i="32"/>
  <c r="B32" i="32"/>
  <c r="B14" i="32"/>
  <c r="A13" i="31"/>
  <c r="B12" i="32"/>
  <c r="B35" i="32"/>
  <c r="A29" i="31"/>
  <c r="B9" i="32"/>
  <c r="B13" i="32"/>
  <c r="A9" i="31"/>
  <c r="B30" i="32"/>
  <c r="B6" i="32"/>
  <c r="A21" i="31"/>
  <c r="B37" i="32"/>
  <c r="B5" i="32"/>
  <c r="G27" i="6"/>
  <c r="G26" i="6" s="1"/>
  <c r="G27" i="23"/>
  <c r="G26" i="23" s="1"/>
  <c r="B22" i="32"/>
  <c r="B34" i="32"/>
  <c r="G27" i="13"/>
  <c r="G26" i="13" s="1"/>
  <c r="A35" i="31"/>
  <c r="B36" i="32"/>
  <c r="B24" i="32"/>
  <c r="A31" i="31"/>
  <c r="B10" i="32"/>
  <c r="G27" i="17"/>
  <c r="G26" i="17" s="1"/>
  <c r="G27" i="5"/>
  <c r="G26" i="5" s="1"/>
  <c r="G27" i="19"/>
  <c r="G26" i="19" s="1"/>
  <c r="G27" i="22"/>
  <c r="G26" i="22" s="1"/>
  <c r="G27" i="14"/>
  <c r="G26" i="14" s="1"/>
  <c r="G27" i="12"/>
  <c r="G26" i="12" s="1"/>
  <c r="G27" i="15"/>
  <c r="G26" i="15" s="1"/>
  <c r="A17" i="31"/>
  <c r="B38" i="32"/>
  <c r="B26" i="32"/>
  <c r="A20" i="31"/>
  <c r="A33" i="31"/>
  <c r="A19" i="31"/>
  <c r="Z172" i="2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E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F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E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F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F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E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E64" i="27"/>
  <c r="X817" i="21"/>
  <c r="AA817" i="21" s="1"/>
  <c r="AA19" i="21"/>
  <c r="G56" i="5" s="1"/>
  <c r="X26" i="21"/>
  <c r="V26" i="21" s="1"/>
  <c r="D56" i="5"/>
  <c r="F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F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E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F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K24" i="27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K22" i="27" l="1"/>
  <c r="I9" i="22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K28" i="27" l="1"/>
  <c r="B6" i="31" l="1"/>
  <c r="K14" i="27"/>
  <c r="K11" i="27"/>
  <c r="K20" i="27"/>
  <c r="K33" i="27" l="1"/>
  <c r="K26" i="27"/>
  <c r="K6" i="27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B7" i="31" l="1"/>
  <c r="K7" i="27" l="1"/>
  <c r="K27" i="27"/>
  <c r="K19" i="27"/>
  <c r="AN217" i="21" l="1"/>
  <c r="K12" i="27" l="1"/>
  <c r="K15" i="27"/>
  <c r="K30" i="27" l="1"/>
  <c r="K17" i="27" l="1"/>
  <c r="K10" i="27"/>
  <c r="K13" i="27"/>
  <c r="K23" i="27"/>
  <c r="K41" i="27" l="1"/>
</calcChain>
</file>

<file path=xl/sharedStrings.xml><?xml version="1.0" encoding="utf-8"?>
<sst xmlns="http://schemas.openxmlformats.org/spreadsheetml/2006/main" count="1346" uniqueCount="164">
  <si>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</si>
  <si>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</si>
  <si>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</si>
  <si>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</si>
  <si>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</si>
  <si>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</si>
  <si>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</si>
  <si>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</si>
  <si>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</si>
  <si>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</si>
  <si>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</si>
  <si>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</si>
  <si>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</si>
  <si>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</si>
  <si>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</si>
  <si>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</si>
  <si>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</si>
  <si>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</si>
  <si>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</si>
  <si>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</si>
  <si>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</si>
  <si>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</si>
  <si>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</si>
  <si>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</si>
  <si>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</si>
  <si>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</si>
  <si>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</si>
  <si>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</si>
  <si>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</si>
  <si>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</si>
  <si>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</si>
  <si>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</si>
  <si>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</si>
  <si>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</si>
  <si>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</si>
  <si>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</si>
  <si>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</si>
  <si>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</si>
  <si>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</si>
  <si>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</si>
  <si>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</si>
  <si>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</si>
  <si>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</si>
  <si>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</si>
  <si>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</si>
  <si>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</si>
  <si>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</si>
  <si>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</si>
  <si>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</si>
  <si>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</si>
  <si>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</si>
  <si>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</si>
  <si>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</si>
  <si>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</si>
  <si>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</si>
  <si>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</si>
  <si>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</si>
  <si>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</si>
  <si>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</si>
  <si>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</si>
  <si>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</si>
  <si>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</si>
  <si>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</si>
  <si>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</si>
  <si>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</si>
  <si>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</si>
  <si>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</si>
  <si>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</si>
  <si>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P</t>
  </si>
  <si>
    <t>SA</t>
  </si>
  <si>
    <t>sL</t>
  </si>
  <si>
    <t>ohne MP</t>
  </si>
  <si>
    <t>Angenommene Ergebnisse der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</si>
  <si>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</si>
  <si>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</si>
  <si>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</si>
  <si>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</si>
  <si>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</si>
  <si>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</si>
  <si>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</si>
  <si>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</si>
  <si>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</si>
  <si>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</si>
  <si>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</si>
  <si>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</si>
  <si>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</si>
  <si>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</si>
  <si>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</si>
  <si>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</si>
  <si>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</si>
  <si>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</si>
  <si>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</si>
  <si>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</si>
  <si>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</si>
  <si>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</si>
  <si>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</si>
  <si>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</si>
  <si>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</si>
  <si>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</si>
  <si>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</si>
  <si>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</si>
  <si>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</si>
  <si>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</si>
  <si>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</si>
  <si>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</si>
  <si>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</si>
  <si>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</si>
  <si>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</si>
  <si>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</si>
  <si>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</si>
  <si>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</si>
  <si>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</si>
  <si>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</si>
  <si>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</si>
  <si>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</si>
  <si>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</si>
  <si>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</si>
  <si>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</si>
  <si>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</si>
  <si>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</si>
  <si>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</si>
  <si>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Abschlussprüfung 2015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</si>
  <si>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</si>
  <si>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</si>
  <si>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</si>
  <si>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</si>
  <si>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</si>
  <si>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</si>
  <si>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</si>
  <si>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</si>
  <si>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</si>
  <si>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</si>
  <si>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</si>
  <si>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</si>
  <si>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</si>
  <si>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</si>
  <si>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</si>
  <si>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</si>
  <si>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</si>
  <si>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</si>
  <si>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</si>
  <si>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</si>
  <si>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mü</t>
  </si>
  <si>
    <t>Ex</t>
  </si>
  <si>
    <t>FRef</t>
  </si>
  <si>
    <t>2016/17</t>
  </si>
  <si>
    <t>alte SchO</t>
  </si>
  <si>
    <t>alte SchO Jahresende</t>
  </si>
  <si>
    <t>Ø sL</t>
  </si>
  <si>
    <t>Ø SA</t>
  </si>
  <si>
    <t>zulässige alte Modi</t>
  </si>
  <si>
    <t>Zeugnis</t>
  </si>
  <si>
    <t>1:1</t>
  </si>
  <si>
    <t>2:1</t>
  </si>
  <si>
    <t>ohne SA</t>
  </si>
  <si>
    <t>Gew</t>
  </si>
  <si>
    <t>alte Regelung mündliche 2.HJ ohne FR</t>
  </si>
  <si>
    <t>Fachnote</t>
  </si>
  <si>
    <t>eingebrachte Halbjahre</t>
  </si>
  <si>
    <t>Schulart:</t>
  </si>
  <si>
    <t>FOS</t>
  </si>
  <si>
    <t>Fachnote in Abhängigkeit der erzielten Leistungen in einer angenommenen mündlichen Prüfung</t>
  </si>
  <si>
    <t>Schulordnung:</t>
  </si>
  <si>
    <t>Neue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</si>
</sst>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dd/\ mmmm\ yyyy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515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5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14" fontId="0" fillId="0" borderId="6" xfId="0" quotePrefix="1" applyNumberFormat="1" applyFill="1" applyBorder="1" applyAlignment="1">
      <alignment horizont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6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1" fontId="6" fillId="8" borderId="6" xfId="2" applyNumberFormat="1" applyFill="1" applyBorder="1" applyAlignment="1" applyProtection="1">
      <alignment horizontal="center"/>
      <protection hidden="1"/>
    </xf>
    <xf numFmtId="0" fontId="6" fillId="8" borderId="6" xfId="2" applyFill="1" applyBorder="1" applyAlignment="1" applyProtection="1">
      <alignment horizontal="center"/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7" borderId="6" xfId="2" applyFont="1" applyFill="1" applyBorder="1" applyAlignment="1" applyProtection="1">
      <alignment horizontal="center" wrapText="1"/>
    </xf>
    <xf numFmtId="0" fontId="5" fillId="7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2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2" fontId="7" fillId="2" borderId="71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0" fontId="7" fillId="2" borderId="58" xfId="0" applyFont="1" applyFill="1" applyBorder="1" applyAlignment="1" applyProtection="1">
      <alignment vertical="center"/>
      <protection hidden="1"/>
    </xf>
    <xf numFmtId="1" fontId="7" fillId="2" borderId="54" xfId="0" applyNumberFormat="1" applyFont="1" applyFill="1" applyBorder="1" applyAlignment="1" applyProtection="1">
      <alignment vertical="center"/>
      <protection hidden="1"/>
    </xf>
    <xf numFmtId="2" fontId="7" fillId="2" borderId="53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2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19" fillId="2" borderId="65" xfId="0" applyFont="1" applyFill="1" applyBorder="1" applyAlignment="1" applyProtection="1">
      <alignment horizontal="center" vertical="center"/>
      <protection hidden="1"/>
    </xf>
    <xf numFmtId="0" fontId="20" fillId="3" borderId="65" xfId="0" applyNumberFormat="1" applyFont="1" applyFill="1" applyBorder="1" applyAlignment="1" applyProtection="1">
      <alignment horizontal="center" vertical="center" textRotation="180"/>
      <protection locked="0"/>
    </xf>
    <xf numFmtId="0" fontId="7" fillId="2" borderId="73" xfId="0" applyFont="1" applyFill="1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0" fontId="0" fillId="0" borderId="0" xfId="0" quotePrefix="1" applyNumberFormat="1" applyProtection="1">
      <protection hidden="1"/>
    </xf>
    <xf numFmtId="0" fontId="0" fillId="0" borderId="0" xfId="0" quotePrefix="1" applyNumberFormat="1" applyProtection="1">
      <protection hidden="1"/>
    </xf>
    <xf numFmtId="0" fontId="7" fillId="9" borderId="51" xfId="0" applyFont="1" applyFill="1" applyBorder="1" applyAlignment="1" applyProtection="1">
      <alignment horizontal="center" vertical="center"/>
      <protection hidden="1"/>
    </xf>
    <xf numFmtId="0" fontId="7" fillId="9" borderId="72" xfId="0" applyFont="1" applyFill="1" applyBorder="1" applyAlignment="1" applyProtection="1">
      <alignment horizontal="center" vertical="center"/>
      <protection hidden="1"/>
    </xf>
    <xf numFmtId="0" fontId="7" fillId="9" borderId="73" xfId="0" applyFont="1" applyFill="1" applyBorder="1" applyAlignment="1" applyProtection="1">
      <alignment horizontal="center" vertical="center"/>
      <protection hidden="1"/>
    </xf>
    <xf numFmtId="2" fontId="7" fillId="9" borderId="51" xfId="0" applyNumberFormat="1" applyFont="1" applyFill="1" applyBorder="1" applyAlignment="1" applyProtection="1">
      <alignment vertical="center"/>
      <protection hidden="1"/>
    </xf>
    <xf numFmtId="2" fontId="7" fillId="9" borderId="72" xfId="0" applyNumberFormat="1" applyFont="1" applyFill="1" applyBorder="1" applyAlignment="1" applyProtection="1">
      <alignment vertical="center"/>
      <protection hidden="1"/>
    </xf>
    <xf numFmtId="2" fontId="7" fillId="9" borderId="73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Protection="1">
      <protection hidden="1"/>
    </xf>
    <xf numFmtId="0" fontId="7" fillId="2" borderId="72" xfId="0" applyFont="1" applyFill="1" applyBorder="1" applyProtection="1">
      <protection hidden="1"/>
    </xf>
    <xf numFmtId="0" fontId="7" fillId="2" borderId="5" xfId="0" applyFont="1" applyFill="1" applyBorder="1" applyProtection="1">
      <protection hidden="1"/>
    </xf>
    <xf numFmtId="2" fontId="7" fillId="2" borderId="58" xfId="0" applyNumberFormat="1" applyFont="1" applyFill="1" applyBorder="1" applyAlignment="1" applyProtection="1">
      <alignment vertical="center"/>
      <protection hidden="1"/>
    </xf>
    <xf numFmtId="0" fontId="7" fillId="2" borderId="77" xfId="0" applyFont="1" applyFill="1" applyBorder="1" applyProtection="1">
      <protection hidden="1"/>
    </xf>
    <xf numFmtId="0" fontId="7" fillId="2" borderId="77" xfId="0" applyFont="1" applyFill="1" applyBorder="1" applyAlignment="1" applyProtection="1">
      <alignment vertical="center"/>
      <protection hidden="1"/>
    </xf>
    <xf numFmtId="0" fontId="7" fillId="6" borderId="88" xfId="0" applyFont="1" applyFill="1" applyBorder="1" applyProtection="1">
      <protection locked="0"/>
    </xf>
    <xf numFmtId="0" fontId="7" fillId="6" borderId="6" xfId="0" applyFont="1" applyFill="1" applyBorder="1" applyAlignment="1" applyProtection="1">
      <alignment vertical="center"/>
      <protection locked="0" hidden="1"/>
    </xf>
    <xf numFmtId="0" fontId="7" fillId="6" borderId="65" xfId="0" applyFont="1" applyFill="1" applyBorder="1" applyAlignment="1" applyProtection="1">
      <alignment vertical="center"/>
      <protection locked="0" hidden="1"/>
    </xf>
    <xf numFmtId="2" fontId="7" fillId="2" borderId="15" xfId="0" applyNumberFormat="1" applyFont="1" applyFill="1" applyBorder="1" applyAlignment="1" applyProtection="1">
      <alignment vertical="center"/>
      <protection hidden="1"/>
    </xf>
    <xf numFmtId="0" fontId="7" fillId="9" borderId="32" xfId="0" applyFont="1" applyFill="1" applyBorder="1" applyAlignment="1" applyProtection="1">
      <alignment horizontal="center" vertical="center"/>
      <protection hidden="1"/>
    </xf>
    <xf numFmtId="0" fontId="7" fillId="9" borderId="77" xfId="0" applyFont="1" applyFill="1" applyBorder="1" applyAlignment="1" applyProtection="1">
      <alignment horizontal="center" vertical="center"/>
      <protection hidden="1"/>
    </xf>
    <xf numFmtId="0" fontId="7" fillId="9" borderId="78" xfId="0" applyFont="1" applyFill="1" applyBorder="1" applyAlignment="1" applyProtection="1">
      <alignment horizontal="center" vertical="center"/>
      <protection hidden="1"/>
    </xf>
    <xf numFmtId="2" fontId="7" fillId="2" borderId="6" xfId="0" applyNumberFormat="1" applyFont="1" applyFill="1" applyBorder="1" applyAlignment="1" applyProtection="1">
      <alignment horizontal="center" vertical="center"/>
      <protection hidden="1"/>
    </xf>
    <xf numFmtId="0" fontId="7" fillId="2" borderId="72" xfId="0" applyFont="1" applyFill="1" applyBorder="1" applyAlignment="1" applyProtection="1">
      <alignment horizontal="center" vertical="center"/>
      <protection hidden="1"/>
    </xf>
    <xf numFmtId="2" fontId="7" fillId="2" borderId="65" xfId="0" applyNumberFormat="1" applyFont="1" applyFill="1" applyBorder="1" applyAlignment="1" applyProtection="1">
      <alignment horizontal="center" vertical="center"/>
      <protection hidden="1"/>
    </xf>
    <xf numFmtId="0" fontId="7" fillId="2" borderId="73" xfId="0" applyFont="1" applyFill="1" applyBorder="1" applyAlignment="1" applyProtection="1">
      <alignment horizontal="center" vertical="center"/>
      <protection hidden="1"/>
    </xf>
    <xf numFmtId="0" fontId="6" fillId="0" borderId="6" xfId="2" applyBorder="1" applyProtection="1"/>
    <xf numFmtId="14" fontId="7" fillId="6" borderId="90" xfId="0" applyNumberFormat="1" applyFont="1" applyFill="1" applyBorder="1" applyAlignment="1" applyProtection="1">
      <alignment horizontal="center"/>
      <protection hidden="1"/>
    </xf>
    <xf numFmtId="0" fontId="7" fillId="6" borderId="60" xfId="0" applyFont="1" applyFill="1" applyBorder="1" applyAlignment="1" applyProtection="1">
      <alignment horizontal="center"/>
      <protection hidden="1"/>
    </xf>
    <xf numFmtId="0" fontId="7" fillId="6" borderId="90" xfId="0" applyFont="1" applyFill="1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91" xfId="0" applyFont="1" applyFill="1" applyBorder="1" applyAlignment="1" applyProtection="1">
      <alignment horizontal="center"/>
      <protection locked="0"/>
    </xf>
    <xf numFmtId="0" fontId="7" fillId="6" borderId="90" xfId="0" applyFont="1" applyFill="1" applyBorder="1" applyProtection="1">
      <protection locked="0"/>
    </xf>
    <xf numFmtId="0" fontId="7" fillId="6" borderId="59" xfId="0" applyFont="1" applyFill="1" applyBorder="1" applyProtection="1">
      <protection locked="0"/>
    </xf>
    <xf numFmtId="0" fontId="7" fillId="6" borderId="91" xfId="0" applyFont="1" applyFill="1" applyBorder="1" applyProtection="1">
      <protection locked="0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0" fillId="0" borderId="0" xfId="0" applyAlignment="1" applyProtection="1">
      <alignment horizontal="center"/>
      <protection hidden="1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15" fillId="7" borderId="1" xfId="2" applyFont="1" applyFill="1" applyBorder="1" applyAlignment="1" applyProtection="1">
      <alignment horizontal="center"/>
    </xf>
    <xf numFmtId="0" fontId="15" fillId="7" borderId="54" xfId="2" applyFont="1" applyFill="1" applyBorder="1" applyAlignment="1" applyProtection="1">
      <alignment horizontal="center"/>
    </xf>
    <xf numFmtId="0" fontId="15" fillId="7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7" borderId="6" xfId="2" applyFill="1" applyBorder="1" applyAlignment="1" applyProtection="1"/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7" borderId="1" xfId="2" applyFont="1" applyFill="1" applyBorder="1" applyAlignment="1">
      <alignment horizontal="center"/>
    </xf>
    <xf numFmtId="0" fontId="5" fillId="7" borderId="54" xfId="2" applyFont="1" applyFill="1" applyBorder="1" applyAlignment="1">
      <alignment horizontal="center"/>
    </xf>
    <xf numFmtId="0" fontId="5" fillId="7" borderId="58" xfId="2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 wrapText="1"/>
    </xf>
    <xf numFmtId="0" fontId="18" fillId="0" borderId="13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locked="0"/>
    </xf>
    <xf numFmtId="4" fontId="0" fillId="0" borderId="13" xfId="0" applyNumberFormat="1" applyBorder="1" applyAlignment="1" applyProtection="1">
      <alignment horizontal="center"/>
      <protection hidden="1"/>
    </xf>
    <xf numFmtId="0" fontId="0" fillId="0" borderId="69" xfId="0" applyBorder="1" applyAlignment="1" applyProtection="1">
      <alignment horizontal="center"/>
      <protection hidden="1"/>
    </xf>
    <xf numFmtId="0" fontId="0" fillId="0" borderId="88" xfId="0" applyBorder="1" applyAlignment="1" applyProtection="1">
      <alignment horizontal="center"/>
      <protection hidden="1"/>
    </xf>
    <xf numFmtId="0" fontId="0" fillId="0" borderId="70" xfId="0" applyBorder="1" applyAlignment="1" applyProtection="1">
      <alignment horizontal="center"/>
      <protection hidden="1"/>
    </xf>
    <xf numFmtId="2" fontId="0" fillId="0" borderId="71" xfId="0" applyNumberFormat="1" applyBorder="1" applyAlignment="1" applyProtection="1">
      <alignment horizontal="center"/>
      <protection hidden="1"/>
    </xf>
    <xf numFmtId="1" fontId="0" fillId="0" borderId="72" xfId="0" applyNumberFormat="1" applyBorder="1" applyAlignment="1" applyProtection="1">
      <alignment horizontal="center"/>
      <protection hidden="1"/>
    </xf>
    <xf numFmtId="2" fontId="0" fillId="0" borderId="53" xfId="0" applyNumberFormat="1" applyBorder="1" applyAlignment="1" applyProtection="1">
      <alignment horizontal="center"/>
      <protection hidden="1"/>
    </xf>
    <xf numFmtId="2" fontId="0" fillId="0" borderId="65" xfId="0" applyNumberFormat="1" applyBorder="1" applyAlignment="1" applyProtection="1">
      <alignment horizontal="center"/>
      <protection hidden="1"/>
    </xf>
    <xf numFmtId="1" fontId="0" fillId="0" borderId="73" xfId="0" applyNumberFormat="1" applyBorder="1" applyAlignment="1" applyProtection="1">
      <alignment horizontal="center"/>
      <protection hidden="1"/>
    </xf>
    <xf numFmtId="2" fontId="0" fillId="9" borderId="6" xfId="0" applyNumberFormat="1" applyFill="1" applyBorder="1" applyProtection="1">
      <protection hidden="1"/>
    </xf>
    <xf numFmtId="2" fontId="0" fillId="0" borderId="6" xfId="0" applyNumberFormat="1" applyFill="1" applyBorder="1" applyProtection="1">
      <protection hidden="1"/>
    </xf>
    <xf numFmtId="0" fontId="5" fillId="0" borderId="0" xfId="2" applyFont="1" applyProtection="1">
      <protection locked="0"/>
    </xf>
  </cellXfs>
  <cellStyles count="3">
    <cellStyle name="Prozent" xfId="1" builtinId="5"/>
    <cellStyle name="Standard" xfId="0" builtinId="0"/>
    <cellStyle name="Standard 2" xfId="2"/>
  </cellStyles>
  <dxfs count="26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ill>
        <patternFill patternType="none">
          <bgColor auto="1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66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35"/>
    <pageSetUpPr fitToPage="1"/>
  </sheetPr>
  <dimension ref="A1:AK40"/>
  <sheetViews>
    <sheetView showGridLines="0" tabSelected="1" zoomScaleNormal="92" workbookViewId="0">
      <pane ySplit="1" topLeftCell="A2" activePane="bottomLeft" state="frozen"/>
      <selection activeCell="H44" sqref="H44"/>
      <selection pane="bottomLeft" activeCell="M4" sqref="M4"/>
    </sheetView>
  </sheetViews>
  <sheetFormatPr baseColWidth="10" defaultRowHeight="12.75" x14ac:dyDescent="0.2"/>
  <cols>
    <col min="1" max="1" width="3.7109375" style="337" customWidth="1"/>
    <col min="2" max="2" width="15.7109375" style="337" customWidth="1"/>
    <col min="3" max="8" width="3" style="337" customWidth="1"/>
    <col min="9" max="9" width="5.140625" style="337" customWidth="1"/>
    <col min="10" max="11" width="3" style="337" customWidth="1"/>
    <col min="12" max="13" width="5.28515625" style="337" customWidth="1"/>
    <col min="14" max="19" width="3" style="337" customWidth="1"/>
    <col min="20" max="20" width="5.140625" style="337" customWidth="1"/>
    <col min="21" max="22" width="3" style="337" customWidth="1"/>
    <col min="23" max="26" width="5.140625" style="337" customWidth="1"/>
    <col min="27" max="27" width="11" style="337" customWidth="1"/>
    <col min="28" max="32" width="5.140625" style="337" customWidth="1"/>
    <col min="33" max="35" width="4" style="337" customWidth="1"/>
    <col min="36" max="36" width="0" style="337" hidden="1" customWidth="1"/>
    <col min="37" max="37" width="5.28515625" style="337" hidden="1" customWidth="1"/>
    <col min="38" max="16384" width="11.42578125" style="337"/>
  </cols>
  <sheetData>
    <row r="1" spans="1:33" ht="13.5" thickBot="1" x14ac:dyDescent="0.25">
      <c r="A1" s="338" t="s">
        <v>7</v>
      </c>
      <c r="B1" s="408"/>
      <c r="C1" s="381" t="s">
        <v>60</v>
      </c>
      <c r="D1" s="381"/>
      <c r="E1" s="425"/>
      <c r="F1" s="426"/>
      <c r="G1" s="426"/>
      <c r="H1" s="426"/>
      <c r="I1" s="426"/>
      <c r="J1" s="427"/>
      <c r="K1" s="381" t="s">
        <v>0</v>
      </c>
      <c r="L1" s="381"/>
      <c r="M1" s="422"/>
      <c r="N1" s="423"/>
      <c r="O1" s="423"/>
      <c r="P1" s="423"/>
      <c r="Q1" s="423"/>
      <c r="R1" s="424"/>
      <c r="S1" s="381" t="s">
        <v>126</v>
      </c>
      <c r="T1" s="381"/>
      <c r="U1" s="422" t="s">
        <v>145</v>
      </c>
      <c r="V1" s="423"/>
      <c r="W1" s="424"/>
      <c r="X1" s="381" t="s">
        <v>9</v>
      </c>
      <c r="Y1" s="420">
        <f ca="1">TODAY()</f>
        <v>42738</v>
      </c>
      <c r="Z1" s="421"/>
      <c r="AA1" s="339"/>
      <c r="AB1" s="359"/>
      <c r="AC1" s="359"/>
      <c r="AD1" s="359"/>
      <c r="AE1" s="359"/>
      <c r="AF1" s="359"/>
    </row>
    <row r="2" spans="1:33" ht="13.5" thickBot="1" x14ac:dyDescent="0.25">
      <c r="A2" s="382"/>
      <c r="B2" s="359" t="s">
        <v>127</v>
      </c>
      <c r="C2" s="428" t="s">
        <v>1</v>
      </c>
      <c r="D2" s="429"/>
      <c r="E2" s="429"/>
      <c r="F2" s="429"/>
      <c r="G2" s="429"/>
      <c r="H2" s="429"/>
      <c r="I2" s="429"/>
      <c r="J2" s="429"/>
      <c r="K2" s="429"/>
      <c r="L2" s="429"/>
      <c r="M2" s="430"/>
      <c r="N2" s="428" t="s">
        <v>2</v>
      </c>
      <c r="O2" s="429"/>
      <c r="P2" s="429"/>
      <c r="Q2" s="429"/>
      <c r="R2" s="429"/>
      <c r="S2" s="429"/>
      <c r="T2" s="429"/>
      <c r="U2" s="429"/>
      <c r="V2" s="429"/>
      <c r="W2" s="429"/>
      <c r="X2" s="430"/>
      <c r="Y2" s="428" t="s">
        <v>15</v>
      </c>
      <c r="Z2" s="431"/>
      <c r="AA2" s="406"/>
      <c r="AB2" s="404" t="s">
        <v>147</v>
      </c>
      <c r="AC2" s="351"/>
      <c r="AD2" s="351"/>
      <c r="AE2" s="351"/>
      <c r="AF2" s="402"/>
      <c r="AG2" s="339"/>
    </row>
    <row r="3" spans="1:33" ht="13.5" thickBot="1" x14ac:dyDescent="0.25">
      <c r="A3" s="365"/>
      <c r="B3" s="364"/>
      <c r="C3" s="360" t="s">
        <v>70</v>
      </c>
      <c r="D3" s="363" t="s">
        <v>70</v>
      </c>
      <c r="E3" s="363" t="s">
        <v>70</v>
      </c>
      <c r="F3" s="363" t="s">
        <v>142</v>
      </c>
      <c r="G3" s="363" t="s">
        <v>142</v>
      </c>
      <c r="H3" s="363" t="s">
        <v>142</v>
      </c>
      <c r="I3" s="383" t="s">
        <v>129</v>
      </c>
      <c r="J3" s="363" t="s">
        <v>69</v>
      </c>
      <c r="K3" s="364" t="s">
        <v>69</v>
      </c>
      <c r="L3" s="365" t="s">
        <v>132</v>
      </c>
      <c r="M3" s="366" t="s">
        <v>133</v>
      </c>
      <c r="N3" s="367" t="s">
        <v>143</v>
      </c>
      <c r="O3" s="363" t="s">
        <v>143</v>
      </c>
      <c r="P3" s="363" t="s">
        <v>143</v>
      </c>
      <c r="Q3" s="363" t="s">
        <v>142</v>
      </c>
      <c r="R3" s="363" t="s">
        <v>142</v>
      </c>
      <c r="S3" s="363" t="s">
        <v>142</v>
      </c>
      <c r="T3" s="383" t="s">
        <v>129</v>
      </c>
      <c r="U3" s="363" t="s">
        <v>130</v>
      </c>
      <c r="V3" s="364" t="s">
        <v>131</v>
      </c>
      <c r="W3" s="365" t="s">
        <v>132</v>
      </c>
      <c r="X3" s="366" t="s">
        <v>133</v>
      </c>
      <c r="Y3" s="362" t="s">
        <v>141</v>
      </c>
      <c r="Z3" s="361" t="s">
        <v>144</v>
      </c>
      <c r="AA3" s="406"/>
      <c r="AB3" s="339" t="s">
        <v>148</v>
      </c>
      <c r="AC3" s="337" t="s">
        <v>149</v>
      </c>
      <c r="AD3" s="337" t="s">
        <v>155</v>
      </c>
      <c r="AE3" s="337" t="s">
        <v>151</v>
      </c>
      <c r="AF3" s="403"/>
      <c r="AG3" s="339"/>
    </row>
    <row r="4" spans="1:33" s="340" customFormat="1" ht="24.95" customHeight="1" x14ac:dyDescent="0.2">
      <c r="A4" s="384">
        <v>1</v>
      </c>
      <c r="B4" s="380"/>
      <c r="C4" s="377" t="str">
        <f>I1Ext!C4</f>
        <v/>
      </c>
      <c r="D4" s="353" t="str">
        <f>I2Ext!C4</f>
        <v/>
      </c>
      <c r="E4" s="354" t="str">
        <f>I3Ext!C4</f>
        <v/>
      </c>
      <c r="F4" s="333"/>
      <c r="G4" s="335"/>
      <c r="H4" s="333"/>
      <c r="I4" s="355" t="str">
        <f>IF(COUNT(C4:H4)&gt;0,ROUNDUP(SUMPRODUCT(NB!D77:I77,Notenbogen!C4:H4,C39:H39)/SUMPRODUCT(NB!D77:I77,Notenbogen!C39:H39),2),"")</f>
        <v/>
      </c>
      <c r="J4" s="356" t="str">
        <f>I1SA!C4</f>
        <v/>
      </c>
      <c r="K4" s="352" t="str">
        <f>I2SA!C4</f>
        <v/>
      </c>
      <c r="L4" s="357" t="str">
        <f>IF(COUNT(I4:K4)&gt;0,ROUNDUP(SUMPRODUCT(I4:K4,NB!J77:L77)/COUNT(I4:K4),2),"")</f>
        <v/>
      </c>
      <c r="M4" s="396" t="str">
        <f>IF(L4&lt;&gt;"",IF(L4&lt;1,0,ROUND(L4,0)),"")</f>
        <v/>
      </c>
      <c r="N4" s="358" t="str">
        <f>II1Ext!C4</f>
        <v/>
      </c>
      <c r="O4" s="354" t="str">
        <f>II2Ext!C4</f>
        <v/>
      </c>
      <c r="P4" s="354" t="str">
        <f>II3Ext!C4</f>
        <v/>
      </c>
      <c r="Q4" s="335"/>
      <c r="R4" s="335"/>
      <c r="S4" s="333"/>
      <c r="T4" s="355" t="str">
        <f>IF(COUNT(N4:S4)&gt;0,ROUNDUP(SUMPRODUCT(NB!D118:I118,Notenbogen!N4:S4,N39:S39)/SUMPRODUCT(NB!D118:I118,Notenbogen!N39:S39),2),"")</f>
        <v/>
      </c>
      <c r="U4" s="356" t="str">
        <f>II1SA!C4</f>
        <v/>
      </c>
      <c r="V4" s="352" t="str">
        <f>II2SA!C4</f>
        <v/>
      </c>
      <c r="W4" s="357" t="str">
        <f>IF(COUNT(T4:V4)&gt;0,ROUNDUP(SUMPRODUCT(T4:V4,NB!J118:L118)/COUNT(T4:V4),2),"")</f>
        <v/>
      </c>
      <c r="X4" s="399" t="str">
        <f>IF(W4&lt;&gt;"",IF(W4&lt;1,0,ROUND(W4,0)),"")</f>
        <v/>
      </c>
      <c r="Y4" s="412" t="str">
        <f>IF(AND(M4&lt;&gt;"",X4&lt;&gt;""),IF((M4+X4)/2&lt;0,0,ROUND((M4+X4)/2,0)),"")</f>
        <v/>
      </c>
      <c r="Z4" s="375"/>
      <c r="AA4" s="407"/>
      <c r="AB4" s="405" t="str">
        <f>IF(COUNT(C4:H4)=0,"",IF(Z4&lt;&gt;"", ROUND((2*NB!D3+Z4)/3, 2),ROUND(NB!D3, 0)))</f>
        <v/>
      </c>
      <c r="AC4" s="336" t="str">
        <f>IF(COUNT(J4:K4)+COUNT(U4:V4)&gt;0,ROUNDUP((SUMPRODUCT(NB!K77:L77,Notenbogen!J4:K4)+SUMPRODUCT(NB!K118:L118,Notenbogen!U4:V4))/(COUNT(J4:K4)+COUNT(U4:V4)),2),"")</f>
        <v/>
      </c>
      <c r="AD4" s="409" t="s">
        <v>152</v>
      </c>
      <c r="AE4" s="415" t="str">
        <f>IF(AND(AC4&lt;&gt;"",AB4&lt;&gt;""),IF(AD4="2:1",(2*AC4+AB4)/3,(AC4+AB4)/2),IF(AB4&lt;&gt;"",AB4,""))</f>
        <v/>
      </c>
      <c r="AF4" s="416" t="str">
        <f>IF(AE4&lt;&gt;"", IF(AE4&lt;1, 0,ROUND(AE4, 0)),"")</f>
        <v/>
      </c>
      <c r="AG4" s="347"/>
    </row>
    <row r="5" spans="1:33" s="340" customFormat="1" ht="24.95" customHeight="1" x14ac:dyDescent="0.2">
      <c r="A5" s="385">
        <v>2</v>
      </c>
      <c r="B5" s="345"/>
      <c r="C5" s="378" t="str">
        <f>I1Ext!C5</f>
        <v/>
      </c>
      <c r="D5" s="348" t="str">
        <f>I2Ext!C4</f>
        <v/>
      </c>
      <c r="E5" s="342" t="str">
        <f>I3Ext!C5</f>
        <v/>
      </c>
      <c r="F5" s="334"/>
      <c r="G5" s="334"/>
      <c r="H5" s="333"/>
      <c r="I5" s="336" t="str">
        <f>IF(COUNT(C5:H5)&gt;0,SUMPRODUCT(NB!D78:I78,Notenbogen!C5:H5,C40:H40)/SUMPRODUCT(NB!D78:I78,Notenbogen!C40:H40),"")</f>
        <v/>
      </c>
      <c r="J5" s="343" t="str">
        <f>I1SA!C5</f>
        <v/>
      </c>
      <c r="K5" s="341" t="str">
        <f>I2SA!C5</f>
        <v/>
      </c>
      <c r="L5" s="344" t="str">
        <f>IF(COUNT(I5:K5)&gt;0,SUMPRODUCT(I5:K5,NB!J78:L78)/COUNT(I5:K5),"")</f>
        <v/>
      </c>
      <c r="M5" s="397" t="str">
        <f t="shared" ref="M5:M38" si="0">IF(L5&lt;&gt;"",IF(L5&lt;1,0,ROUND(L5,0)),"")</f>
        <v/>
      </c>
      <c r="N5" s="346" t="str">
        <f>II1Ext!C5</f>
        <v/>
      </c>
      <c r="O5" s="342" t="str">
        <f>II2Ext!C5</f>
        <v/>
      </c>
      <c r="P5" s="342" t="str">
        <f>II3Ext!C5</f>
        <v/>
      </c>
      <c r="Q5" s="335"/>
      <c r="R5" s="335"/>
      <c r="S5" s="333"/>
      <c r="T5" s="355" t="str">
        <f>IF(COUNT(N5:S5)&gt;0,ROUNDUP(SUMPRODUCT(NB!D119:I119,Notenbogen!N5:S5,N40:S40)/SUMPRODUCT(NB!D119:I119,Notenbogen!N40:S40),2),"")</f>
        <v/>
      </c>
      <c r="U5" s="343" t="str">
        <f>II1SA!C5</f>
        <v/>
      </c>
      <c r="V5" s="341" t="str">
        <f>II2SA!C5</f>
        <v/>
      </c>
      <c r="W5" s="344" t="str">
        <f>IF(COUNT(T5:V5)&gt;0,ROUNDUP(SUMPRODUCT(T5:V5,NB!J119:L119)/COUNT(T5:V5),2),"")</f>
        <v/>
      </c>
      <c r="X5" s="400" t="str">
        <f t="shared" ref="X5:X38" si="1">IF(W5&lt;&gt;"",IF(W5&lt;1,0,ROUND(W5,0)),"")</f>
        <v/>
      </c>
      <c r="Y5" s="413" t="str">
        <f t="shared" ref="Y5:Y38" si="2">IF(AND(M5&lt;&gt;"",X5&lt;&gt;""),IF((M5+X5)/2&lt;0,0,ROUND((M5+X5)/2,0)),"")</f>
        <v/>
      </c>
      <c r="Z5" s="375"/>
      <c r="AA5" s="407"/>
      <c r="AB5" s="405" t="str">
        <f>IF(COUNT(C5:H5)=0,"",IF(Z5&lt;&gt;"", ROUND((2*NB!D4+Z5)/3, 2),ROUND(NB!D4, 0)))</f>
        <v/>
      </c>
      <c r="AC5" s="336" t="str">
        <f>IF(COUNT(J5:K5)+COUNT(U5:V5)&gt;0,ROUNDUP((SUMPRODUCT(NB!K78:L78,Notenbogen!J5:K5)+SUMPRODUCT(NB!K119:L119,Notenbogen!U5:V5))/(COUNT(J5:K5)+COUNT(U5:V5)),2),"")</f>
        <v/>
      </c>
      <c r="AD5" s="409" t="s">
        <v>152</v>
      </c>
      <c r="AE5" s="415"/>
      <c r="AF5" s="416"/>
      <c r="AG5" s="347"/>
    </row>
    <row r="6" spans="1:33" s="340" customFormat="1" ht="24.95" customHeight="1" x14ac:dyDescent="0.2">
      <c r="A6" s="385">
        <v>3</v>
      </c>
      <c r="B6" s="345"/>
      <c r="C6" s="378" t="str">
        <f>I1Ext!C6</f>
        <v/>
      </c>
      <c r="D6" s="342" t="str">
        <f>I2Ext!C6</f>
        <v/>
      </c>
      <c r="E6" s="342" t="str">
        <f>I3Ext!C6</f>
        <v/>
      </c>
      <c r="F6" s="335"/>
      <c r="G6" s="335"/>
      <c r="H6" s="333"/>
      <c r="I6" s="336" t="str">
        <f>IF(COUNT(C6:H6)&gt;0,SUMPRODUCT(NB!D79:I79,Notenbogen!C6:H6,C41:H41)/SUMPRODUCT(NB!D79:I79,Notenbogen!C41:H41),"")</f>
        <v/>
      </c>
      <c r="J6" s="343" t="str">
        <f>I1SA!C6</f>
        <v/>
      </c>
      <c r="K6" s="341" t="str">
        <f>I2SA!C6</f>
        <v/>
      </c>
      <c r="L6" s="344" t="str">
        <f>IF(COUNT(I6:K6)&gt;0,SUMPRODUCT(I6:K6,NB!J79:L79)/COUNT(I6:K6),"")</f>
        <v/>
      </c>
      <c r="M6" s="397" t="str">
        <f t="shared" si="0"/>
        <v/>
      </c>
      <c r="N6" s="346" t="str">
        <f>II1Ext!C6</f>
        <v/>
      </c>
      <c r="O6" s="342" t="str">
        <f>II2Ext!C6</f>
        <v/>
      </c>
      <c r="P6" s="342" t="str">
        <f>II3Ext!C6</f>
        <v/>
      </c>
      <c r="Q6" s="335"/>
      <c r="R6" s="335"/>
      <c r="S6" s="333"/>
      <c r="T6" s="355" t="str">
        <f>IF(COUNT(N6:S6)&gt;0,ROUNDUP(SUMPRODUCT(NB!D120:I120,Notenbogen!N6:S6,N41:S41)/SUMPRODUCT(NB!D120:I120,Notenbogen!N41:S41),2),"")</f>
        <v/>
      </c>
      <c r="U6" s="343" t="str">
        <f>II1SA!C6</f>
        <v/>
      </c>
      <c r="V6" s="341" t="str">
        <f>II2SA!C6</f>
        <v/>
      </c>
      <c r="W6" s="344" t="str">
        <f>IF(COUNT(T6:V6)&gt;0,ROUNDUP(SUMPRODUCT(T6:V6,NB!J120:L120)/COUNT(T6:V6),2),"")</f>
        <v/>
      </c>
      <c r="X6" s="400" t="str">
        <f t="shared" si="1"/>
        <v/>
      </c>
      <c r="Y6" s="413" t="str">
        <f t="shared" si="2"/>
        <v/>
      </c>
      <c r="Z6" s="375"/>
      <c r="AA6" s="407"/>
      <c r="AB6" s="405" t="str">
        <f>IF(COUNT(C6:H6)=0,"",IF(Z6&lt;&gt;"", ROUND((2*NB!D5+Z6)/3, 2),ROUND(NB!D5, 0)))</f>
        <v/>
      </c>
      <c r="AC6" s="336" t="str">
        <f>IF(COUNT(J6:K6)+COUNT(U6:V6)&gt;0,ROUNDUP((SUMPRODUCT(NB!K79:L79,Notenbogen!J6:K6)+SUMPRODUCT(NB!K120:L120,Notenbogen!U6:V6))/(COUNT(J6:K6)+COUNT(U6:V6)),2),"")</f>
        <v/>
      </c>
      <c r="AD6" s="409" t="s">
        <v>152</v>
      </c>
      <c r="AE6" s="415"/>
      <c r="AF6" s="416"/>
      <c r="AG6" s="347"/>
    </row>
    <row r="7" spans="1:33" s="340" customFormat="1" ht="24.95" customHeight="1" x14ac:dyDescent="0.2">
      <c r="A7" s="385">
        <v>4</v>
      </c>
      <c r="B7" s="345"/>
      <c r="C7" s="378" t="str">
        <f>I1Ext!C7</f>
        <v/>
      </c>
      <c r="D7" s="342" t="str">
        <f>I2Ext!C6</f>
        <v/>
      </c>
      <c r="E7" s="342" t="str">
        <f>I3Ext!C7</f>
        <v/>
      </c>
      <c r="F7" s="335"/>
      <c r="G7" s="335"/>
      <c r="H7" s="333"/>
      <c r="I7" s="336" t="str">
        <f>IF(COUNT(C7:H7)&gt;0,SUMPRODUCT(NB!D80:I80,Notenbogen!C7:H7,C42:H42)/SUMPRODUCT(NB!D80:I80,Notenbogen!C42:H42),"")</f>
        <v/>
      </c>
      <c r="J7" s="343" t="str">
        <f>I1SA!C7</f>
        <v/>
      </c>
      <c r="K7" s="341" t="str">
        <f>I2SA!C7</f>
        <v/>
      </c>
      <c r="L7" s="344" t="str">
        <f>IF(COUNT(I7:K7)&gt;0,SUMPRODUCT(I7:K7,NB!J80:L80)/COUNT(I7:K7),"")</f>
        <v/>
      </c>
      <c r="M7" s="397" t="str">
        <f t="shared" si="0"/>
        <v/>
      </c>
      <c r="N7" s="346" t="str">
        <f>II1Ext!C7</f>
        <v/>
      </c>
      <c r="O7" s="342" t="str">
        <f>II2Ext!C7</f>
        <v/>
      </c>
      <c r="P7" s="342" t="str">
        <f>II3Ext!C7</f>
        <v/>
      </c>
      <c r="Q7" s="335"/>
      <c r="R7" s="335"/>
      <c r="S7" s="333"/>
      <c r="T7" s="355" t="str">
        <f>IF(COUNT(N7:S7)&gt;0,ROUNDUP(SUMPRODUCT(NB!D121:I121,Notenbogen!N7:S7,N42:S42)/SUMPRODUCT(NB!D121:I121,Notenbogen!N42:S42),2),"")</f>
        <v/>
      </c>
      <c r="U7" s="343" t="str">
        <f>II1SA!C7</f>
        <v/>
      </c>
      <c r="V7" s="341" t="str">
        <f>II2SA!C7</f>
        <v/>
      </c>
      <c r="W7" s="344" t="str">
        <f>IF(COUNT(T7:V7)&gt;0,ROUNDUP(SUMPRODUCT(T7:V7,NB!J121:L121)/COUNT(T7:V7),2),"")</f>
        <v/>
      </c>
      <c r="X7" s="400" t="str">
        <f t="shared" si="1"/>
        <v/>
      </c>
      <c r="Y7" s="413" t="str">
        <f t="shared" si="2"/>
        <v/>
      </c>
      <c r="Z7" s="375"/>
      <c r="AA7" s="407"/>
      <c r="AB7" s="405" t="str">
        <f>IF(COUNT(C7:H7)=0,"",IF(Z7&lt;&gt;"", ROUND((2*NB!D6+Z7)/3, 2),ROUND(NB!D6, 0)))</f>
        <v/>
      </c>
      <c r="AC7" s="336" t="str">
        <f>IF(COUNT(J7:K7)+COUNT(U7:V7)&gt;0,ROUNDUP((SUMPRODUCT(NB!K80:L80,Notenbogen!J7:K7)+SUMPRODUCT(NB!K121:L121,Notenbogen!U7:V7))/(COUNT(J7:K7)+COUNT(U7:V7)),2),"")</f>
        <v/>
      </c>
      <c r="AD7" s="409" t="s">
        <v>152</v>
      </c>
      <c r="AE7" s="415"/>
      <c r="AF7" s="416"/>
      <c r="AG7" s="347"/>
    </row>
    <row r="8" spans="1:33" s="340" customFormat="1" ht="24.95" customHeight="1" x14ac:dyDescent="0.2">
      <c r="A8" s="385">
        <v>5</v>
      </c>
      <c r="B8" s="345"/>
      <c r="C8" s="378" t="str">
        <f>I1Ext!C8</f>
        <v/>
      </c>
      <c r="D8" s="342" t="str">
        <f>I2Ext!C8</f>
        <v/>
      </c>
      <c r="E8" s="342" t="str">
        <f>I3Ext!C8</f>
        <v/>
      </c>
      <c r="F8" s="335"/>
      <c r="G8" s="335"/>
      <c r="H8" s="333"/>
      <c r="I8" s="336" t="str">
        <f>IF(COUNT(C8:H8)&gt;0,SUMPRODUCT(NB!D81:I81,Notenbogen!C8:H8,C43:H43)/SUMPRODUCT(NB!D81:I81,Notenbogen!C43:H43),"")</f>
        <v/>
      </c>
      <c r="J8" s="343" t="str">
        <f>I1SA!C8</f>
        <v/>
      </c>
      <c r="K8" s="341" t="str">
        <f>I2SA!C8</f>
        <v/>
      </c>
      <c r="L8" s="344" t="str">
        <f>IF(COUNT(I8:K8)&gt;0,SUMPRODUCT(I8:K8,NB!J81:L81)/COUNT(I8:K8),"")</f>
        <v/>
      </c>
      <c r="M8" s="397" t="str">
        <f t="shared" si="0"/>
        <v/>
      </c>
      <c r="N8" s="346" t="str">
        <f>II1Ext!C8</f>
        <v/>
      </c>
      <c r="O8" s="342" t="str">
        <f>II2Ext!C8</f>
        <v/>
      </c>
      <c r="P8" s="342" t="str">
        <f>II3Ext!C8</f>
        <v/>
      </c>
      <c r="Q8" s="335"/>
      <c r="R8" s="335"/>
      <c r="S8" s="333"/>
      <c r="T8" s="355" t="str">
        <f>IF(COUNT(N8:S8)&gt;0,ROUNDUP(SUMPRODUCT(NB!D122:I122,Notenbogen!N8:S8,N43:S43)/SUMPRODUCT(NB!D122:I122,Notenbogen!N43:S43),2),"")</f>
        <v/>
      </c>
      <c r="U8" s="343" t="str">
        <f>II1SA!C8</f>
        <v/>
      </c>
      <c r="V8" s="341" t="str">
        <f>II2SA!C8</f>
        <v/>
      </c>
      <c r="W8" s="344" t="str">
        <f>IF(COUNT(T8:V8)&gt;0,ROUNDUP(SUMPRODUCT(T8:V8,NB!J122:L122)/COUNT(T8:V8),2),"")</f>
        <v/>
      </c>
      <c r="X8" s="400" t="str">
        <f t="shared" si="1"/>
        <v/>
      </c>
      <c r="Y8" s="413" t="str">
        <f t="shared" si="2"/>
        <v/>
      </c>
      <c r="Z8" s="375"/>
      <c r="AA8" s="407"/>
      <c r="AB8" s="405" t="str">
        <f>IF(COUNT(C8:H8)=0,"",IF(Z8&lt;&gt;"", ROUND((2*NB!D7+Z8)/3, 2),ROUND(NB!D7, 0)))</f>
        <v/>
      </c>
      <c r="AC8" s="336" t="str">
        <f>IF(COUNT(J8:K8)+COUNT(U8:V8)&gt;0,ROUNDUP((SUMPRODUCT(NB!K81:L81,Notenbogen!J8:K8)+SUMPRODUCT(NB!K122:L122,Notenbogen!U8:V8))/(COUNT(J8:K8)+COUNT(U8:V8)),2),"")</f>
        <v/>
      </c>
      <c r="AD8" s="409" t="s">
        <v>152</v>
      </c>
      <c r="AE8" s="415"/>
      <c r="AF8" s="416"/>
      <c r="AG8" s="347"/>
    </row>
    <row r="9" spans="1:33" s="340" customFormat="1" ht="24.95" customHeight="1" x14ac:dyDescent="0.2">
      <c r="A9" s="385">
        <v>6</v>
      </c>
      <c r="B9" s="345"/>
      <c r="C9" s="378" t="str">
        <f>I1Ext!C9</f>
        <v/>
      </c>
      <c r="D9" s="342" t="str">
        <f>I2Ext!C8</f>
        <v/>
      </c>
      <c r="E9" s="342" t="str">
        <f>I3Ext!C9</f>
        <v/>
      </c>
      <c r="F9" s="335"/>
      <c r="G9" s="335"/>
      <c r="H9" s="333"/>
      <c r="I9" s="336" t="str">
        <f>IF(COUNT(C9:H9)&gt;0,SUMPRODUCT(NB!D82:I82,Notenbogen!C9:H9,C44:H44)/SUMPRODUCT(NB!D82:I82,Notenbogen!C44:H44),"")</f>
        <v/>
      </c>
      <c r="J9" s="343" t="str">
        <f>I1SA!C9</f>
        <v/>
      </c>
      <c r="K9" s="341" t="str">
        <f>I2SA!C9</f>
        <v/>
      </c>
      <c r="L9" s="344" t="str">
        <f>IF(COUNT(I9:K9)&gt;0,SUMPRODUCT(I9:K9,NB!J82:L82)/COUNT(I9:K9),"")</f>
        <v/>
      </c>
      <c r="M9" s="397" t="str">
        <f t="shared" si="0"/>
        <v/>
      </c>
      <c r="N9" s="346" t="str">
        <f>II1Ext!C9</f>
        <v/>
      </c>
      <c r="O9" s="342" t="str">
        <f>II2Ext!C9</f>
        <v/>
      </c>
      <c r="P9" s="342" t="str">
        <f>II3Ext!C9</f>
        <v/>
      </c>
      <c r="Q9" s="335"/>
      <c r="R9" s="335"/>
      <c r="S9" s="333"/>
      <c r="T9" s="355" t="str">
        <f>IF(COUNT(N9:S9)&gt;0,ROUNDUP(SUMPRODUCT(NB!D123:I123,Notenbogen!N9:S9,N44:S44)/SUMPRODUCT(NB!D123:I123,Notenbogen!N44:S44),2),"")</f>
        <v/>
      </c>
      <c r="U9" s="343" t="str">
        <f>II1SA!C9</f>
        <v/>
      </c>
      <c r="V9" s="341" t="str">
        <f>II2SA!C9</f>
        <v/>
      </c>
      <c r="W9" s="344" t="str">
        <f>IF(COUNT(T9:V9)&gt;0,ROUNDUP(SUMPRODUCT(T9:V9,NB!J123:L123)/COUNT(T9:V9),2),"")</f>
        <v/>
      </c>
      <c r="X9" s="400" t="str">
        <f t="shared" si="1"/>
        <v/>
      </c>
      <c r="Y9" s="413" t="str">
        <f t="shared" si="2"/>
        <v/>
      </c>
      <c r="Z9" s="375"/>
      <c r="AA9" s="407"/>
      <c r="AB9" s="405" t="str">
        <f>IF(COUNT(C9:H9)=0,"",IF(Z9&lt;&gt;"", ROUND((2*NB!D8+Z9)/3, 2),ROUND(NB!D8, 0)))</f>
        <v/>
      </c>
      <c r="AC9" s="336" t="str">
        <f>IF(COUNT(J9:K9)+COUNT(U9:V9)&gt;0,ROUNDUP((SUMPRODUCT(NB!K82:L82,Notenbogen!J9:K9)+SUMPRODUCT(NB!K123:L123,Notenbogen!U9:V9))/(COUNT(J9:K9)+COUNT(U9:V9)),2),"")</f>
        <v/>
      </c>
      <c r="AD9" s="409" t="s">
        <v>152</v>
      </c>
      <c r="AE9" s="415"/>
      <c r="AF9" s="416"/>
      <c r="AG9" s="347"/>
    </row>
    <row r="10" spans="1:33" s="340" customFormat="1" ht="24.95" customHeight="1" x14ac:dyDescent="0.2">
      <c r="A10" s="385">
        <v>7</v>
      </c>
      <c r="B10" s="345"/>
      <c r="C10" s="378" t="str">
        <f>I1Ext!C10</f>
        <v/>
      </c>
      <c r="D10" s="342" t="str">
        <f>I2Ext!C10</f>
        <v/>
      </c>
      <c r="E10" s="342" t="str">
        <f>I3Ext!C10</f>
        <v/>
      </c>
      <c r="F10" s="335"/>
      <c r="G10" s="335"/>
      <c r="H10" s="333"/>
      <c r="I10" s="336" t="str">
        <f>IF(COUNT(C10:H10)&gt;0,SUMPRODUCT(NB!D83:I83,Notenbogen!C10:H10,C45:H45)/SUMPRODUCT(NB!D83:I83,Notenbogen!C45:H45),"")</f>
        <v/>
      </c>
      <c r="J10" s="343" t="str">
        <f>I1SA!C10</f>
        <v/>
      </c>
      <c r="K10" s="341" t="str">
        <f>I2SA!C10</f>
        <v/>
      </c>
      <c r="L10" s="344" t="str">
        <f>IF(COUNT(I10:K10)&gt;0,SUMPRODUCT(I10:K10,NB!J83:L83)/COUNT(I10:K10),"")</f>
        <v/>
      </c>
      <c r="M10" s="397" t="str">
        <f t="shared" si="0"/>
        <v/>
      </c>
      <c r="N10" s="346" t="str">
        <f>II1Ext!C10</f>
        <v/>
      </c>
      <c r="O10" s="342" t="str">
        <f>II2Ext!C10</f>
        <v/>
      </c>
      <c r="P10" s="342" t="str">
        <f>II3Ext!C10</f>
        <v/>
      </c>
      <c r="Q10" s="335"/>
      <c r="R10" s="335"/>
      <c r="S10" s="333"/>
      <c r="T10" s="355" t="str">
        <f>IF(COUNT(N10:S10)&gt;0,ROUNDUP(SUMPRODUCT(NB!D124:I124,Notenbogen!N10:S10,N45:S45)/SUMPRODUCT(NB!D124:I124,Notenbogen!N45:S45),2),"")</f>
        <v/>
      </c>
      <c r="U10" s="343" t="str">
        <f>II1SA!C10</f>
        <v/>
      </c>
      <c r="V10" s="341" t="str">
        <f>II2SA!C10</f>
        <v/>
      </c>
      <c r="W10" s="344" t="str">
        <f>IF(COUNT(T10:V10)&gt;0,ROUNDUP(SUMPRODUCT(T10:V10,NB!J124:L124)/COUNT(T10:V10),2),"")</f>
        <v/>
      </c>
      <c r="X10" s="400" t="str">
        <f t="shared" si="1"/>
        <v/>
      </c>
      <c r="Y10" s="413" t="str">
        <f t="shared" si="2"/>
        <v/>
      </c>
      <c r="Z10" s="375"/>
      <c r="AA10" s="407"/>
      <c r="AB10" s="405" t="str">
        <f>IF(COUNT(C10:H10)=0,"",IF(Z10&lt;&gt;"", ROUND((2*NB!D9+Z10)/3, 2),ROUND(NB!D9, 0)))</f>
        <v/>
      </c>
      <c r="AC10" s="336" t="str">
        <f>IF(COUNT(J10:K10)+COUNT(U10:V10)&gt;0,ROUNDUP((SUMPRODUCT(NB!K83:L83,Notenbogen!J10:K10)+SUMPRODUCT(NB!K124:L124,Notenbogen!U10:V10))/(COUNT(J10:K10)+COUNT(U10:V10)),2),"")</f>
        <v/>
      </c>
      <c r="AD10" s="409" t="s">
        <v>152</v>
      </c>
      <c r="AE10" s="415"/>
      <c r="AF10" s="416"/>
      <c r="AG10" s="347"/>
    </row>
    <row r="11" spans="1:33" s="340" customFormat="1" ht="24.95" customHeight="1" x14ac:dyDescent="0.2">
      <c r="A11" s="385">
        <v>8</v>
      </c>
      <c r="B11" s="345"/>
      <c r="C11" s="378" t="str">
        <f>I1Ext!C11</f>
        <v/>
      </c>
      <c r="D11" s="342" t="str">
        <f>I2Ext!C10</f>
        <v/>
      </c>
      <c r="E11" s="342" t="str">
        <f>I3Ext!C11</f>
        <v/>
      </c>
      <c r="F11" s="335"/>
      <c r="G11" s="335"/>
      <c r="H11" s="333"/>
      <c r="I11" s="336" t="str">
        <f>IF(COUNT(C11:H11)&gt;0,SUMPRODUCT(NB!D84:I84,Notenbogen!C11:H11,C46:H46)/SUMPRODUCT(NB!D84:I84,Notenbogen!C46:H46),"")</f>
        <v/>
      </c>
      <c r="J11" s="343" t="str">
        <f>I1SA!C11</f>
        <v/>
      </c>
      <c r="K11" s="341" t="str">
        <f>I2SA!C11</f>
        <v/>
      </c>
      <c r="L11" s="344" t="str">
        <f>IF(COUNT(I11:K11)&gt;0,SUMPRODUCT(I11:K11,NB!J84:L84)/COUNT(I11:K11),"")</f>
        <v/>
      </c>
      <c r="M11" s="397" t="str">
        <f t="shared" si="0"/>
        <v/>
      </c>
      <c r="N11" s="346" t="str">
        <f>II1Ext!C11</f>
        <v/>
      </c>
      <c r="O11" s="342" t="str">
        <f>II2Ext!C11</f>
        <v/>
      </c>
      <c r="P11" s="342" t="str">
        <f>II3Ext!C11</f>
        <v/>
      </c>
      <c r="Q11" s="335"/>
      <c r="R11" s="335"/>
      <c r="S11" s="333"/>
      <c r="T11" s="355" t="str">
        <f>IF(COUNT(N11:S11)&gt;0,ROUNDUP(SUMPRODUCT(NB!D125:I125,Notenbogen!N11:S11,N46:S46)/SUMPRODUCT(NB!D125:I125,Notenbogen!N46:S46),2),"")</f>
        <v/>
      </c>
      <c r="U11" s="343" t="str">
        <f>II1SA!C11</f>
        <v/>
      </c>
      <c r="V11" s="341" t="str">
        <f>II2SA!C11</f>
        <v/>
      </c>
      <c r="W11" s="344" t="str">
        <f>IF(COUNT(T11:V11)&gt;0,ROUNDUP(SUMPRODUCT(T11:V11,NB!J125:L125)/COUNT(T11:V11),2),"")</f>
        <v/>
      </c>
      <c r="X11" s="400" t="str">
        <f t="shared" si="1"/>
        <v/>
      </c>
      <c r="Y11" s="413" t="str">
        <f t="shared" si="2"/>
        <v/>
      </c>
      <c r="Z11" s="375"/>
      <c r="AA11" s="407"/>
      <c r="AB11" s="405" t="str">
        <f>IF(COUNT(C11:H11)=0,"",IF(Z11&lt;&gt;"", ROUND((2*NB!D10+Z11)/3, 2),ROUND(NB!D10, 0)))</f>
        <v/>
      </c>
      <c r="AC11" s="336" t="str">
        <f>IF(COUNT(J11:K11)+COUNT(U11:V11)&gt;0,ROUNDUP((SUMPRODUCT(NB!K84:L84,Notenbogen!J11:K11)+SUMPRODUCT(NB!K125:L125,Notenbogen!U11:V11))/(COUNT(J11:K11)+COUNT(U11:V11)),2),"")</f>
        <v/>
      </c>
      <c r="AD11" s="409" t="s">
        <v>152</v>
      </c>
      <c r="AE11" s="415"/>
      <c r="AF11" s="416"/>
      <c r="AG11" s="347"/>
    </row>
    <row r="12" spans="1:33" s="340" customFormat="1" ht="24.95" customHeight="1" x14ac:dyDescent="0.2">
      <c r="A12" s="385">
        <v>9</v>
      </c>
      <c r="B12" s="345"/>
      <c r="C12" s="378" t="str">
        <f>I1Ext!C12</f>
        <v/>
      </c>
      <c r="D12" s="342" t="str">
        <f>I2Ext!C12</f>
        <v/>
      </c>
      <c r="E12" s="342" t="str">
        <f>I3Ext!C12</f>
        <v/>
      </c>
      <c r="F12" s="335"/>
      <c r="G12" s="335"/>
      <c r="H12" s="333"/>
      <c r="I12" s="336" t="str">
        <f>IF(COUNT(C12:H12)&gt;0,SUMPRODUCT(NB!D85:I85,Notenbogen!C12:H12,C47:H47)/SUMPRODUCT(NB!D85:I85,Notenbogen!C47:H47),"")</f>
        <v/>
      </c>
      <c r="J12" s="343" t="str">
        <f>I1SA!C12</f>
        <v/>
      </c>
      <c r="K12" s="341" t="str">
        <f>I2SA!C12</f>
        <v/>
      </c>
      <c r="L12" s="344" t="str">
        <f>IF(COUNT(I12:K12)&gt;0,SUMPRODUCT(I12:K12,NB!J85:L85)/COUNT(I12:K12),"")</f>
        <v/>
      </c>
      <c r="M12" s="397" t="str">
        <f t="shared" si="0"/>
        <v/>
      </c>
      <c r="N12" s="346" t="str">
        <f>II1Ext!C12</f>
        <v/>
      </c>
      <c r="O12" s="342" t="str">
        <f>II2Ext!C12</f>
        <v/>
      </c>
      <c r="P12" s="342" t="str">
        <f>II3Ext!C12</f>
        <v/>
      </c>
      <c r="Q12" s="335"/>
      <c r="R12" s="335"/>
      <c r="S12" s="333"/>
      <c r="T12" s="355" t="str">
        <f>IF(COUNT(N12:S12)&gt;0,ROUNDUP(SUMPRODUCT(NB!D126:I126,Notenbogen!N12:S12,N47:S47)/SUMPRODUCT(NB!D126:I126,Notenbogen!N47:S47),2),"")</f>
        <v/>
      </c>
      <c r="U12" s="343" t="str">
        <f>II1SA!C12</f>
        <v/>
      </c>
      <c r="V12" s="341" t="str">
        <f>II2SA!C12</f>
        <v/>
      </c>
      <c r="W12" s="344" t="str">
        <f>IF(COUNT(T12:V12)&gt;0,ROUNDUP(SUMPRODUCT(T12:V12,NB!J126:L126)/COUNT(T12:V12),2),"")</f>
        <v/>
      </c>
      <c r="X12" s="400" t="str">
        <f t="shared" si="1"/>
        <v/>
      </c>
      <c r="Y12" s="413" t="str">
        <f t="shared" si="2"/>
        <v/>
      </c>
      <c r="Z12" s="375"/>
      <c r="AA12" s="407"/>
      <c r="AB12" s="405" t="str">
        <f>IF(COUNT(C12:H12)=0,"",IF(Z12&lt;&gt;"", ROUND((2*NB!D11+Z12)/3, 2),ROUND(NB!D11, 0)))</f>
        <v/>
      </c>
      <c r="AC12" s="336" t="str">
        <f>IF(COUNT(J12:K12)+COUNT(U12:V12)&gt;0,ROUNDUP((SUMPRODUCT(NB!K85:L85,Notenbogen!J12:K12)+SUMPRODUCT(NB!K126:L126,Notenbogen!U12:V12))/(COUNT(J12:K12)+COUNT(U12:V12)),2),"")</f>
        <v/>
      </c>
      <c r="AD12" s="409" t="s">
        <v>152</v>
      </c>
      <c r="AE12" s="415"/>
      <c r="AF12" s="416"/>
      <c r="AG12" s="347"/>
    </row>
    <row r="13" spans="1:33" s="340" customFormat="1" ht="24.95" customHeight="1" x14ac:dyDescent="0.2">
      <c r="A13" s="385">
        <v>10</v>
      </c>
      <c r="B13" s="345"/>
      <c r="C13" s="378" t="str">
        <f>I1Ext!C13</f>
        <v/>
      </c>
      <c r="D13" s="342" t="str">
        <f>I2Ext!C12</f>
        <v/>
      </c>
      <c r="E13" s="342" t="str">
        <f>I3Ext!C13</f>
        <v/>
      </c>
      <c r="F13" s="335"/>
      <c r="G13" s="335"/>
      <c r="H13" s="333"/>
      <c r="I13" s="336" t="str">
        <f>IF(COUNT(C13:H13)&gt;0,SUMPRODUCT(NB!D86:I86,Notenbogen!C13:H13,C48:H48)/SUMPRODUCT(NB!D86:I86,Notenbogen!C48:H48),"")</f>
        <v/>
      </c>
      <c r="J13" s="343" t="str">
        <f>I1SA!C13</f>
        <v/>
      </c>
      <c r="K13" s="341" t="str">
        <f>I2SA!C13</f>
        <v/>
      </c>
      <c r="L13" s="344" t="str">
        <f>IF(COUNT(I13:K13)&gt;0,SUMPRODUCT(I13:K13,NB!J86:L86)/COUNT(I13:K13),"")</f>
        <v/>
      </c>
      <c r="M13" s="397" t="str">
        <f t="shared" si="0"/>
        <v/>
      </c>
      <c r="N13" s="346" t="str">
        <f>II1Ext!C13</f>
        <v/>
      </c>
      <c r="O13" s="342" t="str">
        <f>II2Ext!C13</f>
        <v/>
      </c>
      <c r="P13" s="342" t="str">
        <f>II3Ext!C13</f>
        <v/>
      </c>
      <c r="Q13" s="335"/>
      <c r="R13" s="335"/>
      <c r="S13" s="333"/>
      <c r="T13" s="355" t="str">
        <f>IF(COUNT(N13:S13)&gt;0,ROUNDUP(SUMPRODUCT(NB!D127:I127,Notenbogen!N13:S13,N48:S48)/SUMPRODUCT(NB!D127:I127,Notenbogen!N48:S48),2),"")</f>
        <v/>
      </c>
      <c r="U13" s="343" t="str">
        <f>II1SA!C13</f>
        <v/>
      </c>
      <c r="V13" s="341" t="str">
        <f>II2SA!C13</f>
        <v/>
      </c>
      <c r="W13" s="344" t="str">
        <f>IF(COUNT(T13:V13)&gt;0,ROUNDUP(SUMPRODUCT(T13:V13,NB!J127:L127)/COUNT(T13:V13),2),"")</f>
        <v/>
      </c>
      <c r="X13" s="400" t="str">
        <f t="shared" si="1"/>
        <v/>
      </c>
      <c r="Y13" s="413" t="str">
        <f t="shared" si="2"/>
        <v/>
      </c>
      <c r="Z13" s="375"/>
      <c r="AA13" s="407"/>
      <c r="AB13" s="405" t="str">
        <f>IF(COUNT(C13:H13)=0,"",IF(Z13&lt;&gt;"", ROUND((2*NB!D12+Z13)/3, 2),ROUND(NB!D12, 0)))</f>
        <v/>
      </c>
      <c r="AC13" s="336" t="str">
        <f>IF(COUNT(J13:K13)+COUNT(U13:V13)&gt;0,ROUNDUP((SUMPRODUCT(NB!K86:L86,Notenbogen!J13:K13)+SUMPRODUCT(NB!K127:L127,Notenbogen!U13:V13))/(COUNT(J13:K13)+COUNT(U13:V13)),2),"")</f>
        <v/>
      </c>
      <c r="AD13" s="409" t="s">
        <v>152</v>
      </c>
      <c r="AE13" s="415"/>
      <c r="AF13" s="416"/>
      <c r="AG13" s="347"/>
    </row>
    <row r="14" spans="1:33" s="340" customFormat="1" ht="24.95" customHeight="1" x14ac:dyDescent="0.2">
      <c r="A14" s="385">
        <v>11</v>
      </c>
      <c r="B14" s="345"/>
      <c r="C14" s="378" t="str">
        <f>I1Ext!C14</f>
        <v/>
      </c>
      <c r="D14" s="342" t="str">
        <f>I2Ext!C14</f>
        <v/>
      </c>
      <c r="E14" s="342" t="str">
        <f>I3Ext!C14</f>
        <v/>
      </c>
      <c r="F14" s="335"/>
      <c r="G14" s="335"/>
      <c r="H14" s="333"/>
      <c r="I14" s="336" t="str">
        <f>IF(COUNT(C14:H14)&gt;0,SUMPRODUCT(NB!D87:I87,Notenbogen!C14:H14,C49:H49)/SUMPRODUCT(NB!D87:I87,Notenbogen!C49:H49),"")</f>
        <v/>
      </c>
      <c r="J14" s="343" t="str">
        <f>I1SA!C14</f>
        <v/>
      </c>
      <c r="K14" s="341" t="str">
        <f>I2SA!C14</f>
        <v/>
      </c>
      <c r="L14" s="344" t="str">
        <f>IF(COUNT(I14:K14)&gt;0,SUMPRODUCT(I14:K14,NB!J87:L87)/COUNT(I14:K14),"")</f>
        <v/>
      </c>
      <c r="M14" s="397" t="str">
        <f t="shared" si="0"/>
        <v/>
      </c>
      <c r="N14" s="346" t="str">
        <f>II1Ext!C14</f>
        <v/>
      </c>
      <c r="O14" s="342" t="str">
        <f>II2Ext!C14</f>
        <v/>
      </c>
      <c r="P14" s="342" t="str">
        <f>II3Ext!C14</f>
        <v/>
      </c>
      <c r="Q14" s="335"/>
      <c r="R14" s="335"/>
      <c r="S14" s="333"/>
      <c r="T14" s="355" t="str">
        <f>IF(COUNT(N14:S14)&gt;0,ROUNDUP(SUMPRODUCT(NB!D128:I128,Notenbogen!N14:S14,N49:S49)/SUMPRODUCT(NB!D128:I128,Notenbogen!N49:S49),2),"")</f>
        <v/>
      </c>
      <c r="U14" s="343" t="str">
        <f>II1SA!C14</f>
        <v/>
      </c>
      <c r="V14" s="341" t="str">
        <f>II2SA!C14</f>
        <v/>
      </c>
      <c r="W14" s="344" t="str">
        <f>IF(COUNT(T14:V14)&gt;0,ROUNDUP(SUMPRODUCT(T14:V14,NB!J128:L128)/COUNT(T14:V14),2),"")</f>
        <v/>
      </c>
      <c r="X14" s="400" t="str">
        <f t="shared" si="1"/>
        <v/>
      </c>
      <c r="Y14" s="413" t="str">
        <f t="shared" si="2"/>
        <v/>
      </c>
      <c r="Z14" s="375"/>
      <c r="AA14" s="407"/>
      <c r="AB14" s="405" t="str">
        <f>IF(COUNT(C14:H14)=0,"",IF(Z14&lt;&gt;"", ROUND((2*NB!D13+Z14)/3, 2),ROUND(NB!D13, 0)))</f>
        <v/>
      </c>
      <c r="AC14" s="336" t="str">
        <f>IF(COUNT(J14:K14)+COUNT(U14:V14)&gt;0,ROUNDUP((SUMPRODUCT(NB!K87:L87,Notenbogen!J14:K14)+SUMPRODUCT(NB!K128:L128,Notenbogen!U14:V14))/(COUNT(J14:K14)+COUNT(U14:V14)),2),"")</f>
        <v/>
      </c>
      <c r="AD14" s="409" t="s">
        <v>152</v>
      </c>
      <c r="AE14" s="415"/>
      <c r="AF14" s="416"/>
      <c r="AG14" s="347"/>
    </row>
    <row r="15" spans="1:33" s="340" customFormat="1" ht="24.95" customHeight="1" x14ac:dyDescent="0.2">
      <c r="A15" s="385">
        <v>12</v>
      </c>
      <c r="B15" s="345"/>
      <c r="C15" s="378" t="str">
        <f>I1Ext!C15</f>
        <v/>
      </c>
      <c r="D15" s="342" t="str">
        <f>I2Ext!C14</f>
        <v/>
      </c>
      <c r="E15" s="342" t="str">
        <f>I3Ext!C15</f>
        <v/>
      </c>
      <c r="F15" s="335"/>
      <c r="G15" s="335"/>
      <c r="H15" s="333"/>
      <c r="I15" s="336" t="str">
        <f>IF(COUNT(C15:H15)&gt;0,SUMPRODUCT(NB!D88:I88,Notenbogen!C15:H15,C50:H50)/SUMPRODUCT(NB!D88:I88,Notenbogen!C50:H50),"")</f>
        <v/>
      </c>
      <c r="J15" s="343" t="str">
        <f>I1SA!C15</f>
        <v/>
      </c>
      <c r="K15" s="341" t="str">
        <f>I2SA!C15</f>
        <v/>
      </c>
      <c r="L15" s="344" t="str">
        <f>IF(COUNT(I15:K15)&gt;0,SUMPRODUCT(I15:K15,NB!J88:L88)/COUNT(I15:K15),"")</f>
        <v/>
      </c>
      <c r="M15" s="397" t="str">
        <f t="shared" si="0"/>
        <v/>
      </c>
      <c r="N15" s="346" t="str">
        <f>II1Ext!C15</f>
        <v/>
      </c>
      <c r="O15" s="342" t="str">
        <f>II2Ext!C15</f>
        <v/>
      </c>
      <c r="P15" s="342" t="str">
        <f>II3Ext!C15</f>
        <v/>
      </c>
      <c r="Q15" s="335"/>
      <c r="R15" s="335"/>
      <c r="S15" s="333"/>
      <c r="T15" s="355" t="str">
        <f>IF(COUNT(N15:S15)&gt;0,ROUNDUP(SUMPRODUCT(NB!D129:I129,Notenbogen!N15:S15,N50:S50)/SUMPRODUCT(NB!D129:I129,Notenbogen!N50:S50),2),"")</f>
        <v/>
      </c>
      <c r="U15" s="343" t="str">
        <f>II1SA!C15</f>
        <v/>
      </c>
      <c r="V15" s="341" t="str">
        <f>II2SA!C15</f>
        <v/>
      </c>
      <c r="W15" s="344" t="str">
        <f>IF(COUNT(T15:V15)&gt;0,ROUNDUP(SUMPRODUCT(T15:V15,NB!J129:L129)/COUNT(T15:V15),2),"")</f>
        <v/>
      </c>
      <c r="X15" s="400" t="str">
        <f t="shared" si="1"/>
        <v/>
      </c>
      <c r="Y15" s="413" t="str">
        <f t="shared" si="2"/>
        <v/>
      </c>
      <c r="Z15" s="375"/>
      <c r="AA15" s="407"/>
      <c r="AB15" s="405" t="str">
        <f>IF(COUNT(C15:H15)=0,"",IF(Z15&lt;&gt;"", ROUND((2*NB!D14+Z15)/3, 2),ROUND(NB!D14, 0)))</f>
        <v/>
      </c>
      <c r="AC15" s="336" t="str">
        <f>IF(COUNT(J15:K15)+COUNT(U15:V15)&gt;0,ROUNDUP((SUMPRODUCT(NB!K88:L88,Notenbogen!J15:K15)+SUMPRODUCT(NB!K129:L129,Notenbogen!U15:V15))/(COUNT(J15:K15)+COUNT(U15:V15)),2),"")</f>
        <v/>
      </c>
      <c r="AD15" s="409" t="s">
        <v>152</v>
      </c>
      <c r="AE15" s="415"/>
      <c r="AF15" s="416"/>
      <c r="AG15" s="347"/>
    </row>
    <row r="16" spans="1:33" s="340" customFormat="1" ht="24.95" customHeight="1" x14ac:dyDescent="0.2">
      <c r="A16" s="385">
        <v>13</v>
      </c>
      <c r="B16" s="345"/>
      <c r="C16" s="378" t="str">
        <f>I1Ext!C16</f>
        <v/>
      </c>
      <c r="D16" s="342" t="str">
        <f>I2Ext!C16</f>
        <v/>
      </c>
      <c r="E16" s="342" t="str">
        <f>I3Ext!C16</f>
        <v/>
      </c>
      <c r="F16" s="335"/>
      <c r="G16" s="335"/>
      <c r="H16" s="333"/>
      <c r="I16" s="336" t="str">
        <f>IF(COUNT(C16:H16)&gt;0,SUMPRODUCT(NB!D89:I89,Notenbogen!C16:H16,C51:H51)/SUMPRODUCT(NB!D89:I89,Notenbogen!C51:H51),"")</f>
        <v/>
      </c>
      <c r="J16" s="343" t="str">
        <f>I1SA!C16</f>
        <v/>
      </c>
      <c r="K16" s="341" t="str">
        <f>I2SA!C16</f>
        <v/>
      </c>
      <c r="L16" s="344" t="str">
        <f>IF(COUNT(I16:K16)&gt;0,SUMPRODUCT(I16:K16,NB!J89:L89)/COUNT(I16:K16),"")</f>
        <v/>
      </c>
      <c r="M16" s="397" t="str">
        <f t="shared" si="0"/>
        <v/>
      </c>
      <c r="N16" s="346" t="str">
        <f>II1Ext!C16</f>
        <v/>
      </c>
      <c r="O16" s="342" t="str">
        <f>II2Ext!C16</f>
        <v/>
      </c>
      <c r="P16" s="342" t="str">
        <f>II3Ext!C16</f>
        <v/>
      </c>
      <c r="Q16" s="335"/>
      <c r="R16" s="335"/>
      <c r="S16" s="333"/>
      <c r="T16" s="355" t="str">
        <f>IF(COUNT(N16:S16)&gt;0,ROUNDUP(SUMPRODUCT(NB!D130:I130,Notenbogen!N16:S16,N51:S51)/SUMPRODUCT(NB!D130:I130,Notenbogen!N51:S51),2),"")</f>
        <v/>
      </c>
      <c r="U16" s="343" t="str">
        <f>II1SA!C16</f>
        <v/>
      </c>
      <c r="V16" s="341" t="str">
        <f>II2SA!C16</f>
        <v/>
      </c>
      <c r="W16" s="344" t="str">
        <f>IF(COUNT(T16:V16)&gt;0,ROUNDUP(SUMPRODUCT(T16:V16,NB!J130:L130)/COUNT(T16:V16),2),"")</f>
        <v/>
      </c>
      <c r="X16" s="400" t="str">
        <f t="shared" si="1"/>
        <v/>
      </c>
      <c r="Y16" s="413" t="str">
        <f t="shared" si="2"/>
        <v/>
      </c>
      <c r="Z16" s="375"/>
      <c r="AA16" s="407"/>
      <c r="AB16" s="405" t="str">
        <f>IF(COUNT(C16:H16)=0,"",IF(Z16&lt;&gt;"", ROUND((2*NB!D15+Z16)/3, 2),ROUND(NB!D15, 0)))</f>
        <v/>
      </c>
      <c r="AC16" s="336" t="str">
        <f>IF(COUNT(J16:K16)+COUNT(U16:V16)&gt;0,ROUNDUP((SUMPRODUCT(NB!K89:L89,Notenbogen!J16:K16)+SUMPRODUCT(NB!K130:L130,Notenbogen!U16:V16))/(COUNT(J16:K16)+COUNT(U16:V16)),2),"")</f>
        <v/>
      </c>
      <c r="AD16" s="409" t="s">
        <v>152</v>
      </c>
      <c r="AE16" s="415"/>
      <c r="AF16" s="416"/>
      <c r="AG16" s="347"/>
    </row>
    <row r="17" spans="1:33" s="340" customFormat="1" ht="24.95" customHeight="1" x14ac:dyDescent="0.2">
      <c r="A17" s="385">
        <v>14</v>
      </c>
      <c r="B17" s="345"/>
      <c r="C17" s="378" t="str">
        <f>I1Ext!C17</f>
        <v/>
      </c>
      <c r="D17" s="342" t="str">
        <f>I2Ext!C16</f>
        <v/>
      </c>
      <c r="E17" s="342" t="str">
        <f>I3Ext!C17</f>
        <v/>
      </c>
      <c r="F17" s="335"/>
      <c r="G17" s="335"/>
      <c r="H17" s="333"/>
      <c r="I17" s="336" t="str">
        <f>IF(COUNT(C17:H17)&gt;0,SUMPRODUCT(NB!D90:I90,Notenbogen!C17:H17,C52:H52)/SUMPRODUCT(NB!D90:I90,Notenbogen!C52:H52),"")</f>
        <v/>
      </c>
      <c r="J17" s="343" t="str">
        <f>I1SA!C17</f>
        <v/>
      </c>
      <c r="K17" s="341" t="str">
        <f>I2SA!C17</f>
        <v/>
      </c>
      <c r="L17" s="344" t="str">
        <f>IF(COUNT(I17:K17)&gt;0,SUMPRODUCT(I17:K17,NB!J90:L90)/COUNT(I17:K17),"")</f>
        <v/>
      </c>
      <c r="M17" s="397" t="str">
        <f t="shared" si="0"/>
        <v/>
      </c>
      <c r="N17" s="346" t="str">
        <f>II1Ext!C17</f>
        <v/>
      </c>
      <c r="O17" s="342" t="str">
        <f>II2Ext!C17</f>
        <v/>
      </c>
      <c r="P17" s="342" t="str">
        <f>II3Ext!C17</f>
        <v/>
      </c>
      <c r="Q17" s="335"/>
      <c r="R17" s="335"/>
      <c r="S17" s="333"/>
      <c r="T17" s="355" t="str">
        <f>IF(COUNT(N17:S17)&gt;0,ROUNDUP(SUMPRODUCT(NB!D131:I131,Notenbogen!N17:S17,N52:S52)/SUMPRODUCT(NB!D131:I131,Notenbogen!N52:S52),2),"")</f>
        <v/>
      </c>
      <c r="U17" s="343" t="str">
        <f>II1SA!C17</f>
        <v/>
      </c>
      <c r="V17" s="341" t="str">
        <f>II2SA!C17</f>
        <v/>
      </c>
      <c r="W17" s="344" t="str">
        <f>IF(COUNT(T17:V17)&gt;0,ROUNDUP(SUMPRODUCT(T17:V17,NB!J131:L131)/COUNT(T17:V17),2),"")</f>
        <v/>
      </c>
      <c r="X17" s="400" t="str">
        <f t="shared" si="1"/>
        <v/>
      </c>
      <c r="Y17" s="413" t="str">
        <f t="shared" si="2"/>
        <v/>
      </c>
      <c r="Z17" s="375"/>
      <c r="AA17" s="407"/>
      <c r="AB17" s="405" t="str">
        <f>IF(COUNT(C17:H17)=0,"",IF(Z17&lt;&gt;"", ROUND((2*NB!D16+Z17)/3, 2),ROUND(NB!D16, 0)))</f>
        <v/>
      </c>
      <c r="AC17" s="336" t="str">
        <f>IF(COUNT(J17:K17)+COUNT(U17:V17)&gt;0,ROUNDUP((SUMPRODUCT(NB!K90:L90,Notenbogen!J17:K17)+SUMPRODUCT(NB!K131:L131,Notenbogen!U17:V17))/(COUNT(J17:K17)+COUNT(U17:V17)),2),"")</f>
        <v/>
      </c>
      <c r="AD17" s="409" t="s">
        <v>152</v>
      </c>
      <c r="AE17" s="415"/>
      <c r="AF17" s="416"/>
      <c r="AG17" s="347"/>
    </row>
    <row r="18" spans="1:33" s="340" customFormat="1" ht="24.95" customHeight="1" x14ac:dyDescent="0.2">
      <c r="A18" s="385">
        <v>15</v>
      </c>
      <c r="B18" s="345"/>
      <c r="C18" s="378" t="str">
        <f>I1Ext!C18</f>
        <v/>
      </c>
      <c r="D18" s="342" t="str">
        <f>I2Ext!C18</f>
        <v/>
      </c>
      <c r="E18" s="342" t="str">
        <f>I3Ext!C18</f>
        <v/>
      </c>
      <c r="F18" s="335"/>
      <c r="G18" s="335"/>
      <c r="H18" s="333"/>
      <c r="I18" s="336" t="str">
        <f>IF(COUNT(C18:H18)&gt;0,SUMPRODUCT(NB!D91:I91,Notenbogen!C18:H18,C53:H53)/SUMPRODUCT(NB!D91:I91,Notenbogen!C53:H53),"")</f>
        <v/>
      </c>
      <c r="J18" s="343" t="str">
        <f>I1SA!C18</f>
        <v/>
      </c>
      <c r="K18" s="341" t="str">
        <f>I2SA!C18</f>
        <v/>
      </c>
      <c r="L18" s="344" t="str">
        <f>IF(COUNT(I18:K18)&gt;0,SUMPRODUCT(I18:K18,NB!J91:L91)/COUNT(I18:K18),"")</f>
        <v/>
      </c>
      <c r="M18" s="397" t="str">
        <f t="shared" si="0"/>
        <v/>
      </c>
      <c r="N18" s="346" t="str">
        <f>II1Ext!C18</f>
        <v/>
      </c>
      <c r="O18" s="342" t="str">
        <f>II2Ext!C18</f>
        <v/>
      </c>
      <c r="P18" s="342" t="str">
        <f>II3Ext!C18</f>
        <v/>
      </c>
      <c r="Q18" s="335"/>
      <c r="R18" s="335"/>
      <c r="S18" s="333"/>
      <c r="T18" s="355" t="str">
        <f>IF(COUNT(N18:S18)&gt;0,ROUNDUP(SUMPRODUCT(NB!D132:I132,Notenbogen!N18:S18,N53:S53)/SUMPRODUCT(NB!D132:I132,Notenbogen!N53:S53),2),"")</f>
        <v/>
      </c>
      <c r="U18" s="343" t="str">
        <f>II1SA!C18</f>
        <v/>
      </c>
      <c r="V18" s="341" t="str">
        <f>II2SA!C18</f>
        <v/>
      </c>
      <c r="W18" s="344" t="str">
        <f>IF(COUNT(T18:V18)&gt;0,ROUNDUP(SUMPRODUCT(T18:V18,NB!J132:L132)/COUNT(T18:V18),2),"")</f>
        <v/>
      </c>
      <c r="X18" s="400" t="str">
        <f t="shared" si="1"/>
        <v/>
      </c>
      <c r="Y18" s="413" t="str">
        <f t="shared" si="2"/>
        <v/>
      </c>
      <c r="Z18" s="375"/>
      <c r="AA18" s="407"/>
      <c r="AB18" s="405" t="str">
        <f>IF(COUNT(C18:H18)=0,"",IF(Z18&lt;&gt;"", ROUND((2*NB!D17+Z18)/3, 2),ROUND(NB!D17, 0)))</f>
        <v/>
      </c>
      <c r="AC18" s="336" t="str">
        <f>IF(COUNT(J18:K18)+COUNT(U18:V18)&gt;0,ROUNDUP((SUMPRODUCT(NB!K91:L91,Notenbogen!J18:K18)+SUMPRODUCT(NB!K132:L132,Notenbogen!U18:V18))/(COUNT(J18:K18)+COUNT(U18:V18)),2),"")</f>
        <v/>
      </c>
      <c r="AD18" s="409" t="s">
        <v>152</v>
      </c>
      <c r="AE18" s="415"/>
      <c r="AF18" s="416"/>
      <c r="AG18" s="347"/>
    </row>
    <row r="19" spans="1:33" s="340" customFormat="1" ht="24.95" customHeight="1" x14ac:dyDescent="0.2">
      <c r="A19" s="385">
        <v>16</v>
      </c>
      <c r="B19" s="345"/>
      <c r="C19" s="378" t="str">
        <f>I1Ext!C19</f>
        <v/>
      </c>
      <c r="D19" s="342" t="str">
        <f>I2Ext!C18</f>
        <v/>
      </c>
      <c r="E19" s="342" t="str">
        <f>I3Ext!C19</f>
        <v/>
      </c>
      <c r="F19" s="335"/>
      <c r="G19" s="335"/>
      <c r="H19" s="333"/>
      <c r="I19" s="336" t="str">
        <f>IF(COUNT(C19:H19)&gt;0,SUMPRODUCT(NB!D92:I92,Notenbogen!C19:H19,C54:H54)/SUMPRODUCT(NB!D92:I92,Notenbogen!C54:H54),"")</f>
        <v/>
      </c>
      <c r="J19" s="343" t="str">
        <f>I1SA!C19</f>
        <v/>
      </c>
      <c r="K19" s="341" t="str">
        <f>I2SA!C19</f>
        <v/>
      </c>
      <c r="L19" s="344" t="str">
        <f>IF(COUNT(I19:K19)&gt;0,SUMPRODUCT(I19:K19,NB!J92:L92)/COUNT(I19:K19),"")</f>
        <v/>
      </c>
      <c r="M19" s="397" t="str">
        <f t="shared" si="0"/>
        <v/>
      </c>
      <c r="N19" s="346" t="str">
        <f>II1Ext!C19</f>
        <v/>
      </c>
      <c r="O19" s="342" t="str">
        <f>II2Ext!C19</f>
        <v/>
      </c>
      <c r="P19" s="342" t="str">
        <f>II3Ext!C19</f>
        <v/>
      </c>
      <c r="Q19" s="335"/>
      <c r="R19" s="335"/>
      <c r="S19" s="333"/>
      <c r="T19" s="355" t="str">
        <f>IF(COUNT(N19:S19)&gt;0,ROUNDUP(SUMPRODUCT(NB!D133:I133,Notenbogen!N19:S19,N54:S54)/SUMPRODUCT(NB!D133:I133,Notenbogen!N54:S54),2),"")</f>
        <v/>
      </c>
      <c r="U19" s="343" t="str">
        <f>II1SA!C19</f>
        <v/>
      </c>
      <c r="V19" s="341" t="str">
        <f>II2SA!C19</f>
        <v/>
      </c>
      <c r="W19" s="344" t="str">
        <f>IF(COUNT(T19:V19)&gt;0,ROUNDUP(SUMPRODUCT(T19:V19,NB!J133:L133)/COUNT(T19:V19),2),"")</f>
        <v/>
      </c>
      <c r="X19" s="400" t="str">
        <f t="shared" si="1"/>
        <v/>
      </c>
      <c r="Y19" s="413" t="str">
        <f t="shared" si="2"/>
        <v/>
      </c>
      <c r="Z19" s="375"/>
      <c r="AA19" s="407"/>
      <c r="AB19" s="405" t="str">
        <f>IF(COUNT(C19:H19)=0,"",IF(Z19&lt;&gt;"", ROUND((2*NB!D18+Z19)/3, 2),ROUND(NB!D18, 0)))</f>
        <v/>
      </c>
      <c r="AC19" s="336" t="str">
        <f>IF(COUNT(J19:K19)+COUNT(U19:V19)&gt;0,ROUNDUP((SUMPRODUCT(NB!K92:L92,Notenbogen!J19:K19)+SUMPRODUCT(NB!K133:L133,Notenbogen!U19:V19))/(COUNT(J19:K19)+COUNT(U19:V19)),2),"")</f>
        <v/>
      </c>
      <c r="AD19" s="409" t="s">
        <v>152</v>
      </c>
      <c r="AE19" s="415"/>
      <c r="AF19" s="416"/>
      <c r="AG19" s="347"/>
    </row>
    <row r="20" spans="1:33" s="340" customFormat="1" ht="24.95" customHeight="1" x14ac:dyDescent="0.2">
      <c r="A20" s="385">
        <v>17</v>
      </c>
      <c r="B20" s="345"/>
      <c r="C20" s="378" t="str">
        <f>I1Ext!C20</f>
        <v/>
      </c>
      <c r="D20" s="342" t="str">
        <f>I2Ext!C20</f>
        <v/>
      </c>
      <c r="E20" s="342" t="str">
        <f>I3Ext!C20</f>
        <v/>
      </c>
      <c r="F20" s="335"/>
      <c r="G20" s="335"/>
      <c r="H20" s="333"/>
      <c r="I20" s="336" t="str">
        <f>IF(COUNT(C20:H20)&gt;0,SUMPRODUCT(NB!D93:I93,Notenbogen!C20:H20,C55:H55)/SUMPRODUCT(NB!D93:I93,Notenbogen!C55:H55),"")</f>
        <v/>
      </c>
      <c r="J20" s="343" t="str">
        <f>I1SA!C20</f>
        <v/>
      </c>
      <c r="K20" s="341" t="str">
        <f>I2SA!C20</f>
        <v/>
      </c>
      <c r="L20" s="344" t="str">
        <f>IF(COUNT(I20:K20)&gt;0,SUMPRODUCT(I20:K20,NB!J93:L93)/COUNT(I20:K20),"")</f>
        <v/>
      </c>
      <c r="M20" s="397" t="str">
        <f t="shared" si="0"/>
        <v/>
      </c>
      <c r="N20" s="346" t="str">
        <f>II1Ext!C20</f>
        <v/>
      </c>
      <c r="O20" s="342" t="str">
        <f>II2Ext!C20</f>
        <v/>
      </c>
      <c r="P20" s="342" t="str">
        <f>II3Ext!C20</f>
        <v/>
      </c>
      <c r="Q20" s="335"/>
      <c r="R20" s="335"/>
      <c r="S20" s="333"/>
      <c r="T20" s="355" t="str">
        <f>IF(COUNT(N20:S20)&gt;0,ROUNDUP(SUMPRODUCT(NB!D134:I134,Notenbogen!N20:S20,N55:S55)/SUMPRODUCT(NB!D134:I134,Notenbogen!N55:S55),2),"")</f>
        <v/>
      </c>
      <c r="U20" s="343" t="str">
        <f>II1SA!C20</f>
        <v/>
      </c>
      <c r="V20" s="341" t="str">
        <f>II2SA!C20</f>
        <v/>
      </c>
      <c r="W20" s="344" t="str">
        <f>IF(COUNT(T20:V20)&gt;0,ROUNDUP(SUMPRODUCT(T20:V20,NB!J134:L134)/COUNT(T20:V20),2),"")</f>
        <v/>
      </c>
      <c r="X20" s="400" t="str">
        <f t="shared" si="1"/>
        <v/>
      </c>
      <c r="Y20" s="413" t="str">
        <f t="shared" si="2"/>
        <v/>
      </c>
      <c r="Z20" s="375"/>
      <c r="AA20" s="407"/>
      <c r="AB20" s="405" t="str">
        <f>IF(COUNT(C20:H20)=0,"",IF(Z20&lt;&gt;"", ROUND((2*NB!D19+Z20)/3, 2),ROUND(NB!D19, 0)))</f>
        <v/>
      </c>
      <c r="AC20" s="336" t="str">
        <f>IF(COUNT(J20:K20)+COUNT(U20:V20)&gt;0,ROUNDUP((SUMPRODUCT(NB!K93:L93,Notenbogen!J20:K20)+SUMPRODUCT(NB!K134:L134,Notenbogen!U20:V20))/(COUNT(J20:K20)+COUNT(U20:V20)),2),"")</f>
        <v/>
      </c>
      <c r="AD20" s="409" t="s">
        <v>152</v>
      </c>
      <c r="AE20" s="415"/>
      <c r="AF20" s="416"/>
      <c r="AG20" s="347"/>
    </row>
    <row r="21" spans="1:33" s="340" customFormat="1" ht="24.95" customHeight="1" x14ac:dyDescent="0.2">
      <c r="A21" s="385">
        <v>18</v>
      </c>
      <c r="B21" s="345"/>
      <c r="C21" s="378" t="str">
        <f>I1Ext!C21</f>
        <v/>
      </c>
      <c r="D21" s="342" t="str">
        <f>I2Ext!C20</f>
        <v/>
      </c>
      <c r="E21" s="342" t="str">
        <f>I3Ext!C21</f>
        <v/>
      </c>
      <c r="F21" s="335"/>
      <c r="G21" s="335"/>
      <c r="H21" s="333"/>
      <c r="I21" s="336" t="str">
        <f>IF(COUNT(C21:H21)&gt;0,SUMPRODUCT(NB!D94:I94,Notenbogen!C21:H21,C56:H56)/SUMPRODUCT(NB!D94:I94,Notenbogen!C56:H56),"")</f>
        <v/>
      </c>
      <c r="J21" s="343" t="str">
        <f>I1SA!C21</f>
        <v/>
      </c>
      <c r="K21" s="341" t="str">
        <f>I2SA!C21</f>
        <v/>
      </c>
      <c r="L21" s="344" t="str">
        <f>IF(COUNT(I21:K21)&gt;0,SUMPRODUCT(I21:K21,NB!J94:L94)/COUNT(I21:K21),"")</f>
        <v/>
      </c>
      <c r="M21" s="397" t="str">
        <f t="shared" si="0"/>
        <v/>
      </c>
      <c r="N21" s="346" t="str">
        <f>II1Ext!C21</f>
        <v/>
      </c>
      <c r="O21" s="342" t="str">
        <f>II2Ext!C21</f>
        <v/>
      </c>
      <c r="P21" s="342" t="str">
        <f>II3Ext!C21</f>
        <v/>
      </c>
      <c r="Q21" s="335"/>
      <c r="R21" s="335"/>
      <c r="S21" s="333"/>
      <c r="T21" s="355" t="str">
        <f>IF(COUNT(N21:S21)&gt;0,ROUNDUP(SUMPRODUCT(NB!D135:I135,Notenbogen!N21:S21,N56:S56)/SUMPRODUCT(NB!D135:I135,Notenbogen!N56:S56),2),"")</f>
        <v/>
      </c>
      <c r="U21" s="343" t="str">
        <f>II1SA!C21</f>
        <v/>
      </c>
      <c r="V21" s="341" t="str">
        <f>II2SA!C21</f>
        <v/>
      </c>
      <c r="W21" s="344" t="str">
        <f>IF(COUNT(T21:V21)&gt;0,ROUNDUP(SUMPRODUCT(T21:V21,NB!J135:L135)/COUNT(T21:V21),2),"")</f>
        <v/>
      </c>
      <c r="X21" s="400" t="str">
        <f t="shared" si="1"/>
        <v/>
      </c>
      <c r="Y21" s="413" t="str">
        <f t="shared" si="2"/>
        <v/>
      </c>
      <c r="Z21" s="375"/>
      <c r="AA21" s="407"/>
      <c r="AB21" s="405" t="str">
        <f>IF(COUNT(C21:H21)=0,"",IF(Z21&lt;&gt;"", ROUND((2*NB!D20+Z21)/3, 2),ROUND(NB!D20, 0)))</f>
        <v/>
      </c>
      <c r="AC21" s="336" t="str">
        <f>IF(COUNT(J21:K21)+COUNT(U21:V21)&gt;0,ROUNDUP((SUMPRODUCT(NB!K94:L94,Notenbogen!J21:K21)+SUMPRODUCT(NB!K135:L135,Notenbogen!U21:V21))/(COUNT(J21:K21)+COUNT(U21:V21)),2),"")</f>
        <v/>
      </c>
      <c r="AD21" s="409" t="s">
        <v>152</v>
      </c>
      <c r="AE21" s="415"/>
      <c r="AF21" s="416"/>
      <c r="AG21" s="347"/>
    </row>
    <row r="22" spans="1:33" s="340" customFormat="1" ht="24.95" customHeight="1" x14ac:dyDescent="0.2">
      <c r="A22" s="385">
        <v>19</v>
      </c>
      <c r="B22" s="345"/>
      <c r="C22" s="378" t="str">
        <f>I1Ext!C22</f>
        <v/>
      </c>
      <c r="D22" s="342" t="str">
        <f>I2Ext!C22</f>
        <v/>
      </c>
      <c r="E22" s="342" t="str">
        <f>I3Ext!C22</f>
        <v/>
      </c>
      <c r="F22" s="335"/>
      <c r="G22" s="335"/>
      <c r="H22" s="333"/>
      <c r="I22" s="336" t="str">
        <f>IF(COUNT(C22:H22)&gt;0,SUMPRODUCT(NB!D95:I95,Notenbogen!C22:H22,C57:H57)/SUMPRODUCT(NB!D95:I95,Notenbogen!C57:H57),"")</f>
        <v/>
      </c>
      <c r="J22" s="343" t="str">
        <f>I1SA!C22</f>
        <v/>
      </c>
      <c r="K22" s="341" t="str">
        <f>I2SA!C22</f>
        <v/>
      </c>
      <c r="L22" s="344" t="str">
        <f>IF(COUNT(I22:K22)&gt;0,SUMPRODUCT(I22:K22,NB!J95:L95)/COUNT(I22:K22),"")</f>
        <v/>
      </c>
      <c r="M22" s="397" t="str">
        <f t="shared" si="0"/>
        <v/>
      </c>
      <c r="N22" s="346" t="str">
        <f>II1Ext!C22</f>
        <v/>
      </c>
      <c r="O22" s="342" t="str">
        <f>II2Ext!C22</f>
        <v/>
      </c>
      <c r="P22" s="342" t="str">
        <f>II3Ext!C22</f>
        <v/>
      </c>
      <c r="Q22" s="335"/>
      <c r="R22" s="335"/>
      <c r="S22" s="333"/>
      <c r="T22" s="355" t="str">
        <f>IF(COUNT(N22:S22)&gt;0,ROUNDUP(SUMPRODUCT(NB!D136:I136,Notenbogen!N22:S22,N57:S57)/SUMPRODUCT(NB!D136:I136,Notenbogen!N57:S57),2),"")</f>
        <v/>
      </c>
      <c r="U22" s="343" t="str">
        <f>II1SA!C22</f>
        <v/>
      </c>
      <c r="V22" s="341" t="str">
        <f>II2SA!C22</f>
        <v/>
      </c>
      <c r="W22" s="344" t="str">
        <f>IF(COUNT(T22:V22)&gt;0,ROUNDUP(SUMPRODUCT(T22:V22,NB!J136:L136)/COUNT(T22:V22),2),"")</f>
        <v/>
      </c>
      <c r="X22" s="400" t="str">
        <f t="shared" si="1"/>
        <v/>
      </c>
      <c r="Y22" s="413" t="str">
        <f t="shared" si="2"/>
        <v/>
      </c>
      <c r="Z22" s="375"/>
      <c r="AA22" s="407"/>
      <c r="AB22" s="405" t="str">
        <f>IF(COUNT(C22:H22)=0,"",IF(Z22&lt;&gt;"", ROUND((2*NB!D21+Z22)/3, 2),ROUND(NB!D21, 0)))</f>
        <v/>
      </c>
      <c r="AC22" s="336" t="str">
        <f>IF(COUNT(J22:K22)+COUNT(U22:V22)&gt;0,ROUNDUP((SUMPRODUCT(NB!K95:L95,Notenbogen!J22:K22)+SUMPRODUCT(NB!K136:L136,Notenbogen!U22:V22))/(COUNT(J22:K22)+COUNT(U22:V22)),2),"")</f>
        <v/>
      </c>
      <c r="AD22" s="409" t="s">
        <v>152</v>
      </c>
      <c r="AE22" s="415"/>
      <c r="AF22" s="416"/>
      <c r="AG22" s="347"/>
    </row>
    <row r="23" spans="1:33" s="340" customFormat="1" ht="24.95" customHeight="1" x14ac:dyDescent="0.2">
      <c r="A23" s="385">
        <v>20</v>
      </c>
      <c r="B23" s="345"/>
      <c r="C23" s="378" t="str">
        <f>I1Ext!C23</f>
        <v/>
      </c>
      <c r="D23" s="342" t="str">
        <f>I2Ext!C22</f>
        <v/>
      </c>
      <c r="E23" s="342" t="str">
        <f>I3Ext!C23</f>
        <v/>
      </c>
      <c r="F23" s="335"/>
      <c r="G23" s="335"/>
      <c r="H23" s="333"/>
      <c r="I23" s="336" t="str">
        <f>IF(COUNT(C23:H23)&gt;0,SUMPRODUCT(NB!D96:I96,Notenbogen!C23:H23,C58:H58)/SUMPRODUCT(NB!D96:I96,Notenbogen!C58:H58),"")</f>
        <v/>
      </c>
      <c r="J23" s="343" t="str">
        <f>I1SA!C23</f>
        <v/>
      </c>
      <c r="K23" s="341" t="str">
        <f>I2SA!C23</f>
        <v/>
      </c>
      <c r="L23" s="344" t="str">
        <f>IF(COUNT(I23:K23)&gt;0,SUMPRODUCT(I23:K23,NB!J96:L96)/COUNT(I23:K23),"")</f>
        <v/>
      </c>
      <c r="M23" s="397" t="str">
        <f t="shared" si="0"/>
        <v/>
      </c>
      <c r="N23" s="346" t="str">
        <f>II1Ext!C23</f>
        <v/>
      </c>
      <c r="O23" s="342" t="str">
        <f>II2Ext!C23</f>
        <v/>
      </c>
      <c r="P23" s="342" t="str">
        <f>II3Ext!C23</f>
        <v/>
      </c>
      <c r="Q23" s="335"/>
      <c r="R23" s="335"/>
      <c r="S23" s="333"/>
      <c r="T23" s="355" t="str">
        <f>IF(COUNT(N23:S23)&gt;0,ROUNDUP(SUMPRODUCT(NB!D137:I137,Notenbogen!N23:S23,N58:S58)/SUMPRODUCT(NB!D137:I137,Notenbogen!N58:S58),2),"")</f>
        <v/>
      </c>
      <c r="U23" s="343" t="str">
        <f>II1SA!C23</f>
        <v/>
      </c>
      <c r="V23" s="341" t="str">
        <f>II2SA!C23</f>
        <v/>
      </c>
      <c r="W23" s="344" t="str">
        <f>IF(COUNT(T23:V23)&gt;0,ROUNDUP(SUMPRODUCT(T23:V23,NB!J137:L137)/COUNT(T23:V23),2),"")</f>
        <v/>
      </c>
      <c r="X23" s="400" t="str">
        <f t="shared" si="1"/>
        <v/>
      </c>
      <c r="Y23" s="413" t="str">
        <f t="shared" si="2"/>
        <v/>
      </c>
      <c r="Z23" s="375"/>
      <c r="AA23" s="407"/>
      <c r="AB23" s="405" t="str">
        <f>IF(COUNT(C23:H23)=0,"",IF(Z23&lt;&gt;"", ROUND((2*NB!D22+Z23)/3, 2),ROUND(NB!D22, 0)))</f>
        <v/>
      </c>
      <c r="AC23" s="336" t="str">
        <f>IF(COUNT(J23:K23)+COUNT(U23:V23)&gt;0,ROUNDUP((SUMPRODUCT(NB!K96:L96,Notenbogen!J23:K23)+SUMPRODUCT(NB!K137:L137,Notenbogen!U23:V23))/(COUNT(J23:K23)+COUNT(U23:V23)),2),"")</f>
        <v/>
      </c>
      <c r="AD23" s="409" t="s">
        <v>152</v>
      </c>
      <c r="AE23" s="415"/>
      <c r="AF23" s="416"/>
      <c r="AG23" s="347"/>
    </row>
    <row r="24" spans="1:33" s="340" customFormat="1" ht="24.95" customHeight="1" x14ac:dyDescent="0.2">
      <c r="A24" s="385">
        <v>21</v>
      </c>
      <c r="B24" s="345"/>
      <c r="C24" s="378" t="str">
        <f>I1Ext!C24</f>
        <v/>
      </c>
      <c r="D24" s="342" t="str">
        <f>I2Ext!C24</f>
        <v/>
      </c>
      <c r="E24" s="342" t="str">
        <f>I3Ext!C24</f>
        <v/>
      </c>
      <c r="F24" s="335"/>
      <c r="G24" s="335"/>
      <c r="H24" s="333"/>
      <c r="I24" s="336" t="str">
        <f>IF(COUNT(C24:H24)&gt;0,SUMPRODUCT(NB!D97:I97,Notenbogen!C24:H24,C59:H59)/SUMPRODUCT(NB!D97:I97,Notenbogen!C59:H59),"")</f>
        <v/>
      </c>
      <c r="J24" s="343" t="str">
        <f>I1SA!C24</f>
        <v/>
      </c>
      <c r="K24" s="341" t="str">
        <f>I2SA!C24</f>
        <v/>
      </c>
      <c r="L24" s="344" t="str">
        <f>IF(COUNT(I24:K24)&gt;0,SUMPRODUCT(I24:K24,NB!J97:L97)/COUNT(I24:K24),"")</f>
        <v/>
      </c>
      <c r="M24" s="397" t="str">
        <f t="shared" si="0"/>
        <v/>
      </c>
      <c r="N24" s="346" t="str">
        <f>II1Ext!C24</f>
        <v/>
      </c>
      <c r="O24" s="342" t="str">
        <f>II2Ext!C24</f>
        <v/>
      </c>
      <c r="P24" s="342" t="str">
        <f>II3Ext!C24</f>
        <v/>
      </c>
      <c r="Q24" s="335"/>
      <c r="R24" s="335"/>
      <c r="S24" s="333"/>
      <c r="T24" s="355" t="str">
        <f>IF(COUNT(N24:S24)&gt;0,ROUNDUP(SUMPRODUCT(NB!D138:I138,Notenbogen!N24:S24,N59:S59)/SUMPRODUCT(NB!D138:I138,Notenbogen!N59:S59),2),"")</f>
        <v/>
      </c>
      <c r="U24" s="343" t="str">
        <f>II1SA!C24</f>
        <v/>
      </c>
      <c r="V24" s="341" t="str">
        <f>II2SA!C24</f>
        <v/>
      </c>
      <c r="W24" s="344" t="str">
        <f>IF(COUNT(T24:V24)&gt;0,ROUNDUP(SUMPRODUCT(T24:V24,NB!J138:L138)/COUNT(T24:V24),2),"")</f>
        <v/>
      </c>
      <c r="X24" s="400" t="str">
        <f t="shared" si="1"/>
        <v/>
      </c>
      <c r="Y24" s="413" t="str">
        <f t="shared" si="2"/>
        <v/>
      </c>
      <c r="Z24" s="375"/>
      <c r="AA24" s="407"/>
      <c r="AB24" s="405" t="str">
        <f>IF(COUNT(C24:H24)=0,"",IF(Z24&lt;&gt;"", ROUND((2*NB!D23+Z24)/3, 2),ROUND(NB!D23, 0)))</f>
        <v/>
      </c>
      <c r="AC24" s="336" t="str">
        <f>IF(COUNT(J24:K24)+COUNT(U24:V24)&gt;0,ROUNDUP((SUMPRODUCT(NB!K97:L97,Notenbogen!J24:K24)+SUMPRODUCT(NB!K138:L138,Notenbogen!U24:V24))/(COUNT(J24:K24)+COUNT(U24:V24)),2),"")</f>
        <v/>
      </c>
      <c r="AD24" s="409" t="s">
        <v>152</v>
      </c>
      <c r="AE24" s="415"/>
      <c r="AF24" s="416"/>
      <c r="AG24" s="347"/>
    </row>
    <row r="25" spans="1:33" s="340" customFormat="1" ht="24.95" customHeight="1" x14ac:dyDescent="0.2">
      <c r="A25" s="385">
        <v>22</v>
      </c>
      <c r="B25" s="345"/>
      <c r="C25" s="378" t="str">
        <f>I1Ext!C25</f>
        <v/>
      </c>
      <c r="D25" s="342" t="str">
        <f>I2Ext!C24</f>
        <v/>
      </c>
      <c r="E25" s="342" t="str">
        <f>I3Ext!C25</f>
        <v/>
      </c>
      <c r="F25" s="335"/>
      <c r="G25" s="335"/>
      <c r="H25" s="333"/>
      <c r="I25" s="336" t="str">
        <f>IF(COUNT(C25:H25)&gt;0,SUMPRODUCT(NB!D98:I98,Notenbogen!C25:H25,C60:H60)/SUMPRODUCT(NB!D98:I98,Notenbogen!C60:H60),"")</f>
        <v/>
      </c>
      <c r="J25" s="343" t="str">
        <f>I1SA!C25</f>
        <v/>
      </c>
      <c r="K25" s="341" t="str">
        <f>I2SA!C25</f>
        <v/>
      </c>
      <c r="L25" s="344" t="str">
        <f>IF(COUNT(I25:K25)&gt;0,SUMPRODUCT(I25:K25,NB!J98:L98)/COUNT(I25:K25),"")</f>
        <v/>
      </c>
      <c r="M25" s="397" t="str">
        <f t="shared" si="0"/>
        <v/>
      </c>
      <c r="N25" s="346" t="str">
        <f>II1Ext!C25</f>
        <v/>
      </c>
      <c r="O25" s="342" t="str">
        <f>II2Ext!C25</f>
        <v/>
      </c>
      <c r="P25" s="342" t="str">
        <f>II3Ext!C25</f>
        <v/>
      </c>
      <c r="Q25" s="335"/>
      <c r="R25" s="335"/>
      <c r="S25" s="333"/>
      <c r="T25" s="355" t="str">
        <f>IF(COUNT(N25:S25)&gt;0,ROUNDUP(SUMPRODUCT(NB!D139:I139,Notenbogen!N25:S25,N60:S60)/SUMPRODUCT(NB!D139:I139,Notenbogen!N60:S60),2),"")</f>
        <v/>
      </c>
      <c r="U25" s="343" t="str">
        <f>II1SA!C25</f>
        <v/>
      </c>
      <c r="V25" s="341" t="str">
        <f>II2SA!C25</f>
        <v/>
      </c>
      <c r="W25" s="344" t="str">
        <f>IF(COUNT(T25:V25)&gt;0,ROUNDUP(SUMPRODUCT(T25:V25,NB!J139:L139)/COUNT(T25:V25),2),"")</f>
        <v/>
      </c>
      <c r="X25" s="400" t="str">
        <f t="shared" si="1"/>
        <v/>
      </c>
      <c r="Y25" s="413" t="str">
        <f t="shared" si="2"/>
        <v/>
      </c>
      <c r="Z25" s="375"/>
      <c r="AA25" s="407"/>
      <c r="AB25" s="405" t="str">
        <f>IF(COUNT(C25:H25)=0,"",IF(Z25&lt;&gt;"", ROUND((2*NB!D24+Z25)/3, 2),ROUND(NB!D24, 0)))</f>
        <v/>
      </c>
      <c r="AC25" s="336" t="str">
        <f>IF(COUNT(J25:K25)+COUNT(U25:V25)&gt;0,ROUNDUP((SUMPRODUCT(NB!K98:L98,Notenbogen!J25:K25)+SUMPRODUCT(NB!K139:L139,Notenbogen!U25:V25))/(COUNT(J25:K25)+COUNT(U25:V25)),2),"")</f>
        <v/>
      </c>
      <c r="AD25" s="409" t="s">
        <v>152</v>
      </c>
      <c r="AE25" s="415"/>
      <c r="AF25" s="416"/>
      <c r="AG25" s="347"/>
    </row>
    <row r="26" spans="1:33" s="340" customFormat="1" ht="24.95" customHeight="1" x14ac:dyDescent="0.2">
      <c r="A26" s="385">
        <v>23</v>
      </c>
      <c r="B26" s="345"/>
      <c r="C26" s="378" t="str">
        <f>I1Ext!C26</f>
        <v/>
      </c>
      <c r="D26" s="342" t="str">
        <f>I2Ext!C26</f>
        <v/>
      </c>
      <c r="E26" s="342" t="str">
        <f>I3Ext!C26</f>
        <v/>
      </c>
      <c r="F26" s="335"/>
      <c r="G26" s="335"/>
      <c r="H26" s="333"/>
      <c r="I26" s="336" t="str">
        <f>IF(COUNT(C26:H26)&gt;0,SUMPRODUCT(NB!D99:I99,Notenbogen!C26:H26,C61:H61)/SUMPRODUCT(NB!D99:I99,Notenbogen!C61:H61),"")</f>
        <v/>
      </c>
      <c r="J26" s="343" t="str">
        <f>I1SA!C26</f>
        <v/>
      </c>
      <c r="K26" s="341" t="str">
        <f>I2SA!C26</f>
        <v/>
      </c>
      <c r="L26" s="344" t="str">
        <f>IF(COUNT(I26:K26)&gt;0,SUMPRODUCT(I26:K26,NB!J99:L99)/COUNT(I26:K26),"")</f>
        <v/>
      </c>
      <c r="M26" s="397" t="str">
        <f t="shared" si="0"/>
        <v/>
      </c>
      <c r="N26" s="346" t="str">
        <f>II1Ext!C26</f>
        <v/>
      </c>
      <c r="O26" s="342" t="str">
        <f>II2Ext!C26</f>
        <v/>
      </c>
      <c r="P26" s="342" t="str">
        <f>II3Ext!C26</f>
        <v/>
      </c>
      <c r="Q26" s="335"/>
      <c r="R26" s="335"/>
      <c r="S26" s="333"/>
      <c r="T26" s="355" t="str">
        <f>IF(COUNT(N26:S26)&gt;0,ROUNDUP(SUMPRODUCT(NB!D140:I140,Notenbogen!N26:S26,N61:S61)/SUMPRODUCT(NB!D140:I140,Notenbogen!N61:S61),2),"")</f>
        <v/>
      </c>
      <c r="U26" s="343" t="str">
        <f>II1SA!C26</f>
        <v/>
      </c>
      <c r="V26" s="341" t="str">
        <f>II2SA!C26</f>
        <v/>
      </c>
      <c r="W26" s="344" t="str">
        <f>IF(COUNT(T26:V26)&gt;0,ROUNDUP(SUMPRODUCT(T26:V26,NB!J140:L140)/COUNT(T26:V26),2),"")</f>
        <v/>
      </c>
      <c r="X26" s="400" t="str">
        <f t="shared" si="1"/>
        <v/>
      </c>
      <c r="Y26" s="413" t="str">
        <f t="shared" si="2"/>
        <v/>
      </c>
      <c r="Z26" s="375"/>
      <c r="AA26" s="407"/>
      <c r="AB26" s="405" t="str">
        <f>IF(COUNT(C26:H26)=0,"",IF(Z26&lt;&gt;"", ROUND((2*NB!D25+Z26)/3, 2),ROUND(NB!D25, 0)))</f>
        <v/>
      </c>
      <c r="AC26" s="336" t="str">
        <f>IF(COUNT(J26:K26)+COUNT(U26:V26)&gt;0,ROUNDUP((SUMPRODUCT(NB!K99:L99,Notenbogen!J26:K26)+SUMPRODUCT(NB!K140:L140,Notenbogen!U26:V26))/(COUNT(J26:K26)+COUNT(U26:V26)),2),"")</f>
        <v/>
      </c>
      <c r="AD26" s="409" t="s">
        <v>152</v>
      </c>
      <c r="AE26" s="415"/>
      <c r="AF26" s="416"/>
      <c r="AG26" s="347"/>
    </row>
    <row r="27" spans="1:33" s="340" customFormat="1" ht="24.95" customHeight="1" x14ac:dyDescent="0.2">
      <c r="A27" s="385">
        <v>24</v>
      </c>
      <c r="B27" s="345"/>
      <c r="C27" s="378" t="str">
        <f>I1Ext!C27</f>
        <v/>
      </c>
      <c r="D27" s="342" t="str">
        <f>I2Ext!C26</f>
        <v/>
      </c>
      <c r="E27" s="342" t="str">
        <f>I3Ext!C27</f>
        <v/>
      </c>
      <c r="F27" s="335"/>
      <c r="G27" s="335"/>
      <c r="H27" s="333"/>
      <c r="I27" s="336" t="str">
        <f>IF(COUNT(C27:H27)&gt;0,SUMPRODUCT(NB!D100:I100,Notenbogen!C27:H27,C62:H62)/SUMPRODUCT(NB!D100:I100,Notenbogen!C62:H62),"")</f>
        <v/>
      </c>
      <c r="J27" s="343" t="str">
        <f>I1SA!C27</f>
        <v/>
      </c>
      <c r="K27" s="341" t="str">
        <f>I2SA!C27</f>
        <v/>
      </c>
      <c r="L27" s="344" t="str">
        <f>IF(COUNT(I27:K27)&gt;0,SUMPRODUCT(I27:K27,NB!J100:L100)/COUNT(I27:K27),"")</f>
        <v/>
      </c>
      <c r="M27" s="397" t="str">
        <f t="shared" si="0"/>
        <v/>
      </c>
      <c r="N27" s="346" t="str">
        <f>II1Ext!C27</f>
        <v/>
      </c>
      <c r="O27" s="342" t="str">
        <f>II2Ext!C27</f>
        <v/>
      </c>
      <c r="P27" s="342" t="str">
        <f>II3Ext!C27</f>
        <v/>
      </c>
      <c r="Q27" s="335"/>
      <c r="R27" s="335"/>
      <c r="S27" s="333"/>
      <c r="T27" s="355" t="str">
        <f>IF(COUNT(N27:S27)&gt;0,ROUNDUP(SUMPRODUCT(NB!D141:I141,Notenbogen!N27:S27,N62:S62)/SUMPRODUCT(NB!D141:I141,Notenbogen!N62:S62),2),"")</f>
        <v/>
      </c>
      <c r="U27" s="343" t="str">
        <f>II1SA!C27</f>
        <v/>
      </c>
      <c r="V27" s="341" t="str">
        <f>II2SA!C27</f>
        <v/>
      </c>
      <c r="W27" s="344" t="str">
        <f>IF(COUNT(T27:V27)&gt;0,ROUNDUP(SUMPRODUCT(T27:V27,NB!J141:L141)/COUNT(T27:V27),2),"")</f>
        <v/>
      </c>
      <c r="X27" s="400" t="str">
        <f t="shared" si="1"/>
        <v/>
      </c>
      <c r="Y27" s="413" t="str">
        <f t="shared" si="2"/>
        <v/>
      </c>
      <c r="Z27" s="375"/>
      <c r="AA27" s="407"/>
      <c r="AB27" s="405" t="str">
        <f>IF(COUNT(C27:H27)=0,"",IF(Z27&lt;&gt;"", ROUND((2*NB!D26+Z27)/3, 2),ROUND(NB!D26, 0)))</f>
        <v/>
      </c>
      <c r="AC27" s="336" t="str">
        <f>IF(COUNT(J27:K27)+COUNT(U27:V27)&gt;0,ROUNDUP((SUMPRODUCT(NB!K100:L100,Notenbogen!J27:K27)+SUMPRODUCT(NB!K141:L141,Notenbogen!U27:V27))/(COUNT(J27:K27)+COUNT(U27:V27)),2),"")</f>
        <v/>
      </c>
      <c r="AD27" s="409" t="s">
        <v>152</v>
      </c>
      <c r="AE27" s="415"/>
      <c r="AF27" s="416"/>
      <c r="AG27" s="347"/>
    </row>
    <row r="28" spans="1:33" s="340" customFormat="1" ht="24.95" customHeight="1" x14ac:dyDescent="0.2">
      <c r="A28" s="385">
        <v>25</v>
      </c>
      <c r="B28" s="345"/>
      <c r="C28" s="378" t="str">
        <f>I1Ext!C28</f>
        <v/>
      </c>
      <c r="D28" s="342" t="str">
        <f>I2Ext!C28</f>
        <v/>
      </c>
      <c r="E28" s="342" t="str">
        <f>I3Ext!C28</f>
        <v/>
      </c>
      <c r="F28" s="335"/>
      <c r="G28" s="335"/>
      <c r="H28" s="333"/>
      <c r="I28" s="336" t="str">
        <f>IF(COUNT(C28:H28)&gt;0,SUMPRODUCT(NB!D101:I101,Notenbogen!C28:H28,C63:H63)/SUMPRODUCT(NB!D101:I101,Notenbogen!C63:H63),"")</f>
        <v/>
      </c>
      <c r="J28" s="343" t="str">
        <f>I1SA!C28</f>
        <v/>
      </c>
      <c r="K28" s="341" t="str">
        <f>I2SA!C28</f>
        <v/>
      </c>
      <c r="L28" s="344" t="str">
        <f>IF(COUNT(I28:K28)&gt;0,SUMPRODUCT(I28:K28,NB!J101:L101)/COUNT(I28:K28),"")</f>
        <v/>
      </c>
      <c r="M28" s="397" t="str">
        <f t="shared" si="0"/>
        <v/>
      </c>
      <c r="N28" s="346" t="str">
        <f>II1Ext!C28</f>
        <v/>
      </c>
      <c r="O28" s="342" t="str">
        <f>II2Ext!C28</f>
        <v/>
      </c>
      <c r="P28" s="342" t="str">
        <f>II3Ext!C28</f>
        <v/>
      </c>
      <c r="Q28" s="335"/>
      <c r="R28" s="335"/>
      <c r="S28" s="333"/>
      <c r="T28" s="355" t="str">
        <f>IF(COUNT(N28:S28)&gt;0,ROUNDUP(SUMPRODUCT(NB!D142:I142,Notenbogen!N28:S28,N63:S63)/SUMPRODUCT(NB!D142:I142,Notenbogen!N63:S63),2),"")</f>
        <v/>
      </c>
      <c r="U28" s="343" t="str">
        <f>II1SA!C28</f>
        <v/>
      </c>
      <c r="V28" s="341" t="str">
        <f>II2SA!C28</f>
        <v/>
      </c>
      <c r="W28" s="344" t="str">
        <f>IF(COUNT(T28:V28)&gt;0,ROUNDUP(SUMPRODUCT(T28:V28,NB!J142:L142)/COUNT(T28:V28),2),"")</f>
        <v/>
      </c>
      <c r="X28" s="400" t="str">
        <f t="shared" si="1"/>
        <v/>
      </c>
      <c r="Y28" s="413" t="str">
        <f t="shared" si="2"/>
        <v/>
      </c>
      <c r="Z28" s="375"/>
      <c r="AA28" s="407"/>
      <c r="AB28" s="405" t="str">
        <f>IF(COUNT(C28:H28)=0,"",IF(Z28&lt;&gt;"", ROUND((2*NB!D27+Z28)/3, 2),ROUND(NB!D27, 0)))</f>
        <v/>
      </c>
      <c r="AC28" s="336" t="str">
        <f>IF(COUNT(J28:K28)+COUNT(U28:V28)&gt;0,ROUNDUP((SUMPRODUCT(NB!K101:L101,Notenbogen!J28:K28)+SUMPRODUCT(NB!K142:L142,Notenbogen!U28:V28))/(COUNT(J28:K28)+COUNT(U28:V28)),2),"")</f>
        <v/>
      </c>
      <c r="AD28" s="409" t="s">
        <v>152</v>
      </c>
      <c r="AE28" s="415"/>
      <c r="AF28" s="416"/>
      <c r="AG28" s="347"/>
    </row>
    <row r="29" spans="1:33" s="340" customFormat="1" ht="24.95" customHeight="1" x14ac:dyDescent="0.2">
      <c r="A29" s="385">
        <v>26</v>
      </c>
      <c r="B29" s="345"/>
      <c r="C29" s="378" t="str">
        <f>I1Ext!C29</f>
        <v/>
      </c>
      <c r="D29" s="342" t="str">
        <f>I2Ext!C28</f>
        <v/>
      </c>
      <c r="E29" s="342" t="str">
        <f>I3Ext!C29</f>
        <v/>
      </c>
      <c r="F29" s="335"/>
      <c r="G29" s="335"/>
      <c r="H29" s="333"/>
      <c r="I29" s="336" t="str">
        <f>IF(COUNT(C29:H29)&gt;0,SUMPRODUCT(NB!D102:I102,Notenbogen!C29:H29,C64:H64)/SUMPRODUCT(NB!D102:I102,Notenbogen!C64:H64),"")</f>
        <v/>
      </c>
      <c r="J29" s="343" t="str">
        <f>I1SA!C29</f>
        <v/>
      </c>
      <c r="K29" s="341" t="str">
        <f>I2SA!C29</f>
        <v/>
      </c>
      <c r="L29" s="344" t="str">
        <f>IF(COUNT(I29:K29)&gt;0,SUMPRODUCT(I29:K29,NB!J102:L102)/COUNT(I29:K29),"")</f>
        <v/>
      </c>
      <c r="M29" s="397" t="str">
        <f t="shared" si="0"/>
        <v/>
      </c>
      <c r="N29" s="346" t="str">
        <f>II1Ext!C29</f>
        <v/>
      </c>
      <c r="O29" s="342" t="str">
        <f>II2Ext!C29</f>
        <v/>
      </c>
      <c r="P29" s="342" t="str">
        <f>II3Ext!C29</f>
        <v/>
      </c>
      <c r="Q29" s="335"/>
      <c r="R29" s="335"/>
      <c r="S29" s="333"/>
      <c r="T29" s="355" t="str">
        <f>IF(COUNT(N29:S29)&gt;0,ROUNDUP(SUMPRODUCT(NB!D143:I143,Notenbogen!N29:S29,N64:S64)/SUMPRODUCT(NB!D143:I143,Notenbogen!N64:S64),2),"")</f>
        <v/>
      </c>
      <c r="U29" s="343" t="str">
        <f>II1SA!C29</f>
        <v/>
      </c>
      <c r="V29" s="341" t="str">
        <f>II2SA!C29</f>
        <v/>
      </c>
      <c r="W29" s="344" t="str">
        <f>IF(COUNT(T29:V29)&gt;0,ROUNDUP(SUMPRODUCT(T29:V29,NB!J143:L143)/COUNT(T29:V29),2),"")</f>
        <v/>
      </c>
      <c r="X29" s="400" t="str">
        <f t="shared" si="1"/>
        <v/>
      </c>
      <c r="Y29" s="413" t="str">
        <f t="shared" si="2"/>
        <v/>
      </c>
      <c r="Z29" s="375"/>
      <c r="AA29" s="407"/>
      <c r="AB29" s="405" t="str">
        <f>IF(COUNT(C29:H29)=0,"",IF(Z29&lt;&gt;"", ROUND((2*NB!D28+Z29)/3, 2),ROUND(NB!D28, 0)))</f>
        <v/>
      </c>
      <c r="AC29" s="336" t="str">
        <f>IF(COUNT(J29:K29)+COUNT(U29:V29)&gt;0,ROUNDUP((SUMPRODUCT(NB!K102:L102,Notenbogen!J29:K29)+SUMPRODUCT(NB!K143:L143,Notenbogen!U29:V29))/(COUNT(J29:K29)+COUNT(U29:V29)),2),"")</f>
        <v/>
      </c>
      <c r="AD29" s="409" t="s">
        <v>152</v>
      </c>
      <c r="AE29" s="415"/>
      <c r="AF29" s="416"/>
      <c r="AG29" s="347"/>
    </row>
    <row r="30" spans="1:33" s="340" customFormat="1" ht="24.95" customHeight="1" x14ac:dyDescent="0.2">
      <c r="A30" s="385">
        <v>27</v>
      </c>
      <c r="B30" s="345"/>
      <c r="C30" s="378" t="str">
        <f>I1Ext!C30</f>
        <v/>
      </c>
      <c r="D30" s="342" t="str">
        <f>I2Ext!C30</f>
        <v/>
      </c>
      <c r="E30" s="342" t="str">
        <f>I3Ext!C30</f>
        <v/>
      </c>
      <c r="F30" s="335"/>
      <c r="G30" s="335"/>
      <c r="H30" s="333"/>
      <c r="I30" s="336" t="str">
        <f>IF(COUNT(C30:H30)&gt;0,SUMPRODUCT(NB!D103:I103,Notenbogen!C30:H30,C65:H65)/SUMPRODUCT(NB!D103:I103,Notenbogen!C65:H65),"")</f>
        <v/>
      </c>
      <c r="J30" s="343" t="str">
        <f>I1SA!C30</f>
        <v/>
      </c>
      <c r="K30" s="341" t="str">
        <f>I2SA!C30</f>
        <v/>
      </c>
      <c r="L30" s="344" t="str">
        <f>IF(COUNT(I30:K30)&gt;0,SUMPRODUCT(I30:K30,NB!J103:L103)/COUNT(I30:K30),"")</f>
        <v/>
      </c>
      <c r="M30" s="397" t="str">
        <f t="shared" si="0"/>
        <v/>
      </c>
      <c r="N30" s="346" t="str">
        <f>II1Ext!C30</f>
        <v/>
      </c>
      <c r="O30" s="342" t="str">
        <f>II2Ext!C30</f>
        <v/>
      </c>
      <c r="P30" s="342" t="str">
        <f>II3Ext!C30</f>
        <v/>
      </c>
      <c r="Q30" s="335"/>
      <c r="R30" s="335"/>
      <c r="S30" s="333"/>
      <c r="T30" s="355" t="str">
        <f>IF(COUNT(N30:S30)&gt;0,ROUNDUP(SUMPRODUCT(NB!D144:I144,Notenbogen!N30:S30,N65:S65)/SUMPRODUCT(NB!D144:I144,Notenbogen!N65:S65),2),"")</f>
        <v/>
      </c>
      <c r="U30" s="343" t="str">
        <f>II1SA!C30</f>
        <v/>
      </c>
      <c r="V30" s="341" t="str">
        <f>II2SA!C30</f>
        <v/>
      </c>
      <c r="W30" s="344" t="str">
        <f>IF(COUNT(T30:V30)&gt;0,ROUNDUP(SUMPRODUCT(T30:V30,NB!J144:L144)/COUNT(T30:V30),2),"")</f>
        <v/>
      </c>
      <c r="X30" s="400" t="str">
        <f t="shared" si="1"/>
        <v/>
      </c>
      <c r="Y30" s="413" t="str">
        <f t="shared" si="2"/>
        <v/>
      </c>
      <c r="Z30" s="375"/>
      <c r="AA30" s="407"/>
      <c r="AB30" s="405" t="str">
        <f>IF(COUNT(C30:H30)=0,"",IF(Z30&lt;&gt;"", ROUND((2*NB!D29+Z30)/3, 2),ROUND(NB!D29, 0)))</f>
        <v/>
      </c>
      <c r="AC30" s="336" t="str">
        <f>IF(COUNT(J30:K30)+COUNT(U30:V30)&gt;0,ROUNDUP((SUMPRODUCT(NB!K103:L103,Notenbogen!J30:K30)+SUMPRODUCT(NB!K144:L144,Notenbogen!U30:V30))/(COUNT(J30:K30)+COUNT(U30:V30)),2),"")</f>
        <v/>
      </c>
      <c r="AD30" s="409" t="s">
        <v>152</v>
      </c>
      <c r="AE30" s="415"/>
      <c r="AF30" s="416"/>
      <c r="AG30" s="347"/>
    </row>
    <row r="31" spans="1:33" s="340" customFormat="1" ht="24.95" customHeight="1" x14ac:dyDescent="0.2">
      <c r="A31" s="385">
        <v>28</v>
      </c>
      <c r="B31" s="345"/>
      <c r="C31" s="378" t="str">
        <f>I1Ext!C31</f>
        <v/>
      </c>
      <c r="D31" s="342" t="str">
        <f>I2Ext!C30</f>
        <v/>
      </c>
      <c r="E31" s="342" t="str">
        <f>I3Ext!C31</f>
        <v/>
      </c>
      <c r="F31" s="335"/>
      <c r="G31" s="335"/>
      <c r="H31" s="333"/>
      <c r="I31" s="336" t="str">
        <f>IF(COUNT(C31:H31)&gt;0,SUMPRODUCT(NB!D104:I104,Notenbogen!C31:H31,C66:H66)/SUMPRODUCT(NB!D104:I104,Notenbogen!C66:H66),"")</f>
        <v/>
      </c>
      <c r="J31" s="343" t="str">
        <f>I1SA!C31</f>
        <v/>
      </c>
      <c r="K31" s="341" t="str">
        <f>I2SA!C31</f>
        <v/>
      </c>
      <c r="L31" s="344" t="str">
        <f>IF(COUNT(I31:K31)&gt;0,SUMPRODUCT(I31:K31,NB!J104:L104)/COUNT(I31:K31),"")</f>
        <v/>
      </c>
      <c r="M31" s="397" t="str">
        <f t="shared" si="0"/>
        <v/>
      </c>
      <c r="N31" s="346" t="str">
        <f>II1Ext!C31</f>
        <v/>
      </c>
      <c r="O31" s="342" t="str">
        <f>II2Ext!C31</f>
        <v/>
      </c>
      <c r="P31" s="342" t="str">
        <f>II3Ext!C31</f>
        <v/>
      </c>
      <c r="Q31" s="335"/>
      <c r="R31" s="335"/>
      <c r="S31" s="333"/>
      <c r="T31" s="355" t="str">
        <f>IF(COUNT(N31:S31)&gt;0,ROUNDUP(SUMPRODUCT(NB!D145:I145,Notenbogen!N31:S31,N66:S66)/SUMPRODUCT(NB!D145:I145,Notenbogen!N66:S66),2),"")</f>
        <v/>
      </c>
      <c r="U31" s="343" t="str">
        <f>II1SA!C31</f>
        <v/>
      </c>
      <c r="V31" s="341" t="str">
        <f>II2SA!C31</f>
        <v/>
      </c>
      <c r="W31" s="344" t="str">
        <f>IF(COUNT(T31:V31)&gt;0,ROUNDUP(SUMPRODUCT(T31:V31,NB!J145:L145)/COUNT(T31:V31),2),"")</f>
        <v/>
      </c>
      <c r="X31" s="400" t="str">
        <f t="shared" si="1"/>
        <v/>
      </c>
      <c r="Y31" s="413" t="str">
        <f t="shared" si="2"/>
        <v/>
      </c>
      <c r="Z31" s="375"/>
      <c r="AA31" s="407"/>
      <c r="AB31" s="405" t="str">
        <f>IF(COUNT(C31:H31)=0,"",IF(Z31&lt;&gt;"", ROUND((2*NB!D30+Z31)/3, 2),ROUND(NB!D30, 0)))</f>
        <v/>
      </c>
      <c r="AC31" s="336" t="str">
        <f>IF(COUNT(J31:K31)+COUNT(U31:V31)&gt;0,ROUNDUP((SUMPRODUCT(NB!K104:L104,Notenbogen!J31:K31)+SUMPRODUCT(NB!K145:L145,Notenbogen!U31:V31))/(COUNT(J31:K31)+COUNT(U31:V31)),2),"")</f>
        <v/>
      </c>
      <c r="AD31" s="409" t="s">
        <v>152</v>
      </c>
      <c r="AE31" s="415"/>
      <c r="AF31" s="416"/>
      <c r="AG31" s="347"/>
    </row>
    <row r="32" spans="1:33" s="340" customFormat="1" ht="24.95" customHeight="1" x14ac:dyDescent="0.2">
      <c r="A32" s="385">
        <v>29</v>
      </c>
      <c r="B32" s="345"/>
      <c r="C32" s="378" t="str">
        <f>I1Ext!C32</f>
        <v/>
      </c>
      <c r="D32" s="342" t="str">
        <f>I2Ext!C32</f>
        <v/>
      </c>
      <c r="E32" s="342" t="str">
        <f>I3Ext!C32</f>
        <v/>
      </c>
      <c r="F32" s="335"/>
      <c r="G32" s="335"/>
      <c r="H32" s="333"/>
      <c r="I32" s="336" t="str">
        <f>IF(COUNT(C32:H32)&gt;0,SUMPRODUCT(NB!D105:I105,Notenbogen!C32:H32,C67:H67)/SUMPRODUCT(NB!D105:I105,Notenbogen!C67:H67),"")</f>
        <v/>
      </c>
      <c r="J32" s="343" t="str">
        <f>I1SA!C32</f>
        <v/>
      </c>
      <c r="K32" s="341" t="str">
        <f>I2SA!C32</f>
        <v/>
      </c>
      <c r="L32" s="344" t="str">
        <f>IF(COUNT(I32:K32)&gt;0,SUMPRODUCT(I32:K32,NB!J105:L105)/COUNT(I32:K32),"")</f>
        <v/>
      </c>
      <c r="M32" s="397" t="str">
        <f t="shared" si="0"/>
        <v/>
      </c>
      <c r="N32" s="346" t="str">
        <f>II1Ext!C32</f>
        <v/>
      </c>
      <c r="O32" s="342" t="str">
        <f>II2Ext!C32</f>
        <v/>
      </c>
      <c r="P32" s="342" t="str">
        <f>II3Ext!C32</f>
        <v/>
      </c>
      <c r="Q32" s="335"/>
      <c r="R32" s="335"/>
      <c r="S32" s="333"/>
      <c r="T32" s="355" t="str">
        <f>IF(COUNT(N32:S32)&gt;0,ROUNDUP(SUMPRODUCT(NB!D146:I146,Notenbogen!N32:S32,N67:S67)/SUMPRODUCT(NB!D146:I146,Notenbogen!N67:S67),2),"")</f>
        <v/>
      </c>
      <c r="U32" s="343" t="str">
        <f>II1SA!C32</f>
        <v/>
      </c>
      <c r="V32" s="341" t="str">
        <f>II2SA!C32</f>
        <v/>
      </c>
      <c r="W32" s="344" t="str">
        <f>IF(COUNT(T32:V32)&gt;0,ROUNDUP(SUMPRODUCT(T32:V32,NB!J146:L146)/COUNT(T32:V32),2),"")</f>
        <v/>
      </c>
      <c r="X32" s="400" t="str">
        <f t="shared" si="1"/>
        <v/>
      </c>
      <c r="Y32" s="413" t="str">
        <f t="shared" si="2"/>
        <v/>
      </c>
      <c r="Z32" s="375"/>
      <c r="AA32" s="407"/>
      <c r="AB32" s="405" t="str">
        <f>IF(COUNT(C32:H32)=0,"",IF(Z32&lt;&gt;"", ROUND((2*NB!D31+Z32)/3, 2),ROUND(NB!D31, 0)))</f>
        <v/>
      </c>
      <c r="AC32" s="336" t="str">
        <f>IF(COUNT(J32:K32)+COUNT(U32:V32)&gt;0,ROUNDUP((SUMPRODUCT(NB!K105:L105,Notenbogen!J32:K32)+SUMPRODUCT(NB!K146:L146,Notenbogen!U32:V32))/(COUNT(J32:K32)+COUNT(U32:V32)),2),"")</f>
        <v/>
      </c>
      <c r="AD32" s="409" t="s">
        <v>152</v>
      </c>
      <c r="AE32" s="415"/>
      <c r="AF32" s="416"/>
      <c r="AG32" s="347"/>
    </row>
    <row r="33" spans="1:33" s="340" customFormat="1" ht="24.95" customHeight="1" x14ac:dyDescent="0.2">
      <c r="A33" s="385">
        <v>30</v>
      </c>
      <c r="B33" s="345"/>
      <c r="C33" s="378" t="str">
        <f>I1Ext!C33</f>
        <v/>
      </c>
      <c r="D33" s="342" t="str">
        <f>I2Ext!C32</f>
        <v/>
      </c>
      <c r="E33" s="342" t="str">
        <f>I3Ext!C33</f>
        <v/>
      </c>
      <c r="F33" s="335"/>
      <c r="G33" s="335"/>
      <c r="H33" s="333"/>
      <c r="I33" s="336" t="str">
        <f>IF(COUNT(C33:H33)&gt;0,SUMPRODUCT(NB!D106:I106,Notenbogen!C33:H33,C68:H68)/SUMPRODUCT(NB!D106:I106,Notenbogen!C68:H68),"")</f>
        <v/>
      </c>
      <c r="J33" s="343" t="str">
        <f>I1SA!C33</f>
        <v/>
      </c>
      <c r="K33" s="341" t="str">
        <f>I2SA!C33</f>
        <v/>
      </c>
      <c r="L33" s="344" t="str">
        <f>IF(COUNT(I33:K33)&gt;0,SUMPRODUCT(I33:K33,NB!J106:L106)/COUNT(I33:K33),"")</f>
        <v/>
      </c>
      <c r="M33" s="397" t="str">
        <f t="shared" si="0"/>
        <v/>
      </c>
      <c r="N33" s="346" t="str">
        <f>II1Ext!C33</f>
        <v/>
      </c>
      <c r="O33" s="342" t="str">
        <f>II2Ext!C33</f>
        <v/>
      </c>
      <c r="P33" s="342" t="str">
        <f>II3Ext!C33</f>
        <v/>
      </c>
      <c r="Q33" s="335"/>
      <c r="R33" s="335"/>
      <c r="S33" s="333"/>
      <c r="T33" s="355" t="str">
        <f>IF(COUNT(N33:S33)&gt;0,ROUNDUP(SUMPRODUCT(NB!D147:I147,Notenbogen!N33:S33,N68:S68)/SUMPRODUCT(NB!D147:I147,Notenbogen!N68:S68),2),"")</f>
        <v/>
      </c>
      <c r="U33" s="343" t="str">
        <f>II1SA!C33</f>
        <v/>
      </c>
      <c r="V33" s="341" t="str">
        <f>II2SA!C33</f>
        <v/>
      </c>
      <c r="W33" s="344" t="str">
        <f>IF(COUNT(T33:V33)&gt;0,ROUNDUP(SUMPRODUCT(T33:V33,NB!J147:L147)/COUNT(T33:V33),2),"")</f>
        <v/>
      </c>
      <c r="X33" s="400" t="str">
        <f t="shared" si="1"/>
        <v/>
      </c>
      <c r="Y33" s="413" t="str">
        <f t="shared" si="2"/>
        <v/>
      </c>
      <c r="Z33" s="375"/>
      <c r="AA33" s="407"/>
      <c r="AB33" s="405" t="str">
        <f>IF(COUNT(C33:H33)=0,"",IF(Z33&lt;&gt;"", ROUND((2*NB!D32+Z33)/3, 2),ROUND(NB!D32, 0)))</f>
        <v/>
      </c>
      <c r="AC33" s="336" t="str">
        <f>IF(COUNT(J33:K33)+COUNT(U33:V33)&gt;0,ROUNDUP((SUMPRODUCT(NB!K106:L106,Notenbogen!J33:K33)+SUMPRODUCT(NB!K147:L147,Notenbogen!U33:V33))/(COUNT(J33:K33)+COUNT(U33:V33)),2),"")</f>
        <v/>
      </c>
      <c r="AD33" s="409" t="s">
        <v>152</v>
      </c>
      <c r="AE33" s="415"/>
      <c r="AF33" s="416"/>
      <c r="AG33" s="347"/>
    </row>
    <row r="34" spans="1:33" s="340" customFormat="1" ht="24.95" customHeight="1" x14ac:dyDescent="0.2">
      <c r="A34" s="385">
        <v>31</v>
      </c>
      <c r="B34" s="345"/>
      <c r="C34" s="378" t="str">
        <f>I1Ext!C34</f>
        <v/>
      </c>
      <c r="D34" s="342" t="str">
        <f>I2Ext!C34</f>
        <v/>
      </c>
      <c r="E34" s="342" t="str">
        <f>I3Ext!C34</f>
        <v/>
      </c>
      <c r="F34" s="335"/>
      <c r="G34" s="335"/>
      <c r="H34" s="333"/>
      <c r="I34" s="336" t="str">
        <f>IF(COUNT(C34:H34)&gt;0,SUMPRODUCT(NB!D107:I107,Notenbogen!C34:H34,C69:H69)/SUMPRODUCT(NB!D107:I107,Notenbogen!C69:H69),"")</f>
        <v/>
      </c>
      <c r="J34" s="343" t="str">
        <f>I1SA!C34</f>
        <v/>
      </c>
      <c r="K34" s="341" t="str">
        <f>I2SA!C34</f>
        <v/>
      </c>
      <c r="L34" s="344" t="str">
        <f>IF(COUNT(I34:K34)&gt;0,SUMPRODUCT(I34:K34,NB!J107:L107)/COUNT(I34:K34),"")</f>
        <v/>
      </c>
      <c r="M34" s="397" t="str">
        <f t="shared" si="0"/>
        <v/>
      </c>
      <c r="N34" s="346" t="str">
        <f>II1Ext!C34</f>
        <v/>
      </c>
      <c r="O34" s="342" t="str">
        <f>II2Ext!C34</f>
        <v/>
      </c>
      <c r="P34" s="342" t="str">
        <f>II3Ext!C34</f>
        <v/>
      </c>
      <c r="Q34" s="335"/>
      <c r="R34" s="335"/>
      <c r="S34" s="333"/>
      <c r="T34" s="355" t="str">
        <f>IF(COUNT(N34:S34)&gt;0,ROUNDUP(SUMPRODUCT(NB!D148:I148,Notenbogen!N34:S34,N69:S69)/SUMPRODUCT(NB!D148:I148,Notenbogen!N69:S69),2),"")</f>
        <v/>
      </c>
      <c r="U34" s="343" t="str">
        <f>II1SA!C34</f>
        <v/>
      </c>
      <c r="V34" s="341" t="str">
        <f>II2SA!C34</f>
        <v/>
      </c>
      <c r="W34" s="344" t="str">
        <f>IF(COUNT(T34:V34)&gt;0,ROUNDUP(SUMPRODUCT(T34:V34,NB!J148:L148)/COUNT(T34:V34),2),"")</f>
        <v/>
      </c>
      <c r="X34" s="400" t="str">
        <f t="shared" si="1"/>
        <v/>
      </c>
      <c r="Y34" s="413" t="str">
        <f t="shared" si="2"/>
        <v/>
      </c>
      <c r="Z34" s="375"/>
      <c r="AA34" s="407"/>
      <c r="AB34" s="405" t="str">
        <f>IF(COUNT(C34:H34)=0,"",IF(Z34&lt;&gt;"", ROUND((2*NB!D33+Z34)/3, 2),ROUND(NB!D33, 0)))</f>
        <v/>
      </c>
      <c r="AC34" s="336" t="str">
        <f>IF(COUNT(J34:K34)+COUNT(U34:V34)&gt;0,ROUNDUP((SUMPRODUCT(NB!K107:L107,Notenbogen!J34:K34)+SUMPRODUCT(NB!K148:L148,Notenbogen!U34:V34))/(COUNT(J34:K34)+COUNT(U34:V34)),2),"")</f>
        <v/>
      </c>
      <c r="AD34" s="409" t="s">
        <v>152</v>
      </c>
      <c r="AE34" s="415"/>
      <c r="AF34" s="416"/>
      <c r="AG34" s="347"/>
    </row>
    <row r="35" spans="1:33" s="340" customFormat="1" ht="24.95" customHeight="1" x14ac:dyDescent="0.2">
      <c r="A35" s="385">
        <v>32</v>
      </c>
      <c r="B35" s="345"/>
      <c r="C35" s="378" t="str">
        <f>I1Ext!C35</f>
        <v/>
      </c>
      <c r="D35" s="342" t="str">
        <f>I2Ext!C34</f>
        <v/>
      </c>
      <c r="E35" s="342" t="str">
        <f>I3Ext!C35</f>
        <v/>
      </c>
      <c r="F35" s="335"/>
      <c r="G35" s="335"/>
      <c r="H35" s="333"/>
      <c r="I35" s="336" t="str">
        <f>IF(COUNT(C35:H35)&gt;0,SUMPRODUCT(NB!D108:I108,Notenbogen!C35:H35,C70:H70)/SUMPRODUCT(NB!D108:I108,Notenbogen!C70:H70),"")</f>
        <v/>
      </c>
      <c r="J35" s="343" t="str">
        <f>I1SA!C35</f>
        <v/>
      </c>
      <c r="K35" s="341" t="str">
        <f>I2SA!C35</f>
        <v/>
      </c>
      <c r="L35" s="344" t="str">
        <f>IF(COUNT(I35:K35)&gt;0,SUMPRODUCT(I35:K35,NB!J108:L108)/COUNT(I35:K35),"")</f>
        <v/>
      </c>
      <c r="M35" s="397" t="str">
        <f t="shared" si="0"/>
        <v/>
      </c>
      <c r="N35" s="346" t="str">
        <f>II1Ext!C35</f>
        <v/>
      </c>
      <c r="O35" s="342" t="str">
        <f>II2Ext!C35</f>
        <v/>
      </c>
      <c r="P35" s="342" t="str">
        <f>II3Ext!C35</f>
        <v/>
      </c>
      <c r="Q35" s="335"/>
      <c r="R35" s="335"/>
      <c r="S35" s="333"/>
      <c r="T35" s="355" t="str">
        <f>IF(COUNT(N35:S35)&gt;0,ROUNDUP(SUMPRODUCT(NB!D149:I149,Notenbogen!N35:S35,N70:S70)/SUMPRODUCT(NB!D149:I149,Notenbogen!N70:S70),2),"")</f>
        <v/>
      </c>
      <c r="U35" s="343" t="str">
        <f>II1SA!C35</f>
        <v/>
      </c>
      <c r="V35" s="341" t="str">
        <f>II2SA!C35</f>
        <v/>
      </c>
      <c r="W35" s="344" t="str">
        <f>IF(COUNT(T35:V35)&gt;0,ROUNDUP(SUMPRODUCT(T35:V35,NB!J149:L149)/COUNT(T35:V35),2),"")</f>
        <v/>
      </c>
      <c r="X35" s="400" t="str">
        <f t="shared" si="1"/>
        <v/>
      </c>
      <c r="Y35" s="413" t="str">
        <f t="shared" si="2"/>
        <v/>
      </c>
      <c r="Z35" s="375"/>
      <c r="AA35" s="407"/>
      <c r="AB35" s="405" t="str">
        <f>IF(COUNT(C35:H35)=0,"",IF(Z35&lt;&gt;"", ROUND((2*NB!D34+Z35)/3, 2),ROUND(NB!D34, 0)))</f>
        <v/>
      </c>
      <c r="AC35" s="336" t="str">
        <f>IF(COUNT(J35:K35)+COUNT(U35:V35)&gt;0,ROUNDUP((SUMPRODUCT(NB!K108:L108,Notenbogen!J35:K35)+SUMPRODUCT(NB!K149:L149,Notenbogen!U35:V35))/(COUNT(J35:K35)+COUNT(U35:V35)),2),"")</f>
        <v/>
      </c>
      <c r="AD35" s="409" t="s">
        <v>152</v>
      </c>
      <c r="AE35" s="415"/>
      <c r="AF35" s="416"/>
      <c r="AG35" s="347"/>
    </row>
    <row r="36" spans="1:33" s="340" customFormat="1" ht="24.95" customHeight="1" x14ac:dyDescent="0.2">
      <c r="A36" s="385">
        <v>33</v>
      </c>
      <c r="B36" s="345"/>
      <c r="C36" s="378" t="str">
        <f>I1Ext!C36</f>
        <v/>
      </c>
      <c r="D36" s="342" t="str">
        <f>I2Ext!C36</f>
        <v/>
      </c>
      <c r="E36" s="342" t="str">
        <f>I3Ext!C36</f>
        <v/>
      </c>
      <c r="F36" s="335"/>
      <c r="G36" s="335"/>
      <c r="H36" s="333"/>
      <c r="I36" s="336" t="str">
        <f>IF(COUNT(C36:H36)&gt;0,SUMPRODUCT(NB!D109:I109,Notenbogen!C36:H36,C71:H71)/SUMPRODUCT(NB!D109:I109,Notenbogen!C71:H71),"")</f>
        <v/>
      </c>
      <c r="J36" s="343" t="str">
        <f>I1SA!C36</f>
        <v/>
      </c>
      <c r="K36" s="341" t="str">
        <f>I2SA!C36</f>
        <v/>
      </c>
      <c r="L36" s="344" t="str">
        <f>IF(COUNT(I36:K36)&gt;0,SUMPRODUCT(I36:K36,NB!J109:L109)/COUNT(I36:K36),"")</f>
        <v/>
      </c>
      <c r="M36" s="397" t="str">
        <f t="shared" si="0"/>
        <v/>
      </c>
      <c r="N36" s="346" t="str">
        <f>II1Ext!C36</f>
        <v/>
      </c>
      <c r="O36" s="342" t="str">
        <f>II2Ext!C36</f>
        <v/>
      </c>
      <c r="P36" s="342" t="str">
        <f>II3Ext!C36</f>
        <v/>
      </c>
      <c r="Q36" s="335"/>
      <c r="R36" s="335"/>
      <c r="S36" s="333"/>
      <c r="T36" s="355" t="str">
        <f>IF(COUNT(N36:S36)&gt;0,ROUNDUP(SUMPRODUCT(NB!D150:I150,Notenbogen!N36:S36,N71:S71)/SUMPRODUCT(NB!D150:I150,Notenbogen!N71:S71),2),"")</f>
        <v/>
      </c>
      <c r="U36" s="343" t="str">
        <f>II1SA!C36</f>
        <v/>
      </c>
      <c r="V36" s="341" t="str">
        <f>II2SA!C36</f>
        <v/>
      </c>
      <c r="W36" s="344" t="str">
        <f>IF(COUNT(T36:V36)&gt;0,ROUNDUP(SUMPRODUCT(T36:V36,NB!J150:L150)/COUNT(T36:V36),2),"")</f>
        <v/>
      </c>
      <c r="X36" s="400" t="str">
        <f t="shared" si="1"/>
        <v/>
      </c>
      <c r="Y36" s="413" t="str">
        <f t="shared" si="2"/>
        <v/>
      </c>
      <c r="Z36" s="375"/>
      <c r="AA36" s="407"/>
      <c r="AB36" s="405" t="str">
        <f>IF(COUNT(C36:H36)=0,"",IF(Z36&lt;&gt;"", ROUND((2*NB!D35+Z36)/3, 2),ROUND(NB!D35, 0)))</f>
        <v/>
      </c>
      <c r="AC36" s="336" t="str">
        <f>IF(COUNT(J36:K36)+COUNT(U36:V36)&gt;0,ROUNDUP((SUMPRODUCT(NB!K109:L109,Notenbogen!J36:K36)+SUMPRODUCT(NB!K150:L150,Notenbogen!U36:V36))/(COUNT(J36:K36)+COUNT(U36:V36)),2),"")</f>
        <v/>
      </c>
      <c r="AD36" s="409" t="s">
        <v>152</v>
      </c>
      <c r="AE36" s="415"/>
      <c r="AF36" s="416"/>
      <c r="AG36" s="347"/>
    </row>
    <row r="37" spans="1:33" s="340" customFormat="1" ht="24.95" customHeight="1" x14ac:dyDescent="0.2">
      <c r="A37" s="385">
        <v>34</v>
      </c>
      <c r="B37" s="345"/>
      <c r="C37" s="378" t="str">
        <f>I1Ext!C37</f>
        <v/>
      </c>
      <c r="D37" s="342" t="str">
        <f>I2Ext!C36</f>
        <v/>
      </c>
      <c r="E37" s="342" t="str">
        <f>I3Ext!C37</f>
        <v/>
      </c>
      <c r="F37" s="335"/>
      <c r="G37" s="335"/>
      <c r="H37" s="333"/>
      <c r="I37" s="336" t="str">
        <f>IF(COUNT(C37:H37)&gt;0,SUMPRODUCT(NB!D110:I110,Notenbogen!C37:H37,C72:H72)/SUMPRODUCT(NB!D110:I110,Notenbogen!C72:H72),"")</f>
        <v/>
      </c>
      <c r="J37" s="343" t="str">
        <f>I1SA!C37</f>
        <v/>
      </c>
      <c r="K37" s="341" t="str">
        <f>I2SA!C37</f>
        <v/>
      </c>
      <c r="L37" s="344" t="str">
        <f>IF(COUNT(I37:K37)&gt;0,SUMPRODUCT(I37:K37,NB!J110:L110)/COUNT(I37:K37),"")</f>
        <v/>
      </c>
      <c r="M37" s="397" t="str">
        <f t="shared" si="0"/>
        <v/>
      </c>
      <c r="N37" s="346" t="str">
        <f>II1Ext!C37</f>
        <v/>
      </c>
      <c r="O37" s="342" t="str">
        <f>II2Ext!C37</f>
        <v/>
      </c>
      <c r="P37" s="342" t="str">
        <f>II3Ext!C37</f>
        <v/>
      </c>
      <c r="Q37" s="335"/>
      <c r="R37" s="335"/>
      <c r="S37" s="333"/>
      <c r="T37" s="355" t="str">
        <f>IF(COUNT(N37:S37)&gt;0,ROUNDUP(SUMPRODUCT(NB!D151:I151,Notenbogen!N37:S37,N72:S72)/SUMPRODUCT(NB!D151:I151,Notenbogen!N72:S72),2),"")</f>
        <v/>
      </c>
      <c r="U37" s="343" t="str">
        <f>II1SA!C37</f>
        <v/>
      </c>
      <c r="V37" s="341" t="str">
        <f>II2SA!C37</f>
        <v/>
      </c>
      <c r="W37" s="344" t="str">
        <f>IF(COUNT(T37:V37)&gt;0,ROUNDUP(SUMPRODUCT(T37:V37,NB!J151:L151)/COUNT(T37:V37),2),"")</f>
        <v/>
      </c>
      <c r="X37" s="400" t="str">
        <f t="shared" si="1"/>
        <v/>
      </c>
      <c r="Y37" s="413" t="str">
        <f t="shared" si="2"/>
        <v/>
      </c>
      <c r="Z37" s="375"/>
      <c r="AA37" s="407"/>
      <c r="AB37" s="405" t="str">
        <f>IF(COUNT(C37:H37)=0,"",IF(Z37&lt;&gt;"", ROUND((2*NB!D36+Z37)/3, 2),ROUND(NB!D36, 0)))</f>
        <v/>
      </c>
      <c r="AC37" s="336" t="str">
        <f>IF(COUNT(J37:K37)+COUNT(U37:V37)&gt;0,ROUNDUP((SUMPRODUCT(NB!K110:L110,Notenbogen!J37:K37)+SUMPRODUCT(NB!K151:L151,Notenbogen!U37:V37))/(COUNT(J37:K37)+COUNT(U37:V37)),2),"")</f>
        <v/>
      </c>
      <c r="AD37" s="409" t="s">
        <v>152</v>
      </c>
      <c r="AE37" s="415"/>
      <c r="AF37" s="416"/>
      <c r="AG37" s="347"/>
    </row>
    <row r="38" spans="1:33" s="340" customFormat="1" ht="24.95" customHeight="1" thickBot="1" x14ac:dyDescent="0.25">
      <c r="A38" s="386">
        <v>35</v>
      </c>
      <c r="B38" s="350"/>
      <c r="C38" s="379" t="str">
        <f>I1Ext!C38</f>
        <v/>
      </c>
      <c r="D38" s="368" t="str">
        <f>I2Ext!C38</f>
        <v/>
      </c>
      <c r="E38" s="368" t="str">
        <f>I3Ext!C38</f>
        <v/>
      </c>
      <c r="F38" s="369"/>
      <c r="G38" s="369"/>
      <c r="H38" s="370"/>
      <c r="I38" s="371" t="str">
        <f>IF(COUNT(C38:H38)&gt;0,SUMPRODUCT(NB!D111:I111,Notenbogen!C38:H38,C73:H73)/SUMPRODUCT(NB!D111:I111,Notenbogen!C73:H73),"")</f>
        <v/>
      </c>
      <c r="J38" s="372" t="str">
        <f>I1SA!C38</f>
        <v/>
      </c>
      <c r="K38" s="373" t="str">
        <f>I2SA!C38</f>
        <v/>
      </c>
      <c r="L38" s="349" t="str">
        <f>IF(COUNT(I38:K38)&gt;0,SUMPRODUCT(I38:K38,NB!J111:L111)/COUNT(I38:K38),"")</f>
        <v/>
      </c>
      <c r="M38" s="398" t="str">
        <f t="shared" si="0"/>
        <v/>
      </c>
      <c r="N38" s="374" t="str">
        <f>II1Ext!C38</f>
        <v/>
      </c>
      <c r="O38" s="368" t="str">
        <f>II2Ext!C38</f>
        <v/>
      </c>
      <c r="P38" s="368" t="str">
        <f>II3Ext!C38</f>
        <v/>
      </c>
      <c r="Q38" s="369"/>
      <c r="R38" s="369"/>
      <c r="S38" s="370"/>
      <c r="T38" s="371" t="str">
        <f>IF(COUNT(N38:S38)&gt;0,ROUNDUP(SUMPRODUCT(NB!D152:I152,Notenbogen!N38:S38,N73:S73)/SUMPRODUCT(NB!D152:I152,Notenbogen!N73:S73),2),"")</f>
        <v/>
      </c>
      <c r="U38" s="372" t="str">
        <f>II1SA!C38</f>
        <v/>
      </c>
      <c r="V38" s="373" t="str">
        <f>II2SA!C38</f>
        <v/>
      </c>
      <c r="W38" s="349" t="str">
        <f>IF(COUNT(T38:V38)&gt;0,ROUNDUP(SUMPRODUCT(T38:V38,NB!J152:L152)/COUNT(T38:V38),2),"")</f>
        <v/>
      </c>
      <c r="X38" s="401" t="str">
        <f t="shared" si="1"/>
        <v/>
      </c>
      <c r="Y38" s="414" t="str">
        <f t="shared" si="2"/>
        <v/>
      </c>
      <c r="Z38" s="376"/>
      <c r="AA38" s="407"/>
      <c r="AB38" s="405" t="str">
        <f>IF(COUNT(C38:H38)=0,"",IF(Z38&lt;&gt;"", ROUND((2*NB!D37+Z38)/3, 2),ROUND(NB!D37, 0)))</f>
        <v/>
      </c>
      <c r="AC38" s="411" t="str">
        <f>IF(COUNT(J38:K38)+COUNT(U38:V38)&gt;0,ROUNDUP((SUMPRODUCT(NB!K111:L111,Notenbogen!J38:K38)+SUMPRODUCT(NB!K152:L152,Notenbogen!U38:V38))/(COUNT(J38:K38)+COUNT(U38:V38)),2),"")</f>
        <v/>
      </c>
      <c r="AD38" s="410" t="s">
        <v>152</v>
      </c>
      <c r="AE38" s="417"/>
      <c r="AF38" s="418"/>
      <c r="AG38" s="347"/>
    </row>
    <row r="39" spans="1:33" ht="20.100000000000001" customHeight="1" thickBot="1" x14ac:dyDescent="0.25">
      <c r="A39" s="382"/>
      <c r="B39" s="387" t="s">
        <v>46</v>
      </c>
      <c r="C39" s="388">
        <v>1</v>
      </c>
      <c r="D39" s="388">
        <v>1</v>
      </c>
      <c r="E39" s="388">
        <v>1</v>
      </c>
      <c r="F39" s="388">
        <v>1</v>
      </c>
      <c r="G39" s="388">
        <v>1</v>
      </c>
      <c r="H39" s="388">
        <v>1</v>
      </c>
      <c r="I39" s="359"/>
      <c r="J39" s="359"/>
      <c r="K39" s="359"/>
      <c r="L39" s="359"/>
      <c r="M39" s="359"/>
      <c r="N39" s="388">
        <v>1</v>
      </c>
      <c r="O39" s="388">
        <v>1</v>
      </c>
      <c r="P39" s="388">
        <v>1</v>
      </c>
      <c r="Q39" s="388">
        <v>1</v>
      </c>
      <c r="R39" s="388">
        <v>1</v>
      </c>
      <c r="S39" s="388">
        <v>1</v>
      </c>
      <c r="T39" s="363"/>
      <c r="U39" s="359"/>
      <c r="V39" s="359"/>
      <c r="W39" s="359"/>
      <c r="X39" s="359"/>
      <c r="Y39" s="359"/>
      <c r="Z39" s="389"/>
      <c r="AA39" s="339"/>
      <c r="AB39" s="351"/>
      <c r="AC39" s="381"/>
      <c r="AD39" s="351"/>
      <c r="AE39" s="351"/>
      <c r="AF39" s="351"/>
    </row>
    <row r="40" spans="1:33" x14ac:dyDescent="0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</row>
  </sheetData>
  <sheetProtection password="CC71" sheet="1" objects="1" scenarios="1"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332A2DC-744A-4DA7-9EE5-58A01BF95215}">
            <xm:f>N(diNo!$D4)=1</xm:f>
            <x14:dxf>
              <fill>
                <patternFill>
                  <bgColor rgb="FFFFFF99"/>
                </patternFill>
              </fill>
            </x14:dxf>
          </x14:cfRule>
          <xm:sqref>AE4:AF38 AB4:AC38</xm:sqref>
        </x14:conditionalFormatting>
        <x14:conditionalFormatting xmlns:xm="http://schemas.microsoft.com/office/excel/2006/main">
          <x14:cfRule type="expression" priority="1" id="{A80605D6-0481-4D7C-91E0-B3458F523579}">
            <xm:f>N(diNo!$D4)=1</xm:f>
            <x14:dxf>
              <fill>
                <patternFill patternType="none">
                  <bgColor auto="1"/>
                </patternFill>
              </fill>
            </x14:dxf>
          </x14:cfRule>
          <xm:sqref>X4:Y38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NB!$A$3:$A$5</xm:f>
          </x14:formula1>
          <xm:sqref>AD4:AD38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tr">
        <f>IF(LEN(I1Ext!$B$1)=22,"II - 1. Extemporale aus","II - 1. Kurzarbeit aus")</f>
        <v>II - 1. Extemporale aus</v>
      </c>
      <c r="C1" s="189" t="str">
        <f>IF(Notenbogen!E1="","",Notenbogen!E1)</f>
        <v/>
      </c>
      <c r="D1" s="190"/>
      <c r="E1" s="160"/>
      <c r="F1" s="162" t="s">
        <v>12</v>
      </c>
      <c r="G1" s="473"/>
      <c r="H1" s="474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IF(D4="","",IF($H$3="BE",LOOKUP(IF(E4="",D4+0.01,D4*$H$30/E4+0.5),NB!$X$540:$X$555,NB!$Y$540:$Y$555),D4))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IF(D5="","",IF($H$3="BE",LOOKUP(IF(E5="",D5+0.01,D5*$H$30/E5+0.5),NB!$X$540:$X$555,NB!$Y$540:$Y$555),D5))</f>
        <v/>
      </c>
      <c r="D5" s="6"/>
      <c r="E5" s="111"/>
      <c r="F5" s="455" t="s">
        <v>11</v>
      </c>
      <c r="G5" s="456"/>
      <c r="H5" s="456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IF(D6="","",IF($H$3="BE",LOOKUP(IF(E6="",D6+0.01,D6*$H$30/E6+0.5),NB!$X$540:$X$555,NB!$Y$540:$Y$555),D6))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IF(D7="","",IF($H$3="BE",LOOKUP(IF(E7="",D7+0.01,D7*$H$30/E7+0.5),NB!$X$540:$X$555,NB!$Y$540:$Y$555),D7))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IF(D8="","",IF($H$3="BE",LOOKUP(IF(E8="",D8+0.01,D8*$H$30/E8+0.5),NB!$X$540:$X$555,NB!$Y$540:$Y$555),D8))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IF(D9="","",IF($H$3="BE",LOOKUP(IF(E9="",D9+0.01,D9*$H$30/E9+0.5),NB!$X$540:$X$555,NB!$Y$540:$Y$555),D9))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IF(D10="","",IF($H$3="BE",LOOKUP(IF(E10="",D10+0.01,D10*$H$30/E10+0.5),NB!$X$540:$X$555,NB!$Y$540:$Y$555),D10))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IF(D11="","",IF($H$3="BE",LOOKUP(IF(E11="",D11+0.01,D11*$H$30/E11+0.5),NB!$X$540:$X$555,NB!$Y$540:$Y$555),D11))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IF(D12="","",IF($H$3="BE",LOOKUP(IF(E12="",D12+0.01,D12*$H$30/E12+0.5),NB!$X$540:$X$555,NB!$Y$540:$Y$555),D12))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IF(D14="","",IF($H$3="BE",LOOKUP(IF(E14="",D14+0.01,D14*$H$30/E14+0.5),NB!$X$540:$X$555,NB!$Y$540:$Y$555),D14))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IF(D18="","",IF($H$3="BE",LOOKUP(IF(E18="",D18+0.01,D18*$H$30/E18+0.5),NB!$X$540:$X$555,NB!$Y$540:$Y$555),D18))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IF(D19="","",IF($H$3="BE",LOOKUP(IF(E19="",D19+0.01,D19*$H$30/E19+0.5),NB!$X$540:$X$555,NB!$Y$540:$Y$555),D19))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IF(D20="","",IF($H$3="BE",LOOKUP(IF(E20="",D20+0.01,D20*$H$30/E20+0.5),NB!$X$540:$X$555,NB!$Y$540:$Y$555),D20))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IF(D21="","",IF($H$3="BE",LOOKUP(IF(E21="",D21+0.01,D21*$H$30/E21+0.5),NB!$X$540:$X$555,NB!$Y$540:$Y$555),D21))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IF(D22="","",IF($H$3="BE",LOOKUP(IF(E22="",D22+0.01,D22*$H$30/E22+0.5),NB!$X$540:$X$555,NB!$Y$540:$Y$555),D22))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IF(D23="","",IF($H$3="BE",LOOKUP(IF(E23="",D23+0.01,D23*$H$30/E23+0.5),NB!$X$540:$X$555,NB!$Y$540:$Y$555),D23))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IF(D24="","",IF($H$3="BE",LOOKUP(IF(E24="",D24+0.01,D24*$H$30/E24+0.5),NB!$X$540:$X$555,NB!$Y$540:$Y$555),D24))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IF(D25="","",IF($H$3="BE",LOOKUP(IF(E25="",D25+0.01,D25*$H$30/E25+0.5),NB!$X$540:$X$555,NB!$Y$540:$Y$555),D25))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IF(D26="","",IF($H$3="BE",LOOKUP(IF(E26="",D26+0.01,D26*$H$30/E26+0.5),NB!$X$540:$X$555,NB!$Y$540:$Y$555),D26))</f>
        <v/>
      </c>
      <c r="D26" s="6"/>
      <c r="E26" s="111"/>
      <c r="F26" s="180" t="s">
        <v>14</v>
      </c>
      <c r="G26" s="10">
        <f>+G27-G25</f>
        <v>35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IF(D27="","",IF($H$3="BE",LOOKUP(IF(E27="",D27+0.01,D27*$H$30/E27+0.5),NB!$X$540:$X$555,NB!$Y$540:$Y$555),D27))</f>
        <v/>
      </c>
      <c r="D27" s="6"/>
      <c r="E27" s="111"/>
      <c r="F27" s="180" t="s">
        <v>15</v>
      </c>
      <c r="G27" s="10">
        <f>35-COUNTIF(J4:J38,", ")</f>
        <v>35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IF(D28="","",IF($H$3="BE",LOOKUP(IF(E28="",D28+0.01,D28*$H$30/E28+0.5),NB!$X$540:$X$555,NB!$Y$540:$Y$555),D28))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IF(D29="","",IF($H$3="BE",LOOKUP(IF(E29="",D29+0.01,D29*$H$30/E29+0.5),NB!$X$540:$X$555,NB!$Y$540:$Y$555),D29))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IF(D30="","",IF($H$3="BE",LOOKUP(IF(E30="",D30+0.01,D30*$H$30/E30+0.5),NB!$X$540:$X$555,NB!$Y$540:$Y$555),D30))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IF(D31="","",IF($H$3="BE",LOOKUP(IF(E31="",D31+0.01,D31*$H$30/E31+0.5),NB!$X$540:$X$555,NB!$Y$540:$Y$555),D31))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IF(D32="","",IF($H$3="BE",LOOKUP(IF(E32="",D32+0.01,D32*$H$30/E32+0.5),NB!$X$540:$X$555,NB!$Y$540:$Y$555),D32))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IF(D33="","",IF($H$3="BE",LOOKUP(IF(E33="",D33+0.01,D33*$H$30/E33+0.5),NB!$X$540:$X$555,NB!$Y$540:$Y$555),D33))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IF(D34="","",IF($H$3="BE",LOOKUP(IF(E34="",D34+0.01,D34*$H$30/E34+0.5),NB!$X$540:$X$555,NB!$Y$540:$Y$555),D34))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IF(D35="","",IF($H$3="BE",LOOKUP(IF(E35="",D35+0.01,D35*$H$30/E35+0.5),NB!$X$540:$X$555,NB!$Y$540:$Y$555),D35))</f>
        <v/>
      </c>
      <c r="D35" s="6"/>
      <c r="E35" s="111"/>
      <c r="F35" s="186" t="s">
        <v>23</v>
      </c>
      <c r="G35" s="184"/>
      <c r="H35" s="294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IF(D36="","",IF($H$3="BE",LOOKUP(IF(E36="",D36+0.01,D36*$H$30/E36+0.5),NB!$X$540:$X$555,NB!$Y$540:$Y$555),D36))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IF(D37="","",IF($H$3="BE",LOOKUP(IF(E37="",D37+0.01,D37*$H$30/E37+0.5),NB!$X$540:$X$555,NB!$Y$540:$Y$555),D37))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IF(D38="","",IF($H$3="BE",LOOKUP(IF(E38="",D38+0.01,D38*$H$30/E38+0.5),NB!$X$540:$X$555,NB!$Y$540:$Y$555),D38))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8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9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70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TEXT(NB!V522,"#0")&amp;"                      "&amp;TEXT(NB!Y522,"#0")&amp;"   "</f>
        <v xml:space="preserve">2                      15   </v>
      </c>
      <c r="C43" s="281">
        <f>+NB!W522</f>
        <v>40</v>
      </c>
      <c r="D43" s="264">
        <f>+NB!X522</f>
        <v>38.5</v>
      </c>
      <c r="E43" s="226" t="str">
        <f>+NB!Z522</f>
        <v xml:space="preserve"> </v>
      </c>
      <c r="F43" s="226"/>
      <c r="G43" s="229" t="str">
        <f>+NB!AA522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TEXT(NB!V523,"#0")&amp;"                      "&amp;TEXT(NB!Y523,"#0")&amp;"   "</f>
        <v xml:space="preserve">2                      14   </v>
      </c>
      <c r="C44" s="282">
        <f>+NB!W523</f>
        <v>38</v>
      </c>
      <c r="D44" s="265">
        <f>+NB!X523</f>
        <v>36.5</v>
      </c>
      <c r="E44" s="121" t="str">
        <f>+NB!Z523</f>
        <v xml:space="preserve"> </v>
      </c>
      <c r="F44" s="121"/>
      <c r="G44" s="221" t="str">
        <f>+NB!AA523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TEXT(NB!V524,"#0")&amp;"                      "&amp;TEXT(NB!Y524,"#0")&amp;"   "</f>
        <v xml:space="preserve">2                      13   </v>
      </c>
      <c r="C45" s="283">
        <f>+NB!W524</f>
        <v>36</v>
      </c>
      <c r="D45" s="266">
        <f>+NB!X524</f>
        <v>34.5</v>
      </c>
      <c r="E45" s="228" t="str">
        <f>+NB!Z524</f>
        <v xml:space="preserve"> </v>
      </c>
      <c r="F45" s="228"/>
      <c r="G45" s="230" t="str">
        <f>+NB!AA524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TEXT(NB!V525,"#0")&amp;"                      "&amp;TEXT(NB!Y525,"#0")&amp;"   "</f>
        <v xml:space="preserve">2                      12   </v>
      </c>
      <c r="C46" s="282">
        <f>+NB!W525</f>
        <v>34</v>
      </c>
      <c r="D46" s="265">
        <f>+NB!X525</f>
        <v>32.5</v>
      </c>
      <c r="E46" s="121" t="str">
        <f>+NB!Z525</f>
        <v xml:space="preserve"> </v>
      </c>
      <c r="F46" s="121"/>
      <c r="G46" s="221" t="str">
        <f>+NB!AA525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TEXT(NB!V526,"#0")&amp;"                      "&amp;TEXT(NB!Y526,"#0")&amp;"   "</f>
        <v xml:space="preserve">2                      11   </v>
      </c>
      <c r="C47" s="282">
        <f>+NB!W526</f>
        <v>32</v>
      </c>
      <c r="D47" s="265">
        <f>+NB!X526</f>
        <v>30.5</v>
      </c>
      <c r="E47" s="121" t="str">
        <f>+NB!Z526</f>
        <v xml:space="preserve"> </v>
      </c>
      <c r="F47" s="121"/>
      <c r="G47" s="221" t="str">
        <f>+NB!AA526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TEXT(NB!V527,"#0")&amp;"                      "&amp;TEXT(NB!Y527,"#0")&amp;"   "</f>
        <v xml:space="preserve">2                      10   </v>
      </c>
      <c r="C48" s="282">
        <f>+NB!W527</f>
        <v>30</v>
      </c>
      <c r="D48" s="265">
        <f>+NB!X527</f>
        <v>28.5</v>
      </c>
      <c r="E48" s="121" t="str">
        <f>+NB!Z527</f>
        <v xml:space="preserve"> </v>
      </c>
      <c r="F48" s="121"/>
      <c r="G48" s="221" t="str">
        <f>+NB!AA527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TEXT(NB!V528,"#0")&amp;"                        "&amp;TEXT(NB!Y528,"#0")&amp;"   "</f>
        <v xml:space="preserve">2                        9   </v>
      </c>
      <c r="C49" s="281">
        <f>+NB!W528</f>
        <v>28</v>
      </c>
      <c r="D49" s="264">
        <f>+NB!X528</f>
        <v>26.5</v>
      </c>
      <c r="E49" s="226" t="str">
        <f>+NB!Z528</f>
        <v xml:space="preserve"> </v>
      </c>
      <c r="F49" s="226"/>
      <c r="G49" s="229" t="str">
        <f>+NB!AA528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TEXT(NB!V529,"#0")&amp;"                        "&amp;TEXT(NB!Y529,"#0")&amp;"   "</f>
        <v xml:space="preserve">2                        8   </v>
      </c>
      <c r="C50" s="282">
        <f>+NB!W529</f>
        <v>26</v>
      </c>
      <c r="D50" s="265">
        <f>+NB!X529</f>
        <v>24.5</v>
      </c>
      <c r="E50" s="121" t="str">
        <f>+NB!Z529</f>
        <v xml:space="preserve"> </v>
      </c>
      <c r="F50" s="121"/>
      <c r="G50" s="221" t="str">
        <f>+NB!AA529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TEXT(NB!V530,"#0")&amp;"                        "&amp;TEXT(NB!Y530,"#0")&amp;"   "</f>
        <v xml:space="preserve">2                        7   </v>
      </c>
      <c r="C51" s="283">
        <f>+NB!W530</f>
        <v>24</v>
      </c>
      <c r="D51" s="266">
        <f>+NB!X530</f>
        <v>22.5</v>
      </c>
      <c r="E51" s="228" t="str">
        <f>+NB!Z530</f>
        <v xml:space="preserve"> </v>
      </c>
      <c r="F51" s="228"/>
      <c r="G51" s="230" t="str">
        <f>+NB!AA530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TEXT(NB!V531,"#0")&amp;"                        "&amp;TEXT(NB!Y531,"#0")&amp;"   "</f>
        <v xml:space="preserve">2                        6   </v>
      </c>
      <c r="C52" s="282">
        <f>+NB!W531</f>
        <v>22</v>
      </c>
      <c r="D52" s="265">
        <f>+NB!X531</f>
        <v>20.5</v>
      </c>
      <c r="E52" s="121" t="str">
        <f>+NB!Z531</f>
        <v xml:space="preserve"> </v>
      </c>
      <c r="F52" s="121"/>
      <c r="G52" s="221" t="str">
        <f>+NB!AA531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TEXT(NB!V532,"#0")&amp;"                        "&amp;TEXT(NB!Y532,"#0")&amp;"   "</f>
        <v xml:space="preserve">2                        5   </v>
      </c>
      <c r="C53" s="282">
        <f>+NB!W532</f>
        <v>20</v>
      </c>
      <c r="D53" s="265">
        <f>+NB!X532</f>
        <v>18.5</v>
      </c>
      <c r="E53" s="121" t="str">
        <f>+NB!Z532</f>
        <v xml:space="preserve"> </v>
      </c>
      <c r="F53" s="121"/>
      <c r="G53" s="221" t="str">
        <f>+NB!AA532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TEXT(NB!V533,"#0")&amp;"                        "&amp;TEXT(NB!Y533,"#0")&amp;"   "</f>
        <v xml:space="preserve">2                        4   </v>
      </c>
      <c r="C54" s="282">
        <f>+NB!W533</f>
        <v>18</v>
      </c>
      <c r="D54" s="265">
        <f>+NB!X533</f>
        <v>16.5</v>
      </c>
      <c r="E54" s="121" t="str">
        <f>+NB!Z533</f>
        <v xml:space="preserve"> </v>
      </c>
      <c r="F54" s="121"/>
      <c r="G54" s="221" t="str">
        <f>+NB!AA533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TEXT(NB!V534,"#0")&amp;"                        "&amp;TEXT(NB!Y534,"#0")&amp;"   "</f>
        <v xml:space="preserve">3                        3   </v>
      </c>
      <c r="C55" s="281">
        <f>+NB!W534</f>
        <v>16</v>
      </c>
      <c r="D55" s="264">
        <f>+NB!X534</f>
        <v>13.5</v>
      </c>
      <c r="E55" s="226" t="str">
        <f>+NB!Z534</f>
        <v xml:space="preserve"> </v>
      </c>
      <c r="F55" s="226"/>
      <c r="G55" s="229" t="str">
        <f>+NB!AA534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TEXT(NB!V535,"#0")&amp;"                        "&amp;TEXT(NB!Y535,"#0")&amp;"   "</f>
        <v xml:space="preserve">3                        2   </v>
      </c>
      <c r="C56" s="282">
        <f>+NB!W535</f>
        <v>13</v>
      </c>
      <c r="D56" s="265">
        <f>+NB!X535</f>
        <v>11</v>
      </c>
      <c r="E56" s="121" t="str">
        <f>+NB!Z535</f>
        <v xml:space="preserve"> </v>
      </c>
      <c r="F56" s="121"/>
      <c r="G56" s="221" t="str">
        <f>+NB!AA535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TEXT(NB!V536,"#0")&amp;"                        "&amp;TEXT(NB!Y536,"#0")&amp;"   "</f>
        <v xml:space="preserve">3                        1   </v>
      </c>
      <c r="C57" s="283">
        <f>+NB!W536</f>
        <v>10.5</v>
      </c>
      <c r="D57" s="266">
        <f>+NB!X536</f>
        <v>8</v>
      </c>
      <c r="E57" s="228" t="str">
        <f>+NB!Z536</f>
        <v xml:space="preserve"> </v>
      </c>
      <c r="F57" s="228"/>
      <c r="G57" s="230" t="str">
        <f>+NB!AA536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TEXT(NB!V537,"#0")&amp;"                        "&amp;TEXT(NB!Y537,"#0")&amp;"   "</f>
        <v xml:space="preserve">8                        0   </v>
      </c>
      <c r="C58" s="284">
        <f>+NB!W537</f>
        <v>7.5</v>
      </c>
      <c r="D58" s="267">
        <f>+NB!X537</f>
        <v>0</v>
      </c>
      <c r="E58" s="223" t="str">
        <f>+NB!Z537</f>
        <v xml:space="preserve"> </v>
      </c>
      <c r="F58" s="223"/>
      <c r="G58" s="224" t="str">
        <f>+NB!AA537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IF(LEN(I1Ext!$B$1)=22,"II - 2. Extemporale aus","II - 2. Kurzarbeit aus")</f>
        <v>II - 2. Extemporale aus</v>
      </c>
      <c r="C1" s="152" t="str">
        <f>IF(Notenbogen!E1="","",Notenbogen!E1)</f>
        <v/>
      </c>
      <c r="D1" s="159"/>
      <c r="E1" s="1"/>
      <c r="F1" s="149" t="s">
        <v>12</v>
      </c>
      <c r="G1" s="473"/>
      <c r="H1" s="474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IF(D5="","",IF($H$3="BE",LOOKUP(IF(E5="",D5+0.01,D5*$H$30/E5+0.5),NB!$X$640:$X$655,NB!$Y$640:$Y$655),D5))</f>
        <v/>
      </c>
      <c r="D5" s="6"/>
      <c r="E5" s="111"/>
      <c r="F5" s="471" t="s">
        <v>11</v>
      </c>
      <c r="G5" s="472"/>
      <c r="H5" s="472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IF(D22="","",IF($H$3="BE",LOOKUP(IF(E22="",D22+0.01,D22*$H$30/E22+0.5),NB!$X$640:$X$655,NB!$Y$640:$Y$655),D22))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>+G27-G25</f>
        <v>35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>35-COUNTIF(J4:J38,", ")</f>
        <v>35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IF(D31="","",IF($H$3="BE",LOOKUP(IF(E31="",D31+0.01,D31*$H$30/E31+0.5),NB!$X$640:$X$655,NB!$Y$640:$Y$655),D31))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IF(D37="","",IF($H$3="BE",LOOKUP(IF(E37="",D37+0.01,D37*$H$30/E37+0.5),NB!$X$640:$X$655,NB!$Y$640:$Y$655),D37))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8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9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70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5" t="str">
        <f>TEXT(NB!V622,"#0")&amp;"                      "&amp;TEXT(NB!Y622,"#0")&amp;"   "</f>
        <v xml:space="preserve">2                      15   </v>
      </c>
      <c r="C43" s="281">
        <f>+NB!W622</f>
        <v>40</v>
      </c>
      <c r="D43" s="264">
        <f>+NB!X622</f>
        <v>38.5</v>
      </c>
      <c r="E43" s="226" t="str">
        <f>+NB!Z622</f>
        <v xml:space="preserve"> </v>
      </c>
      <c r="F43" s="226"/>
      <c r="G43" s="229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0" t="str">
        <f>TEXT(NB!V623,"#0")&amp;"                      "&amp;TEXT(NB!Y623,"#0")&amp;"   "</f>
        <v xml:space="preserve">2                      14   </v>
      </c>
      <c r="C44" s="282">
        <f>+NB!W623</f>
        <v>38</v>
      </c>
      <c r="D44" s="265">
        <f>+NB!X623</f>
        <v>36.5</v>
      </c>
      <c r="E44" s="121" t="str">
        <f>+NB!Z623</f>
        <v xml:space="preserve"> </v>
      </c>
      <c r="F44" s="121"/>
      <c r="G44" s="221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7" t="str">
        <f>TEXT(NB!V624,"#0")&amp;"                      "&amp;TEXT(NB!Y624,"#0")&amp;"   "</f>
        <v xml:space="preserve">2                      13   </v>
      </c>
      <c r="C45" s="283">
        <f>+NB!W624</f>
        <v>36</v>
      </c>
      <c r="D45" s="266">
        <f>+NB!X624</f>
        <v>34.5</v>
      </c>
      <c r="E45" s="228" t="str">
        <f>+NB!Z624</f>
        <v xml:space="preserve"> </v>
      </c>
      <c r="F45" s="228"/>
      <c r="G45" s="230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0" t="str">
        <f>TEXT(NB!V625,"#0")&amp;"                      "&amp;TEXT(NB!Y625,"#0")&amp;"   "</f>
        <v xml:space="preserve">2                      12   </v>
      </c>
      <c r="C46" s="282">
        <f>+NB!W625</f>
        <v>34</v>
      </c>
      <c r="D46" s="265">
        <f>+NB!X625</f>
        <v>32.5</v>
      </c>
      <c r="E46" s="121" t="str">
        <f>+NB!Z625</f>
        <v xml:space="preserve"> </v>
      </c>
      <c r="F46" s="121"/>
      <c r="G46" s="221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0" t="str">
        <f>TEXT(NB!V626,"#0")&amp;"                      "&amp;TEXT(NB!Y626,"#0")&amp;"   "</f>
        <v xml:space="preserve">2                      11   </v>
      </c>
      <c r="C47" s="282">
        <f>+NB!W626</f>
        <v>32</v>
      </c>
      <c r="D47" s="265">
        <f>+NB!X626</f>
        <v>30.5</v>
      </c>
      <c r="E47" s="121" t="str">
        <f>+NB!Z626</f>
        <v xml:space="preserve"> </v>
      </c>
      <c r="F47" s="121"/>
      <c r="G47" s="221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0" t="str">
        <f>TEXT(NB!V627,"#0")&amp;"                      "&amp;TEXT(NB!Y627,"#0")&amp;"   "</f>
        <v xml:space="preserve">2                      10   </v>
      </c>
      <c r="C48" s="282">
        <f>+NB!W627</f>
        <v>30</v>
      </c>
      <c r="D48" s="265">
        <f>+NB!X627</f>
        <v>28.5</v>
      </c>
      <c r="E48" s="121" t="str">
        <f>+NB!Z627</f>
        <v xml:space="preserve"> </v>
      </c>
      <c r="F48" s="121"/>
      <c r="G48" s="221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5" t="str">
        <f>TEXT(NB!V628,"#0")&amp;"                        "&amp;TEXT(NB!Y628,"#0")&amp;"   "</f>
        <v xml:space="preserve">2                        9   </v>
      </c>
      <c r="C49" s="281">
        <f>+NB!W628</f>
        <v>28</v>
      </c>
      <c r="D49" s="264">
        <f>+NB!X628</f>
        <v>26.5</v>
      </c>
      <c r="E49" s="226" t="str">
        <f>+NB!Z628</f>
        <v xml:space="preserve"> </v>
      </c>
      <c r="F49" s="226"/>
      <c r="G49" s="229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0" t="str">
        <f>TEXT(NB!V629,"#0")&amp;"                        "&amp;TEXT(NB!Y629,"#0")&amp;"   "</f>
        <v xml:space="preserve">2                        8   </v>
      </c>
      <c r="C50" s="282">
        <f>+NB!W629</f>
        <v>26</v>
      </c>
      <c r="D50" s="265">
        <f>+NB!X629</f>
        <v>24.5</v>
      </c>
      <c r="E50" s="121" t="str">
        <f>+NB!Z629</f>
        <v xml:space="preserve"> </v>
      </c>
      <c r="F50" s="121"/>
      <c r="G50" s="221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7" t="str">
        <f>TEXT(NB!V630,"#0")&amp;"                        "&amp;TEXT(NB!Y630,"#0")&amp;"   "</f>
        <v xml:space="preserve">2                        7   </v>
      </c>
      <c r="C51" s="283">
        <f>+NB!W630</f>
        <v>24</v>
      </c>
      <c r="D51" s="266">
        <f>+NB!X630</f>
        <v>22.5</v>
      </c>
      <c r="E51" s="228" t="str">
        <f>+NB!Z630</f>
        <v xml:space="preserve"> </v>
      </c>
      <c r="F51" s="228"/>
      <c r="G51" s="230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0" t="str">
        <f>TEXT(NB!V631,"#0")&amp;"                        "&amp;TEXT(NB!Y631,"#0")&amp;"   "</f>
        <v xml:space="preserve">2                        6   </v>
      </c>
      <c r="C52" s="282">
        <f>+NB!W631</f>
        <v>22</v>
      </c>
      <c r="D52" s="265">
        <f>+NB!X631</f>
        <v>20.5</v>
      </c>
      <c r="E52" s="121" t="str">
        <f>+NB!Z631</f>
        <v xml:space="preserve"> </v>
      </c>
      <c r="F52" s="121"/>
      <c r="G52" s="221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0" t="str">
        <f>TEXT(NB!V632,"#0")&amp;"                        "&amp;TEXT(NB!Y632,"#0")&amp;"   "</f>
        <v xml:space="preserve">2                        5   </v>
      </c>
      <c r="C53" s="282">
        <f>+NB!W632</f>
        <v>20</v>
      </c>
      <c r="D53" s="265">
        <f>+NB!X632</f>
        <v>18.5</v>
      </c>
      <c r="E53" s="121" t="str">
        <f>+NB!Z632</f>
        <v xml:space="preserve"> </v>
      </c>
      <c r="F53" s="121"/>
      <c r="G53" s="221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0" t="str">
        <f>TEXT(NB!V633,"#0")&amp;"                        "&amp;TEXT(NB!Y633,"#0")&amp;"   "</f>
        <v xml:space="preserve">2                        4   </v>
      </c>
      <c r="C54" s="282">
        <f>+NB!W633</f>
        <v>18</v>
      </c>
      <c r="D54" s="265">
        <f>+NB!X633</f>
        <v>16.5</v>
      </c>
      <c r="E54" s="121" t="str">
        <f>+NB!Z633</f>
        <v xml:space="preserve"> </v>
      </c>
      <c r="F54" s="121"/>
      <c r="G54" s="221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5" t="str">
        <f>TEXT(NB!V634,"#0")&amp;"                        "&amp;TEXT(NB!Y634,"#0")&amp;"   "</f>
        <v xml:space="preserve">3                        3   </v>
      </c>
      <c r="C55" s="281">
        <f>+NB!W634</f>
        <v>16</v>
      </c>
      <c r="D55" s="264">
        <f>+NB!X634</f>
        <v>13.5</v>
      </c>
      <c r="E55" s="226" t="str">
        <f>+NB!Z634</f>
        <v xml:space="preserve"> </v>
      </c>
      <c r="F55" s="226"/>
      <c r="G55" s="229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0" t="str">
        <f>TEXT(NB!V635,"#0")&amp;"                        "&amp;TEXT(NB!Y635,"#0")&amp;"   "</f>
        <v xml:space="preserve">3                        2   </v>
      </c>
      <c r="C56" s="282">
        <f>+NB!W635</f>
        <v>13</v>
      </c>
      <c r="D56" s="265">
        <f>+NB!X635</f>
        <v>11</v>
      </c>
      <c r="E56" s="121" t="str">
        <f>+NB!Z635</f>
        <v xml:space="preserve"> </v>
      </c>
      <c r="F56" s="121"/>
      <c r="G56" s="221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7" t="str">
        <f>TEXT(NB!V636,"#0")&amp;"                        "&amp;TEXT(NB!Y636,"#0")&amp;"   "</f>
        <v xml:space="preserve">3                        1   </v>
      </c>
      <c r="C57" s="283">
        <f>+NB!W636</f>
        <v>10.5</v>
      </c>
      <c r="D57" s="266">
        <f>+NB!X636</f>
        <v>8</v>
      </c>
      <c r="E57" s="228" t="str">
        <f>+NB!Z636</f>
        <v xml:space="preserve"> </v>
      </c>
      <c r="F57" s="228"/>
      <c r="G57" s="230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2" t="str">
        <f>TEXT(NB!V637,"#0")&amp;"                        "&amp;TEXT(NB!Y637,"#0")&amp;"   "</f>
        <v xml:space="preserve">8                        0   </v>
      </c>
      <c r="C58" s="284">
        <f>+NB!W637</f>
        <v>7.5</v>
      </c>
      <c r="D58" s="267">
        <f>+NB!X637</f>
        <v>0</v>
      </c>
      <c r="E58" s="223" t="str">
        <f>+NB!Z637</f>
        <v xml:space="preserve"> </v>
      </c>
      <c r="F58" s="223"/>
      <c r="G58" s="224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IF(LEN(I1Ext!$B$1)=22,"II - 3. Extemporale aus","II - 3. Kurzarbeit aus")</f>
        <v>II - 3. Extemporale aus</v>
      </c>
      <c r="C1" s="152" t="str">
        <f>IF(Notenbogen!E1="","",Notenbogen!E1)</f>
        <v/>
      </c>
      <c r="D1" s="159"/>
      <c r="E1" s="1"/>
      <c r="F1" s="149" t="s">
        <v>12</v>
      </c>
      <c r="G1" s="474"/>
      <c r="H1" s="474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IF(D5="","",IF($H$3="BE",LOOKUP(IF(E5="",D5+0.01,D5*$H$30/E5+0.5),NB!$X$740:$X$755,NB!$Y$740:$Y$755),D5))</f>
        <v/>
      </c>
      <c r="D5" s="6"/>
      <c r="E5" s="111"/>
      <c r="F5" s="471" t="s">
        <v>11</v>
      </c>
      <c r="G5" s="472"/>
      <c r="H5" s="472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IF(D22="","",IF($H$3="BE",LOOKUP(IF(E22="",D22+0.01,D22*$H$30/E22+0.5),NB!$X$740:$X$755,NB!$Y$740:$Y$755),D22))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>+G27-G25</f>
        <v>35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>35-COUNTIF(J4:J38,", ")</f>
        <v>35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IF(D31="","",IF($H$3="BE",LOOKUP(IF(E31="",D31+0.01,D31*$H$30/E31+0.5),NB!$X$740:$X$755,NB!$Y$740:$Y$755),D31))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IF(D37="","",IF($H$3="BE",LOOKUP(IF(E37="",D37+0.01,D37*$H$30/E37+0.5),NB!$X$740:$X$755,NB!$Y$740:$Y$755),D37))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8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9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70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5" t="str">
        <f>TEXT(NB!V722,"#0")&amp;"                      "&amp;TEXT(NB!Y722,"#0")&amp;"   "</f>
        <v xml:space="preserve">2                      15   </v>
      </c>
      <c r="C43" s="281">
        <f>+NB!W722</f>
        <v>40</v>
      </c>
      <c r="D43" s="264">
        <f>+NB!X722</f>
        <v>38.5</v>
      </c>
      <c r="E43" s="226" t="str">
        <f>+NB!Z722</f>
        <v xml:space="preserve"> </v>
      </c>
      <c r="F43" s="226"/>
      <c r="G43" s="229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0" t="str">
        <f>TEXT(NB!V723,"#0")&amp;"                      "&amp;TEXT(NB!Y723,"#0")&amp;"   "</f>
        <v xml:space="preserve">2                      14   </v>
      </c>
      <c r="C44" s="282">
        <f>+NB!W723</f>
        <v>38</v>
      </c>
      <c r="D44" s="265">
        <f>+NB!X723</f>
        <v>36.5</v>
      </c>
      <c r="E44" s="121" t="str">
        <f>+NB!Z723</f>
        <v xml:space="preserve"> </v>
      </c>
      <c r="F44" s="121"/>
      <c r="G44" s="221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7" t="str">
        <f>TEXT(NB!V724,"#0")&amp;"                      "&amp;TEXT(NB!Y724,"#0")&amp;"   "</f>
        <v xml:space="preserve">2                      13   </v>
      </c>
      <c r="C45" s="283">
        <f>+NB!W724</f>
        <v>36</v>
      </c>
      <c r="D45" s="266">
        <f>+NB!X724</f>
        <v>34.5</v>
      </c>
      <c r="E45" s="228" t="str">
        <f>+NB!Z724</f>
        <v xml:space="preserve"> </v>
      </c>
      <c r="F45" s="228"/>
      <c r="G45" s="230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0" t="str">
        <f>TEXT(NB!V725,"#0")&amp;"                      "&amp;TEXT(NB!Y725,"#0")&amp;"   "</f>
        <v xml:space="preserve">2                      12   </v>
      </c>
      <c r="C46" s="282">
        <f>+NB!W725</f>
        <v>34</v>
      </c>
      <c r="D46" s="265">
        <f>+NB!X725</f>
        <v>32.5</v>
      </c>
      <c r="E46" s="121" t="str">
        <f>+NB!Z725</f>
        <v xml:space="preserve"> </v>
      </c>
      <c r="F46" s="121"/>
      <c r="G46" s="221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0" t="str">
        <f>TEXT(NB!V726,"#0")&amp;"                      "&amp;TEXT(NB!Y726,"#0")&amp;"   "</f>
        <v xml:space="preserve">2                      11   </v>
      </c>
      <c r="C47" s="282">
        <f>+NB!W726</f>
        <v>32</v>
      </c>
      <c r="D47" s="265">
        <f>+NB!X726</f>
        <v>30.5</v>
      </c>
      <c r="E47" s="121" t="str">
        <f>+NB!Z726</f>
        <v xml:space="preserve"> </v>
      </c>
      <c r="F47" s="121"/>
      <c r="G47" s="221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0" t="str">
        <f>TEXT(NB!V727,"#0")&amp;"                      "&amp;TEXT(NB!Y727,"#0")&amp;"   "</f>
        <v xml:space="preserve">2                      10   </v>
      </c>
      <c r="C48" s="282">
        <f>+NB!W727</f>
        <v>30</v>
      </c>
      <c r="D48" s="265">
        <f>+NB!X727</f>
        <v>28.5</v>
      </c>
      <c r="E48" s="121" t="str">
        <f>+NB!Z727</f>
        <v xml:space="preserve"> </v>
      </c>
      <c r="F48" s="121"/>
      <c r="G48" s="221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5" t="str">
        <f>TEXT(NB!V728,"#0")&amp;"                        "&amp;TEXT(NB!Y728,"#0")&amp;"   "</f>
        <v xml:space="preserve">2                        9   </v>
      </c>
      <c r="C49" s="281">
        <f>+NB!W728</f>
        <v>28</v>
      </c>
      <c r="D49" s="264">
        <f>+NB!X728</f>
        <v>26.5</v>
      </c>
      <c r="E49" s="226" t="str">
        <f>+NB!Z728</f>
        <v xml:space="preserve"> </v>
      </c>
      <c r="F49" s="226"/>
      <c r="G49" s="229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0" t="str">
        <f>TEXT(NB!V729,"#0")&amp;"                        "&amp;TEXT(NB!Y729,"#0")&amp;"   "</f>
        <v xml:space="preserve">2                        8   </v>
      </c>
      <c r="C50" s="282">
        <f>+NB!W729</f>
        <v>26</v>
      </c>
      <c r="D50" s="265">
        <f>+NB!X729</f>
        <v>24.5</v>
      </c>
      <c r="E50" s="121" t="str">
        <f>+NB!Z729</f>
        <v xml:space="preserve"> </v>
      </c>
      <c r="F50" s="121"/>
      <c r="G50" s="221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7" t="str">
        <f>TEXT(NB!V730,"#0")&amp;"                        "&amp;TEXT(NB!Y730,"#0")&amp;"   "</f>
        <v xml:space="preserve">2                        7   </v>
      </c>
      <c r="C51" s="283">
        <f>+NB!W730</f>
        <v>24</v>
      </c>
      <c r="D51" s="266">
        <f>+NB!X730</f>
        <v>22.5</v>
      </c>
      <c r="E51" s="228" t="str">
        <f>+NB!Z730</f>
        <v xml:space="preserve"> </v>
      </c>
      <c r="F51" s="228"/>
      <c r="G51" s="230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0" t="str">
        <f>TEXT(NB!V731,"#0")&amp;"                        "&amp;TEXT(NB!Y731,"#0")&amp;"   "</f>
        <v xml:space="preserve">2                        6   </v>
      </c>
      <c r="C52" s="282">
        <f>+NB!W731</f>
        <v>22</v>
      </c>
      <c r="D52" s="265">
        <f>+NB!X731</f>
        <v>20.5</v>
      </c>
      <c r="E52" s="121" t="str">
        <f>+NB!Z731</f>
        <v xml:space="preserve"> </v>
      </c>
      <c r="F52" s="121"/>
      <c r="G52" s="221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0" t="str">
        <f>TEXT(NB!V732,"#0")&amp;"                        "&amp;TEXT(NB!Y732,"#0")&amp;"   "</f>
        <v xml:space="preserve">2                        5   </v>
      </c>
      <c r="C53" s="282">
        <f>+NB!W732</f>
        <v>20</v>
      </c>
      <c r="D53" s="265">
        <f>+NB!X732</f>
        <v>18.5</v>
      </c>
      <c r="E53" s="121" t="str">
        <f>+NB!Z732</f>
        <v xml:space="preserve"> </v>
      </c>
      <c r="F53" s="121"/>
      <c r="G53" s="221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0" t="str">
        <f>TEXT(NB!V733,"#0")&amp;"                        "&amp;TEXT(NB!Y733,"#0")&amp;"   "</f>
        <v xml:space="preserve">2                        4   </v>
      </c>
      <c r="C54" s="282">
        <f>+NB!W733</f>
        <v>18</v>
      </c>
      <c r="D54" s="265">
        <f>+NB!X733</f>
        <v>16.5</v>
      </c>
      <c r="E54" s="121" t="str">
        <f>+NB!Z733</f>
        <v xml:space="preserve"> </v>
      </c>
      <c r="F54" s="121"/>
      <c r="G54" s="221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5" t="str">
        <f>TEXT(NB!V734,"#0")&amp;"                        "&amp;TEXT(NB!Y734,"#0")&amp;"   "</f>
        <v xml:space="preserve">3                        3   </v>
      </c>
      <c r="C55" s="281">
        <f>+NB!W734</f>
        <v>16</v>
      </c>
      <c r="D55" s="264">
        <f>+NB!X734</f>
        <v>13.5</v>
      </c>
      <c r="E55" s="226" t="str">
        <f>+NB!Z734</f>
        <v xml:space="preserve"> </v>
      </c>
      <c r="F55" s="226"/>
      <c r="G55" s="229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0" t="str">
        <f>TEXT(NB!V735,"#0")&amp;"                        "&amp;TEXT(NB!Y735,"#0")&amp;"   "</f>
        <v xml:space="preserve">3                        2   </v>
      </c>
      <c r="C56" s="282">
        <f>+NB!W735</f>
        <v>13</v>
      </c>
      <c r="D56" s="265">
        <f>+NB!X735</f>
        <v>11</v>
      </c>
      <c r="E56" s="121" t="str">
        <f>+NB!Z735</f>
        <v xml:space="preserve"> </v>
      </c>
      <c r="F56" s="121"/>
      <c r="G56" s="221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7" t="str">
        <f>TEXT(NB!V736,"#0")&amp;"                        "&amp;TEXT(NB!Y736,"#0")&amp;"   "</f>
        <v xml:space="preserve">3                        1   </v>
      </c>
      <c r="C57" s="283">
        <f>+NB!W736</f>
        <v>10.5</v>
      </c>
      <c r="D57" s="266">
        <f>+NB!X736</f>
        <v>8</v>
      </c>
      <c r="E57" s="228" t="str">
        <f>+NB!Z736</f>
        <v xml:space="preserve"> </v>
      </c>
      <c r="F57" s="228"/>
      <c r="G57" s="230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2" t="str">
        <f>TEXT(NB!V737,"#0")&amp;"                        "&amp;TEXT(NB!Y737,"#0")&amp;"   "</f>
        <v xml:space="preserve">8                        0   </v>
      </c>
      <c r="C58" s="284">
        <f>+NB!W737</f>
        <v>7.5</v>
      </c>
      <c r="D58" s="267">
        <f>+NB!X737</f>
        <v>0</v>
      </c>
      <c r="E58" s="223" t="str">
        <f>+NB!Z737</f>
        <v xml:space="preserve"> </v>
      </c>
      <c r="F58" s="223"/>
      <c r="G58" s="224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M65"/>
  <sheetViews>
    <sheetView workbookViewId="0"/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2" width="7.7109375" style="1" customWidth="1"/>
    <col min="13" max="16384" width="11.42578125" style="1"/>
  </cols>
  <sheetData>
    <row r="1" spans="1:13" ht="18" x14ac:dyDescent="0.25">
      <c r="B1" s="124" t="str">
        <f>"Abschlussprüfung "&amp;Notenbogen!U1</f>
        <v>Abschlussprüfung 2016/17</v>
      </c>
      <c r="C1" s="124"/>
      <c r="D1" s="124"/>
      <c r="E1" s="125"/>
      <c r="F1" s="125"/>
    </row>
    <row r="2" spans="1:13" x14ac:dyDescent="0.2">
      <c r="B2" s="1" t="s">
        <v>60</v>
      </c>
      <c r="E2" s="477" t="str">
        <f>IF(Notenbogen!E1="","",Notenbogen!E1)</f>
        <v/>
      </c>
      <c r="F2" s="477"/>
      <c r="G2" s="477"/>
      <c r="H2" s="477"/>
    </row>
    <row r="3" spans="1:13" x14ac:dyDescent="0.2">
      <c r="B3" s="1" t="s">
        <v>10</v>
      </c>
      <c r="E3" s="478" t="str">
        <f>IF(Notenbogen!B1="","",Notenbogen!B1)</f>
        <v/>
      </c>
      <c r="F3" s="478"/>
      <c r="G3" s="478"/>
      <c r="H3" s="478"/>
    </row>
    <row r="4" spans="1:13" ht="13.5" thickBot="1" x14ac:dyDescent="0.25">
      <c r="B4" s="1" t="s">
        <v>0</v>
      </c>
      <c r="E4" s="138" t="str">
        <f>IF(Notenbogen!M1="","",Notenbogen!M1)</f>
        <v/>
      </c>
      <c r="F4" s="138"/>
      <c r="G4" s="138"/>
      <c r="H4" s="138"/>
    </row>
    <row r="5" spans="1:13" x14ac:dyDescent="0.2">
      <c r="A5" s="2"/>
      <c r="B5" s="2"/>
      <c r="C5" s="475" t="s">
        <v>158</v>
      </c>
      <c r="D5" s="501"/>
      <c r="E5" s="476"/>
      <c r="F5" s="475" t="s">
        <v>58</v>
      </c>
      <c r="G5" s="476"/>
      <c r="H5" s="393" t="s">
        <v>59</v>
      </c>
      <c r="I5" s="504" t="s">
        <v>68</v>
      </c>
      <c r="J5" s="505" t="s">
        <v>157</v>
      </c>
      <c r="K5" s="506"/>
    </row>
    <row r="6" spans="1:13" x14ac:dyDescent="0.2">
      <c r="A6" s="3">
        <f>I1SA!A4</f>
        <v>1</v>
      </c>
      <c r="B6" s="148" t="str">
        <f>IF(Notenbogen!B4&lt;&gt;"", Notenbogen!B4, "")</f>
        <v/>
      </c>
      <c r="C6" s="148"/>
      <c r="D6" s="148"/>
      <c r="E6" s="137"/>
      <c r="F6" s="6" t="str">
        <f>+APRohpunkte!AF4</f>
        <v/>
      </c>
      <c r="G6" s="3" t="str">
        <f>IF(F6="","",IF($E$42="BE",VLOOKUP(F6+0.5,NB!$V$822:$Y$837,4,TRUE),F6))</f>
        <v/>
      </c>
      <c r="H6" s="502"/>
      <c r="I6" s="507" t="str">
        <f>IF(G6="","", IF((G6*2+H6)/(2+COUNT(H6))&lt;1, 0, ROUNDUP((G6*2+H6)/(2+COUNT(H6)),2)))</f>
        <v/>
      </c>
      <c r="J6" s="137" t="str">
        <f>IF(OR(COUNT(C6:E6)=0,I6=""),"",IF(diNo!H2="BOS", ROUNDUP((I6*2+SUM(AP!C6:E6))/(2+COUNT(AP!C6:E6)),2),ROUNDUP((I6*3+SUM(AP!C6:E6))/(3+COUNT(AP!C6:E6)),2)))</f>
        <v/>
      </c>
      <c r="K6" s="508" t="str">
        <f>IF(J6="","",IF(J6&lt;1,0,ROUND(J6,0)))</f>
        <v/>
      </c>
      <c r="L6" s="194"/>
      <c r="M6" s="202"/>
    </row>
    <row r="7" spans="1:13" x14ac:dyDescent="0.2">
      <c r="A7" s="3">
        <f>I1SA!A5</f>
        <v>2</v>
      </c>
      <c r="B7" s="148" t="str">
        <f>IF(Notenbogen!B5&lt;&gt;"", Notenbogen!B5, "")</f>
        <v/>
      </c>
      <c r="C7" s="148"/>
      <c r="D7" s="148"/>
      <c r="E7" s="137"/>
      <c r="F7" s="6" t="str">
        <f>+APRohpunkte!AF5</f>
        <v/>
      </c>
      <c r="G7" s="3" t="str">
        <f>IF(F7="","",IF($E$42="BE",VLOOKUP(F7+0.5,NB!$V$822:$Y$837,4,TRUE),F7))</f>
        <v/>
      </c>
      <c r="H7" s="502"/>
      <c r="I7" s="507" t="str">
        <f t="shared" ref="I7:I40" si="0">IF(G7="","",ROUNDUP((G7*2+H7)/(2+COUNT(H7)),2))</f>
        <v/>
      </c>
      <c r="J7" s="137" t="str">
        <f>IF(OR(COUNT(C7:E7)=0,I7=""),"",IF(diNo!H3="BOS", ROUNDUP((I7*2+SUM(AP!C7:E7))/(2+COUNT(AP!C7:E7)),2),ROUNDUP((I7*3+SUM(AP!C7:E7))/(3+COUNT(AP!C7:E7)),2)))</f>
        <v/>
      </c>
      <c r="K7" s="508" t="str">
        <f t="shared" ref="K7:K40" si="1">IF(J7="","",IF(J7&lt;1,0,ROUND(J7,0)))</f>
        <v/>
      </c>
      <c r="M7" s="202"/>
    </row>
    <row r="8" spans="1:13" x14ac:dyDescent="0.2">
      <c r="A8" s="3">
        <f>I1SA!A6</f>
        <v>3</v>
      </c>
      <c r="B8" s="148" t="str">
        <f>IF(Notenbogen!B6&lt;&gt;"", Notenbogen!B6, "")</f>
        <v/>
      </c>
      <c r="C8" s="148"/>
      <c r="D8" s="148"/>
      <c r="E8" s="137"/>
      <c r="F8" s="6" t="str">
        <f>+APRohpunkte!AF6</f>
        <v/>
      </c>
      <c r="G8" s="3" t="str">
        <f>IF(F8="","",IF($E$42="BE",VLOOKUP(F8+0.5,NB!$V$822:$Y$837,4,TRUE),F8))</f>
        <v/>
      </c>
      <c r="H8" s="502"/>
      <c r="I8" s="507" t="str">
        <f t="shared" si="0"/>
        <v/>
      </c>
      <c r="J8" s="137" t="str">
        <f>IF(OR(COUNT(C8:E8)=0,I8=""),"",IF(diNo!H4="BOS", ROUNDUP((I8*2+SUM(AP!C8:E8))/(2+COUNT(AP!C8:E8)),2),ROUNDUP((I8*3+SUM(AP!C8:E8))/(3+COUNT(AP!C8:E8)),2)))</f>
        <v/>
      </c>
      <c r="K8" s="508" t="str">
        <f t="shared" si="1"/>
        <v/>
      </c>
      <c r="M8" s="202"/>
    </row>
    <row r="9" spans="1:13" x14ac:dyDescent="0.2">
      <c r="A9" s="3">
        <f>I1SA!A7</f>
        <v>4</v>
      </c>
      <c r="B9" s="148" t="str">
        <f>IF(Notenbogen!B7&lt;&gt;"", Notenbogen!B7, "")</f>
        <v/>
      </c>
      <c r="C9" s="148"/>
      <c r="D9" s="148"/>
      <c r="E9" s="137"/>
      <c r="F9" s="6" t="str">
        <f>+APRohpunkte!AF7</f>
        <v/>
      </c>
      <c r="G9" s="3" t="str">
        <f>IF(F9="","",IF($E$42="BE",VLOOKUP(F9+0.5,NB!$V$822:$Y$837,4,TRUE),F9))</f>
        <v/>
      </c>
      <c r="H9" s="502"/>
      <c r="I9" s="507" t="str">
        <f t="shared" si="0"/>
        <v/>
      </c>
      <c r="J9" s="137" t="str">
        <f>IF(OR(COUNT(C9:E9)=0,I9=""),"",IF(diNo!H5="BOS", ROUNDUP((I9*2+SUM(AP!C9:E9))/(2+COUNT(AP!C9:E9)),2),ROUNDUP((I9*3+SUM(AP!C9:E9))/(3+COUNT(AP!C9:E9)),2)))</f>
        <v/>
      </c>
      <c r="K9" s="508" t="str">
        <f t="shared" si="1"/>
        <v/>
      </c>
      <c r="M9" s="202"/>
    </row>
    <row r="10" spans="1:13" x14ac:dyDescent="0.2">
      <c r="A10" s="3">
        <f>I1SA!A8</f>
        <v>5</v>
      </c>
      <c r="B10" s="148" t="str">
        <f>IF(Notenbogen!B8&lt;&gt;"", Notenbogen!B8, "")</f>
        <v/>
      </c>
      <c r="C10" s="148"/>
      <c r="D10" s="148"/>
      <c r="E10" s="137"/>
      <c r="F10" s="6" t="str">
        <f>+APRohpunkte!AF8</f>
        <v/>
      </c>
      <c r="G10" s="3" t="str">
        <f>IF(F10="","",IF($E$42="BE",VLOOKUP(F10+0.5,NB!$V$822:$Y$837,4,TRUE),F10))</f>
        <v/>
      </c>
      <c r="H10" s="502"/>
      <c r="I10" s="507" t="str">
        <f t="shared" si="0"/>
        <v/>
      </c>
      <c r="J10" s="137" t="str">
        <f>IF(OR(COUNT(C10:E10)=0,I10=""),"",IF(diNo!H6="BOS", ROUNDUP((I10*2+SUM(AP!C10:E10))/(2+COUNT(AP!C10:E10)),2),ROUNDUP((I10*3+SUM(AP!C10:E10))/(3+COUNT(AP!C10:E10)),2)))</f>
        <v/>
      </c>
      <c r="K10" s="508" t="str">
        <f t="shared" si="1"/>
        <v/>
      </c>
      <c r="M10" s="202"/>
    </row>
    <row r="11" spans="1:13" x14ac:dyDescent="0.2">
      <c r="A11" s="3">
        <f>I1SA!A9</f>
        <v>6</v>
      </c>
      <c r="B11" s="148" t="str">
        <f>IF(Notenbogen!B9&lt;&gt;"", Notenbogen!B9, "")</f>
        <v/>
      </c>
      <c r="C11" s="148"/>
      <c r="D11" s="148"/>
      <c r="E11" s="137"/>
      <c r="F11" s="6" t="str">
        <f>+APRohpunkte!AF9</f>
        <v/>
      </c>
      <c r="G11" s="3" t="str">
        <f>IF(F11="","",IF($E$42="BE",VLOOKUP(F11+0.5,NB!$V$822:$Y$837,4,TRUE),F11))</f>
        <v/>
      </c>
      <c r="H11" s="502"/>
      <c r="I11" s="507" t="str">
        <f t="shared" si="0"/>
        <v/>
      </c>
      <c r="J11" s="137" t="str">
        <f>IF(OR(COUNT(C11:E11)=0,I11=""),"",IF(diNo!H7="BOS", ROUNDUP((I11*2+SUM(AP!C11:E11))/(2+COUNT(AP!C11:E11)),2),ROUNDUP((I11*3+SUM(AP!C11:E11))/(3+COUNT(AP!C11:E11)),2)))</f>
        <v/>
      </c>
      <c r="K11" s="508" t="str">
        <f t="shared" si="1"/>
        <v/>
      </c>
      <c r="M11" s="202"/>
    </row>
    <row r="12" spans="1:13" x14ac:dyDescent="0.2">
      <c r="A12" s="3">
        <f>I1SA!A10</f>
        <v>7</v>
      </c>
      <c r="B12" s="148" t="str">
        <f>IF(Notenbogen!B10&lt;&gt;"", Notenbogen!B10, "")</f>
        <v/>
      </c>
      <c r="C12" s="148"/>
      <c r="D12" s="148"/>
      <c r="E12" s="137"/>
      <c r="F12" s="6" t="str">
        <f>+APRohpunkte!AF10</f>
        <v/>
      </c>
      <c r="G12" s="3" t="str">
        <f>IF(F12="","",IF($E$42="BE",VLOOKUP(F12+0.5,NB!$V$822:$Y$837,4,TRUE),F12))</f>
        <v/>
      </c>
      <c r="H12" s="502"/>
      <c r="I12" s="507" t="str">
        <f t="shared" si="0"/>
        <v/>
      </c>
      <c r="J12" s="137" t="str">
        <f>IF(OR(COUNT(C12:E12)=0,I12=""),"",IF(diNo!H8="BOS", ROUNDUP((I12*2+SUM(AP!C12:E12))/(2+COUNT(AP!C12:E12)),2),ROUNDUP((I12*3+SUM(AP!C12:E12))/(3+COUNT(AP!C12:E12)),2)))</f>
        <v/>
      </c>
      <c r="K12" s="508" t="str">
        <f t="shared" si="1"/>
        <v/>
      </c>
      <c r="M12" s="202"/>
    </row>
    <row r="13" spans="1:13" x14ac:dyDescent="0.2">
      <c r="A13" s="3">
        <f>I1SA!A11</f>
        <v>8</v>
      </c>
      <c r="B13" s="148" t="str">
        <f>IF(Notenbogen!B11&lt;&gt;"", Notenbogen!B11, "")</f>
        <v/>
      </c>
      <c r="C13" s="148"/>
      <c r="D13" s="148"/>
      <c r="E13" s="137"/>
      <c r="F13" s="6" t="str">
        <f>+APRohpunkte!AF11</f>
        <v/>
      </c>
      <c r="G13" s="3" t="str">
        <f>IF(F13="","",IF($E$42="BE",VLOOKUP(F13+0.5,NB!$V$822:$Y$837,4,TRUE),F13))</f>
        <v/>
      </c>
      <c r="H13" s="502"/>
      <c r="I13" s="507" t="str">
        <f t="shared" si="0"/>
        <v/>
      </c>
      <c r="J13" s="137" t="str">
        <f>IF(OR(COUNT(C13:E13)=0,I13=""),"",IF(diNo!H9="BOS", ROUNDUP((I13*2+SUM(AP!C13:E13))/(2+COUNT(AP!C13:E13)),2),ROUNDUP((I13*3+SUM(AP!C13:E13))/(3+COUNT(AP!C13:E13)),2)))</f>
        <v/>
      </c>
      <c r="K13" s="508" t="str">
        <f t="shared" si="1"/>
        <v/>
      </c>
      <c r="M13" s="202"/>
    </row>
    <row r="14" spans="1:13" x14ac:dyDescent="0.2">
      <c r="A14" s="3">
        <f>I1SA!A12</f>
        <v>9</v>
      </c>
      <c r="B14" s="148" t="str">
        <f>IF(Notenbogen!B12&lt;&gt;"", Notenbogen!B12, "")</f>
        <v/>
      </c>
      <c r="C14" s="148"/>
      <c r="D14" s="148"/>
      <c r="E14" s="137"/>
      <c r="F14" s="6" t="str">
        <f>+APRohpunkte!AF12</f>
        <v/>
      </c>
      <c r="G14" s="3" t="str">
        <f>IF(F14="","",IF($E$42="BE",VLOOKUP(F14+0.5,NB!$V$822:$Y$837,4,TRUE),F14))</f>
        <v/>
      </c>
      <c r="H14" s="502"/>
      <c r="I14" s="507" t="str">
        <f t="shared" si="0"/>
        <v/>
      </c>
      <c r="J14" s="137" t="str">
        <f>IF(OR(COUNT(C14:E14)=0,I14=""),"",IF(diNo!H10="BOS", ROUNDUP((I14*2+SUM(AP!C14:E14))/(2+COUNT(AP!C14:E14)),2),ROUNDUP((I14*3+SUM(AP!C14:E14))/(3+COUNT(AP!C14:E14)),2)))</f>
        <v/>
      </c>
      <c r="K14" s="508" t="str">
        <f t="shared" si="1"/>
        <v/>
      </c>
      <c r="M14" s="202"/>
    </row>
    <row r="15" spans="1:13" x14ac:dyDescent="0.2">
      <c r="A15" s="3">
        <f>I1SA!A13</f>
        <v>10</v>
      </c>
      <c r="B15" s="148" t="str">
        <f>IF(Notenbogen!B13&lt;&gt;"", Notenbogen!B13, "")</f>
        <v/>
      </c>
      <c r="C15" s="148"/>
      <c r="D15" s="148"/>
      <c r="E15" s="137"/>
      <c r="F15" s="6" t="str">
        <f>+APRohpunkte!AF13</f>
        <v/>
      </c>
      <c r="G15" s="3" t="str">
        <f>IF(F15="","",IF($E$42="BE",VLOOKUP(F15+0.5,NB!$V$822:$Y$837,4,TRUE),F15))</f>
        <v/>
      </c>
      <c r="H15" s="502"/>
      <c r="I15" s="507" t="str">
        <f t="shared" si="0"/>
        <v/>
      </c>
      <c r="J15" s="137" t="str">
        <f>IF(OR(COUNT(C15:E15)=0,I15=""),"",IF(diNo!H11="BOS", ROUNDUP((I15*2+SUM(AP!C15:E15))/(2+COUNT(AP!C15:E15)),2),ROUNDUP((I15*3+SUM(AP!C15:E15))/(3+COUNT(AP!C15:E15)),2)))</f>
        <v/>
      </c>
      <c r="K15" s="508" t="str">
        <f t="shared" si="1"/>
        <v/>
      </c>
      <c r="M15" s="202"/>
    </row>
    <row r="16" spans="1:13" x14ac:dyDescent="0.2">
      <c r="A16" s="3">
        <f>I1SA!A14</f>
        <v>11</v>
      </c>
      <c r="B16" s="148" t="str">
        <f>IF(Notenbogen!B14&lt;&gt;"", Notenbogen!B14, "")</f>
        <v/>
      </c>
      <c r="C16" s="148"/>
      <c r="D16" s="148"/>
      <c r="E16" s="137"/>
      <c r="F16" s="6" t="str">
        <f>+APRohpunkte!AF14</f>
        <v/>
      </c>
      <c r="G16" s="3" t="str">
        <f>IF(F16="","",IF($E$42="BE",VLOOKUP(F16+0.5,NB!$V$822:$Y$837,4,TRUE),F16))</f>
        <v/>
      </c>
      <c r="H16" s="502"/>
      <c r="I16" s="507" t="str">
        <f t="shared" si="0"/>
        <v/>
      </c>
      <c r="J16" s="137" t="str">
        <f>IF(OR(COUNT(C16:E16)=0,I16=""),"",IF(diNo!H12="BOS", ROUNDUP((I16*2+SUM(AP!C16:E16))/(2+COUNT(AP!C16:E16)),2),ROUNDUP((I16*3+SUM(AP!C16:E16))/(3+COUNT(AP!C16:E16)),2)))</f>
        <v/>
      </c>
      <c r="K16" s="508" t="str">
        <f t="shared" si="1"/>
        <v/>
      </c>
      <c r="M16" s="202"/>
    </row>
    <row r="17" spans="1:11" x14ac:dyDescent="0.2">
      <c r="A17" s="3">
        <f>I1SA!A15</f>
        <v>12</v>
      </c>
      <c r="B17" s="148" t="str">
        <f>IF(Notenbogen!B15&lt;&gt;"", Notenbogen!B15, "")</f>
        <v/>
      </c>
      <c r="C17" s="148"/>
      <c r="D17" s="148"/>
      <c r="E17" s="137"/>
      <c r="F17" s="6" t="str">
        <f>+APRohpunkte!AF15</f>
        <v/>
      </c>
      <c r="G17" s="3" t="str">
        <f>IF(F17="","",IF($E$42="BE",VLOOKUP(F17+0.5,NB!$V$822:$Y$837,4,TRUE),F17))</f>
        <v/>
      </c>
      <c r="H17" s="502"/>
      <c r="I17" s="507" t="str">
        <f t="shared" si="0"/>
        <v/>
      </c>
      <c r="J17" s="137" t="str">
        <f>IF(OR(COUNT(C17:E17)=0,I17=""),"",IF(diNo!H13="BOS", ROUNDUP((I17*2+SUM(AP!C17:E17))/(2+COUNT(AP!C17:E17)),2),ROUNDUP((I17*3+SUM(AP!C17:E17))/(3+COUNT(AP!C17:E17)),2)))</f>
        <v/>
      </c>
      <c r="K17" s="508" t="str">
        <f t="shared" si="1"/>
        <v/>
      </c>
    </row>
    <row r="18" spans="1:11" x14ac:dyDescent="0.2">
      <c r="A18" s="3">
        <f>I1SA!A16</f>
        <v>13</v>
      </c>
      <c r="B18" s="148" t="str">
        <f>IF(Notenbogen!B16&lt;&gt;"", Notenbogen!B16, "")</f>
        <v/>
      </c>
      <c r="C18" s="148"/>
      <c r="D18" s="148"/>
      <c r="E18" s="137"/>
      <c r="F18" s="6" t="str">
        <f>+APRohpunkte!AF16</f>
        <v/>
      </c>
      <c r="G18" s="3" t="str">
        <f>IF(F18="","",IF($E$42="BE",VLOOKUP(F18+0.5,NB!$V$822:$Y$837,4,TRUE),F18))</f>
        <v/>
      </c>
      <c r="H18" s="502"/>
      <c r="I18" s="507" t="str">
        <f t="shared" si="0"/>
        <v/>
      </c>
      <c r="J18" s="137" t="str">
        <f>IF(OR(COUNT(C18:E18)=0,I18=""),"",IF(diNo!H14="BOS", ROUNDUP((I18*2+SUM(AP!C18:E18))/(2+COUNT(AP!C18:E18)),2),ROUNDUP((I18*3+SUM(AP!C18:E18))/(3+COUNT(AP!C18:E18)),2)))</f>
        <v/>
      </c>
      <c r="K18" s="508" t="str">
        <f t="shared" si="1"/>
        <v/>
      </c>
    </row>
    <row r="19" spans="1:11" x14ac:dyDescent="0.2">
      <c r="A19" s="3">
        <f>I1SA!A17</f>
        <v>14</v>
      </c>
      <c r="B19" s="148" t="str">
        <f>IF(Notenbogen!B17&lt;&gt;"", Notenbogen!B17, "")</f>
        <v/>
      </c>
      <c r="C19" s="148"/>
      <c r="D19" s="148"/>
      <c r="E19" s="137"/>
      <c r="F19" s="6" t="str">
        <f>+APRohpunkte!AF17</f>
        <v/>
      </c>
      <c r="G19" s="3" t="str">
        <f>IF(F19="","",IF($E$42="BE",VLOOKUP(F19+0.5,NB!$V$822:$Y$837,4,TRUE),F19))</f>
        <v/>
      </c>
      <c r="H19" s="502"/>
      <c r="I19" s="507" t="str">
        <f t="shared" si="0"/>
        <v/>
      </c>
      <c r="J19" s="137" t="str">
        <f>IF(OR(COUNT(C19:E19)=0,I19=""),"",IF(diNo!H15="BOS", ROUNDUP((I19*2+SUM(AP!C19:E19))/(2+COUNT(AP!C19:E19)),2),ROUNDUP((I19*3+SUM(AP!C19:E19))/(3+COUNT(AP!C19:E19)),2)))</f>
        <v/>
      </c>
      <c r="K19" s="508" t="str">
        <f t="shared" si="1"/>
        <v/>
      </c>
    </row>
    <row r="20" spans="1:11" x14ac:dyDescent="0.2">
      <c r="A20" s="3">
        <f>I1SA!A18</f>
        <v>15</v>
      </c>
      <c r="B20" s="148" t="str">
        <f>IF(Notenbogen!B18&lt;&gt;"", Notenbogen!B18, "")</f>
        <v/>
      </c>
      <c r="C20" s="148"/>
      <c r="D20" s="148"/>
      <c r="E20" s="137"/>
      <c r="F20" s="6" t="str">
        <f>+APRohpunkte!AF18</f>
        <v/>
      </c>
      <c r="G20" s="3" t="str">
        <f>IF(F20="","",IF($E$42="BE",VLOOKUP(F20+0.5,NB!$V$822:$Y$837,4,TRUE),F20))</f>
        <v/>
      </c>
      <c r="H20" s="502"/>
      <c r="I20" s="507" t="str">
        <f t="shared" si="0"/>
        <v/>
      </c>
      <c r="J20" s="137" t="str">
        <f>IF(OR(COUNT(C20:E20)=0,I20=""),"",IF(diNo!H16="BOS", ROUNDUP((I20*2+SUM(AP!C20:E20))/(2+COUNT(AP!C20:E20)),2),ROUNDUP((I20*3+SUM(AP!C20:E20))/(3+COUNT(AP!C20:E20)),2)))</f>
        <v/>
      </c>
      <c r="K20" s="508" t="str">
        <f t="shared" si="1"/>
        <v/>
      </c>
    </row>
    <row r="21" spans="1:11" ht="11.25" customHeight="1" x14ac:dyDescent="0.2">
      <c r="A21" s="3">
        <f>I1SA!A19</f>
        <v>16</v>
      </c>
      <c r="B21" s="148" t="str">
        <f>IF(Notenbogen!B19&lt;&gt;"", Notenbogen!B19, "")</f>
        <v/>
      </c>
      <c r="C21" s="148"/>
      <c r="D21" s="148"/>
      <c r="E21" s="137"/>
      <c r="F21" s="6" t="str">
        <f>+APRohpunkte!AF19</f>
        <v/>
      </c>
      <c r="G21" s="3" t="str">
        <f>IF(F21="","",IF($E$42="BE",VLOOKUP(F21+0.5,NB!$V$822:$Y$837,4,TRUE),F21))</f>
        <v/>
      </c>
      <c r="H21" s="502"/>
      <c r="I21" s="507" t="str">
        <f t="shared" si="0"/>
        <v/>
      </c>
      <c r="J21" s="137" t="str">
        <f>IF(OR(COUNT(C21:E21)=0,I21=""),"",IF(diNo!H17="BOS", ROUNDUP((I21*2+SUM(AP!C21:E21))/(2+COUNT(AP!C21:E21)),2),ROUNDUP((I21*3+SUM(AP!C21:E21))/(3+COUNT(AP!C21:E21)),2)))</f>
        <v/>
      </c>
      <c r="K21" s="508" t="str">
        <f t="shared" si="1"/>
        <v/>
      </c>
    </row>
    <row r="22" spans="1:11" x14ac:dyDescent="0.2">
      <c r="A22" s="3">
        <f>I1SA!A20</f>
        <v>17</v>
      </c>
      <c r="B22" s="148" t="str">
        <f>IF(Notenbogen!B20&lt;&gt;"", Notenbogen!B20, "")</f>
        <v/>
      </c>
      <c r="C22" s="148"/>
      <c r="D22" s="148"/>
      <c r="E22" s="137"/>
      <c r="F22" s="6" t="str">
        <f>+APRohpunkte!AF20</f>
        <v/>
      </c>
      <c r="G22" s="3" t="str">
        <f>IF(F22="","",IF($E$42="BE",VLOOKUP(F22+0.5,NB!$V$822:$Y$837,4,TRUE),F22))</f>
        <v/>
      </c>
      <c r="H22" s="502"/>
      <c r="I22" s="507" t="str">
        <f t="shared" si="0"/>
        <v/>
      </c>
      <c r="J22" s="137" t="str">
        <f>IF(OR(COUNT(C22:E22)=0,I22=""),"",IF(diNo!H18="BOS", ROUNDUP((I22*2+SUM(AP!C22:E22))/(2+COUNT(AP!C22:E22)),2),ROUNDUP((I22*3+SUM(AP!C22:E22))/(3+COUNT(AP!C22:E22)),2)))</f>
        <v/>
      </c>
      <c r="K22" s="508" t="str">
        <f t="shared" si="1"/>
        <v/>
      </c>
    </row>
    <row r="23" spans="1:11" x14ac:dyDescent="0.2">
      <c r="A23" s="3">
        <f>I1SA!A21</f>
        <v>18</v>
      </c>
      <c r="B23" s="148" t="str">
        <f>IF(Notenbogen!B21&lt;&gt;"", Notenbogen!B21, "")</f>
        <v/>
      </c>
      <c r="C23" s="148"/>
      <c r="D23" s="148"/>
      <c r="E23" s="137"/>
      <c r="F23" s="6" t="str">
        <f>+APRohpunkte!AF21</f>
        <v/>
      </c>
      <c r="G23" s="3" t="str">
        <f>IF(F23="","",IF($E$42="BE",VLOOKUP(F23+0.5,NB!$V$822:$Y$837,4,TRUE),F23))</f>
        <v/>
      </c>
      <c r="H23" s="502"/>
      <c r="I23" s="507" t="str">
        <f t="shared" si="0"/>
        <v/>
      </c>
      <c r="J23" s="137" t="str">
        <f>IF(OR(COUNT(C23:E23)=0,I23=""),"",IF(diNo!H19="BOS", ROUNDUP((I23*2+SUM(AP!C23:E23))/(2+COUNT(AP!C23:E23)),2),ROUNDUP((I23*3+SUM(AP!C23:E23))/(3+COUNT(AP!C23:E23)),2)))</f>
        <v/>
      </c>
      <c r="K23" s="508" t="str">
        <f t="shared" si="1"/>
        <v/>
      </c>
    </row>
    <row r="24" spans="1:11" x14ac:dyDescent="0.2">
      <c r="A24" s="3">
        <f>I1SA!A22</f>
        <v>19</v>
      </c>
      <c r="B24" s="148" t="str">
        <f>IF(Notenbogen!B22&lt;&gt;"", Notenbogen!B22, "")</f>
        <v/>
      </c>
      <c r="C24" s="148"/>
      <c r="D24" s="148"/>
      <c r="E24" s="137"/>
      <c r="F24" s="6" t="str">
        <f>+APRohpunkte!AF22</f>
        <v/>
      </c>
      <c r="G24" s="3" t="str">
        <f>IF(F24="","",IF($E$42="BE",VLOOKUP(F24+0.5,NB!$V$822:$Y$837,4,TRUE),F24))</f>
        <v/>
      </c>
      <c r="H24" s="502"/>
      <c r="I24" s="507" t="str">
        <f t="shared" si="0"/>
        <v/>
      </c>
      <c r="J24" s="137" t="str">
        <f>IF(OR(COUNT(C24:E24)=0,I24=""),"",IF(diNo!H20="BOS", ROUNDUP((I24*2+SUM(AP!C24:E24))/(2+COUNT(AP!C24:E24)),2),ROUNDUP((I24*3+SUM(AP!C24:E24))/(3+COUNT(AP!C24:E24)),2)))</f>
        <v/>
      </c>
      <c r="K24" s="508" t="str">
        <f t="shared" si="1"/>
        <v/>
      </c>
    </row>
    <row r="25" spans="1:11" x14ac:dyDescent="0.2">
      <c r="A25" s="3">
        <f>I1SA!A23</f>
        <v>20</v>
      </c>
      <c r="B25" s="148" t="str">
        <f>IF(Notenbogen!B23&lt;&gt;"", Notenbogen!B23, "")</f>
        <v/>
      </c>
      <c r="C25" s="148"/>
      <c r="D25" s="148"/>
      <c r="E25" s="137"/>
      <c r="F25" s="6" t="str">
        <f>+APRohpunkte!AF23</f>
        <v/>
      </c>
      <c r="G25" s="3" t="str">
        <f>IF(F25="","",IF($E$42="BE",VLOOKUP(F25+0.5,NB!$V$822:$Y$837,4,TRUE),F25))</f>
        <v/>
      </c>
      <c r="H25" s="502"/>
      <c r="I25" s="507" t="str">
        <f t="shared" si="0"/>
        <v/>
      </c>
      <c r="J25" s="137" t="str">
        <f>IF(OR(COUNT(C25:E25)=0,I25=""),"",IF(diNo!H21="BOS", ROUNDUP((I25*2+SUM(AP!C25:E25))/(2+COUNT(AP!C25:E25)),2),ROUNDUP((I25*3+SUM(AP!C25:E25))/(3+COUNT(AP!C25:E25)),2)))</f>
        <v/>
      </c>
      <c r="K25" s="508" t="str">
        <f t="shared" si="1"/>
        <v/>
      </c>
    </row>
    <row r="26" spans="1:11" x14ac:dyDescent="0.2">
      <c r="A26" s="3">
        <f>I1SA!A24</f>
        <v>21</v>
      </c>
      <c r="B26" s="148" t="str">
        <f>IF(Notenbogen!B24&lt;&gt;"", Notenbogen!B24, "")</f>
        <v/>
      </c>
      <c r="C26" s="148"/>
      <c r="D26" s="148"/>
      <c r="E26" s="137"/>
      <c r="F26" s="6" t="str">
        <f>+APRohpunkte!AF24</f>
        <v/>
      </c>
      <c r="G26" s="3" t="str">
        <f>IF(F26="","",IF($E$42="BE",VLOOKUP(F26+0.5,NB!$V$822:$Y$837,4,TRUE),F26))</f>
        <v/>
      </c>
      <c r="H26" s="502"/>
      <c r="I26" s="507" t="str">
        <f t="shared" si="0"/>
        <v/>
      </c>
      <c r="J26" s="137" t="str">
        <f>IF(OR(COUNT(C26:E26)=0,I26=""),"",IF(diNo!H22="BOS", ROUNDUP((I26*2+SUM(AP!C26:E26))/(2+COUNT(AP!C26:E26)),2),ROUNDUP((I26*3+SUM(AP!C26:E26))/(3+COUNT(AP!C26:E26)),2)))</f>
        <v/>
      </c>
      <c r="K26" s="508" t="str">
        <f t="shared" si="1"/>
        <v/>
      </c>
    </row>
    <row r="27" spans="1:11" x14ac:dyDescent="0.2">
      <c r="A27" s="3">
        <f>I1SA!A25</f>
        <v>22</v>
      </c>
      <c r="B27" s="148" t="str">
        <f>IF(Notenbogen!B25&lt;&gt;"", Notenbogen!B25, "")</f>
        <v/>
      </c>
      <c r="C27" s="148"/>
      <c r="D27" s="148"/>
      <c r="E27" s="137"/>
      <c r="F27" s="6" t="str">
        <f>+APRohpunkte!AF25</f>
        <v/>
      </c>
      <c r="G27" s="3" t="str">
        <f>IF(F27="","",IF($E$42="BE",VLOOKUP(F27+0.5,NB!$V$822:$Y$837,4,TRUE),F27))</f>
        <v/>
      </c>
      <c r="H27" s="502"/>
      <c r="I27" s="507" t="str">
        <f t="shared" si="0"/>
        <v/>
      </c>
      <c r="J27" s="137" t="str">
        <f>IF(OR(COUNT(C27:E27)=0,I27=""),"",IF(diNo!H23="BOS", ROUNDUP((I27*2+SUM(AP!C27:E27))/(2+COUNT(AP!C27:E27)),2),ROUNDUP((I27*3+SUM(AP!C27:E27))/(3+COUNT(AP!C27:E27)),2)))</f>
        <v/>
      </c>
      <c r="K27" s="508" t="str">
        <f t="shared" si="1"/>
        <v/>
      </c>
    </row>
    <row r="28" spans="1:11" x14ac:dyDescent="0.2">
      <c r="A28" s="3">
        <f>I1SA!A26</f>
        <v>23</v>
      </c>
      <c r="B28" s="148" t="str">
        <f>IF(Notenbogen!B26&lt;&gt;"", Notenbogen!B26, "")</f>
        <v/>
      </c>
      <c r="C28" s="148"/>
      <c r="D28" s="148"/>
      <c r="E28" s="137"/>
      <c r="F28" s="6" t="str">
        <f>+APRohpunkte!AF26</f>
        <v/>
      </c>
      <c r="G28" s="3" t="str">
        <f>IF(F28="","",IF($E$42="BE",VLOOKUP(F28+0.5,NB!$V$822:$Y$837,4,TRUE),F28))</f>
        <v/>
      </c>
      <c r="H28" s="502"/>
      <c r="I28" s="507" t="str">
        <f t="shared" si="0"/>
        <v/>
      </c>
      <c r="J28" s="137" t="str">
        <f>IF(OR(COUNT(C28:E28)=0,I28=""),"",IF(diNo!H24="BOS", ROUNDUP((I28*2+SUM(AP!C28:E28))/(2+COUNT(AP!C28:E28)),2),ROUNDUP((I28*3+SUM(AP!C28:E28))/(3+COUNT(AP!C28:E28)),2)))</f>
        <v/>
      </c>
      <c r="K28" s="508" t="str">
        <f t="shared" si="1"/>
        <v/>
      </c>
    </row>
    <row r="29" spans="1:11" x14ac:dyDescent="0.2">
      <c r="A29" s="3">
        <f>I1SA!A27</f>
        <v>24</v>
      </c>
      <c r="B29" s="148" t="str">
        <f>IF(Notenbogen!B27&lt;&gt;"", Notenbogen!B27, "")</f>
        <v/>
      </c>
      <c r="C29" s="148"/>
      <c r="D29" s="148"/>
      <c r="E29" s="137"/>
      <c r="F29" s="6" t="str">
        <f>+APRohpunkte!AF27</f>
        <v/>
      </c>
      <c r="G29" s="3" t="str">
        <f>IF(F29="","",IF($E$42="BE",VLOOKUP(F29+0.5,NB!$V$822:$Y$837,4,TRUE),F29))</f>
        <v/>
      </c>
      <c r="H29" s="502"/>
      <c r="I29" s="507" t="str">
        <f t="shared" si="0"/>
        <v/>
      </c>
      <c r="J29" s="137" t="str">
        <f>IF(OR(COUNT(C29:E29)=0,I29=""),"",IF(diNo!H25="BOS", ROUNDUP((I29*2+SUM(AP!C29:E29))/(2+COUNT(AP!C29:E29)),2),ROUNDUP((I29*3+SUM(AP!C29:E29))/(3+COUNT(AP!C29:E29)),2)))</f>
        <v/>
      </c>
      <c r="K29" s="508" t="str">
        <f t="shared" si="1"/>
        <v/>
      </c>
    </row>
    <row r="30" spans="1:11" x14ac:dyDescent="0.2">
      <c r="A30" s="3">
        <f>I1SA!A28</f>
        <v>25</v>
      </c>
      <c r="B30" s="148" t="str">
        <f>IF(Notenbogen!B28&lt;&gt;"", Notenbogen!B28, "")</f>
        <v/>
      </c>
      <c r="C30" s="148"/>
      <c r="D30" s="148"/>
      <c r="E30" s="137"/>
      <c r="F30" s="6" t="str">
        <f>+APRohpunkte!AF28</f>
        <v/>
      </c>
      <c r="G30" s="3" t="str">
        <f>IF(F30="","",IF($E$42="BE",VLOOKUP(F30+0.5,NB!$V$822:$Y$837,4,TRUE),F30))</f>
        <v/>
      </c>
      <c r="H30" s="502"/>
      <c r="I30" s="507" t="str">
        <f t="shared" si="0"/>
        <v/>
      </c>
      <c r="J30" s="137" t="str">
        <f>IF(OR(COUNT(C30:E30)=0,I30=""),"",IF(diNo!H26="BOS", ROUNDUP((I30*2+SUM(AP!C30:E30))/(2+COUNT(AP!C30:E30)),2),ROUNDUP((I30*3+SUM(AP!C30:E30))/(3+COUNT(AP!C30:E30)),2)))</f>
        <v/>
      </c>
      <c r="K30" s="508" t="str">
        <f t="shared" si="1"/>
        <v/>
      </c>
    </row>
    <row r="31" spans="1:11" x14ac:dyDescent="0.2">
      <c r="A31" s="3">
        <f>I1SA!A29</f>
        <v>26</v>
      </c>
      <c r="B31" s="148" t="str">
        <f>IF(Notenbogen!B29&lt;&gt;"", Notenbogen!B29, "")</f>
        <v/>
      </c>
      <c r="C31" s="148"/>
      <c r="D31" s="148"/>
      <c r="E31" s="137"/>
      <c r="F31" s="6" t="str">
        <f>+APRohpunkte!AF29</f>
        <v/>
      </c>
      <c r="G31" s="3" t="str">
        <f>IF(F31="","",IF($E$42="BE",VLOOKUP(F31+0.5,NB!$V$822:$Y$837,4,TRUE),F31))</f>
        <v/>
      </c>
      <c r="H31" s="502"/>
      <c r="I31" s="507" t="str">
        <f t="shared" si="0"/>
        <v/>
      </c>
      <c r="J31" s="137" t="str">
        <f>IF(OR(COUNT(C31:E31)=0,I31=""),"",IF(diNo!H27="BOS", ROUNDUP((I31*2+SUM(AP!C31:E31))/(2+COUNT(AP!C31:E31)),2),ROUNDUP((I31*3+SUM(AP!C31:E31))/(3+COUNT(AP!C31:E31)),2)))</f>
        <v/>
      </c>
      <c r="K31" s="508" t="str">
        <f t="shared" si="1"/>
        <v/>
      </c>
    </row>
    <row r="32" spans="1:11" x14ac:dyDescent="0.2">
      <c r="A32" s="3">
        <f>I1SA!A30</f>
        <v>27</v>
      </c>
      <c r="B32" s="148" t="str">
        <f>IF(Notenbogen!B30&lt;&gt;"", Notenbogen!B30, "")</f>
        <v/>
      </c>
      <c r="C32" s="148"/>
      <c r="D32" s="148"/>
      <c r="E32" s="137"/>
      <c r="F32" s="6" t="str">
        <f>+APRohpunkte!AF30</f>
        <v/>
      </c>
      <c r="G32" s="3" t="str">
        <f>IF(F32="","",IF($E$42="BE",VLOOKUP(F32+0.5,NB!$V$822:$Y$837,4,TRUE),F32))</f>
        <v/>
      </c>
      <c r="H32" s="502"/>
      <c r="I32" s="507" t="str">
        <f t="shared" si="0"/>
        <v/>
      </c>
      <c r="J32" s="137" t="str">
        <f>IF(OR(COUNT(C32:E32)=0,I32=""),"",IF(diNo!H28="BOS", ROUNDUP((I32*2+SUM(AP!C32:E32))/(2+COUNT(AP!C32:E32)),2),ROUNDUP((I32*3+SUM(AP!C32:E32))/(3+COUNT(AP!C32:E32)),2)))</f>
        <v/>
      </c>
      <c r="K32" s="508" t="str">
        <f t="shared" si="1"/>
        <v/>
      </c>
    </row>
    <row r="33" spans="1:11" x14ac:dyDescent="0.2">
      <c r="A33" s="3">
        <f>I1SA!A31</f>
        <v>28</v>
      </c>
      <c r="B33" s="148" t="str">
        <f>IF(Notenbogen!B31&lt;&gt;"", Notenbogen!B31, "")</f>
        <v/>
      </c>
      <c r="C33" s="148"/>
      <c r="D33" s="148"/>
      <c r="E33" s="137"/>
      <c r="F33" s="6" t="str">
        <f>+APRohpunkte!AF31</f>
        <v/>
      </c>
      <c r="G33" s="3" t="str">
        <f>IF(F33="","",IF($E$42="BE",VLOOKUP(F33+0.5,NB!$V$822:$Y$837,4,TRUE),F33))</f>
        <v/>
      </c>
      <c r="H33" s="502"/>
      <c r="I33" s="507" t="str">
        <f t="shared" si="0"/>
        <v/>
      </c>
      <c r="J33" s="137" t="str">
        <f>IF(OR(COUNT(C33:E33)=0,I33=""),"",IF(diNo!H29="BOS", ROUNDUP((I33*2+SUM(AP!C33:E33))/(2+COUNT(AP!C33:E33)),2),ROUNDUP((I33*3+SUM(AP!C33:E33))/(3+COUNT(AP!C33:E33)),2)))</f>
        <v/>
      </c>
      <c r="K33" s="508" t="str">
        <f t="shared" si="1"/>
        <v/>
      </c>
    </row>
    <row r="34" spans="1:11" x14ac:dyDescent="0.2">
      <c r="A34" s="3">
        <f>I1SA!A32</f>
        <v>29</v>
      </c>
      <c r="B34" s="148" t="str">
        <f>IF(Notenbogen!B32&lt;&gt;"", Notenbogen!B32, "")</f>
        <v/>
      </c>
      <c r="C34" s="148"/>
      <c r="D34" s="148"/>
      <c r="E34" s="137"/>
      <c r="F34" s="6" t="str">
        <f>+APRohpunkte!AF32</f>
        <v/>
      </c>
      <c r="G34" s="3" t="str">
        <f>IF(F34="","",IF($E$42="BE",VLOOKUP(F34+0.5,NB!$V$822:$Y$837,4,TRUE),F34))</f>
        <v/>
      </c>
      <c r="H34" s="502"/>
      <c r="I34" s="507" t="str">
        <f t="shared" si="0"/>
        <v/>
      </c>
      <c r="J34" s="137" t="str">
        <f>IF(OR(COUNT(C34:E34)=0,I34=""),"",IF(diNo!H30="BOS", ROUNDUP((I34*2+SUM(AP!C34:E34))/(2+COUNT(AP!C34:E34)),2),ROUNDUP((I34*3+SUM(AP!C34:E34))/(3+COUNT(AP!C34:E34)),2)))</f>
        <v/>
      </c>
      <c r="K34" s="508" t="str">
        <f t="shared" si="1"/>
        <v/>
      </c>
    </row>
    <row r="35" spans="1:11" x14ac:dyDescent="0.2">
      <c r="A35" s="3">
        <f>I1SA!A33</f>
        <v>30</v>
      </c>
      <c r="B35" s="148" t="str">
        <f>IF(Notenbogen!B33&lt;&gt;"", Notenbogen!B33, "")</f>
        <v/>
      </c>
      <c r="C35" s="148"/>
      <c r="D35" s="148"/>
      <c r="E35" s="137"/>
      <c r="F35" s="6" t="str">
        <f>+APRohpunkte!AF33</f>
        <v/>
      </c>
      <c r="G35" s="3" t="str">
        <f>IF(F35="","",IF($E$42="BE",VLOOKUP(F35+0.5,NB!$V$822:$Y$837,4,TRUE),F35))</f>
        <v/>
      </c>
      <c r="H35" s="502"/>
      <c r="I35" s="507" t="str">
        <f t="shared" si="0"/>
        <v/>
      </c>
      <c r="J35" s="137" t="str">
        <f>IF(OR(COUNT(C35:E35)=0,I35=""),"",IF(diNo!H31="BOS", ROUNDUP((I35*2+SUM(AP!C35:E35))/(2+COUNT(AP!C35:E35)),2),ROUNDUP((I35*3+SUM(AP!C35:E35))/(3+COUNT(AP!C35:E35)),2)))</f>
        <v/>
      </c>
      <c r="K35" s="508" t="str">
        <f t="shared" si="1"/>
        <v/>
      </c>
    </row>
    <row r="36" spans="1:11" x14ac:dyDescent="0.2">
      <c r="A36" s="3">
        <f>I1SA!A34</f>
        <v>31</v>
      </c>
      <c r="B36" s="148" t="str">
        <f>IF(Notenbogen!B34&lt;&gt;"", Notenbogen!B34, "")</f>
        <v/>
      </c>
      <c r="C36" s="148"/>
      <c r="D36" s="148"/>
      <c r="E36" s="137"/>
      <c r="F36" s="6" t="str">
        <f>+APRohpunkte!AF34</f>
        <v/>
      </c>
      <c r="G36" s="3" t="str">
        <f>IF(F36="","",IF($E$42="BE",VLOOKUP(F36+0.5,NB!$V$822:$Y$837,4,TRUE),F36))</f>
        <v/>
      </c>
      <c r="H36" s="502"/>
      <c r="I36" s="507" t="str">
        <f t="shared" si="0"/>
        <v/>
      </c>
      <c r="J36" s="137" t="str">
        <f>IF(OR(COUNT(C36:E36)=0,I36=""),"",IF(diNo!H32="BOS", ROUNDUP((I36*2+SUM(AP!C36:E36))/(2+COUNT(AP!C36:E36)),2),ROUNDUP((I36*3+SUM(AP!C36:E36))/(3+COUNT(AP!C36:E36)),2)))</f>
        <v/>
      </c>
      <c r="K36" s="508" t="str">
        <f t="shared" si="1"/>
        <v/>
      </c>
    </row>
    <row r="37" spans="1:11" x14ac:dyDescent="0.2">
      <c r="A37" s="3">
        <f>I1SA!A35</f>
        <v>32</v>
      </c>
      <c r="B37" s="148" t="str">
        <f>IF(Notenbogen!B35&lt;&gt;"", Notenbogen!B35, "")</f>
        <v/>
      </c>
      <c r="C37" s="148"/>
      <c r="D37" s="148"/>
      <c r="E37" s="137"/>
      <c r="F37" s="6" t="str">
        <f>+APRohpunkte!AF35</f>
        <v/>
      </c>
      <c r="G37" s="3" t="str">
        <f>IF(F37="","",IF($E$42="BE",VLOOKUP(F37+0.5,NB!$V$822:$Y$837,4,TRUE),F37))</f>
        <v/>
      </c>
      <c r="H37" s="502"/>
      <c r="I37" s="507" t="str">
        <f t="shared" si="0"/>
        <v/>
      </c>
      <c r="J37" s="137" t="str">
        <f>IF(OR(COUNT(C37:E37)=0,I37=""),"",IF(diNo!H33="BOS", ROUNDUP((I37*2+SUM(AP!C37:E37))/(2+COUNT(AP!C37:E37)),2),ROUNDUP((I37*3+SUM(AP!C37:E37))/(3+COUNT(AP!C37:E37)),2)))</f>
        <v/>
      </c>
      <c r="K37" s="508" t="str">
        <f t="shared" si="1"/>
        <v/>
      </c>
    </row>
    <row r="38" spans="1:11" x14ac:dyDescent="0.2">
      <c r="A38" s="3">
        <f>I1SA!A36</f>
        <v>33</v>
      </c>
      <c r="B38" s="148" t="str">
        <f>IF(Notenbogen!B36&lt;&gt;"", Notenbogen!B36, "")</f>
        <v/>
      </c>
      <c r="C38" s="148"/>
      <c r="D38" s="148"/>
      <c r="E38" s="137"/>
      <c r="F38" s="6" t="str">
        <f>+APRohpunkte!AF36</f>
        <v/>
      </c>
      <c r="G38" s="3" t="str">
        <f>IF(F38="","",IF($E$42="BE",VLOOKUP(F38+0.5,NB!$V$822:$Y$837,4,TRUE),F38))</f>
        <v/>
      </c>
      <c r="H38" s="502"/>
      <c r="I38" s="507" t="str">
        <f t="shared" si="0"/>
        <v/>
      </c>
      <c r="J38" s="137" t="str">
        <f>IF(OR(COUNT(C38:E38)=0,I38=""),"",IF(diNo!H34="BOS", ROUNDUP((I38*2+SUM(AP!C38:E38))/(2+COUNT(AP!C38:E38)),2),ROUNDUP((I38*3+SUM(AP!C38:E38))/(3+COUNT(AP!C38:E38)),2)))</f>
        <v/>
      </c>
      <c r="K38" s="508" t="str">
        <f t="shared" si="1"/>
        <v/>
      </c>
    </row>
    <row r="39" spans="1:11" x14ac:dyDescent="0.2">
      <c r="A39" s="3">
        <f>I1SA!A37</f>
        <v>34</v>
      </c>
      <c r="B39" s="148" t="str">
        <f>IF(Notenbogen!B37&lt;&gt;"", Notenbogen!B37, "")</f>
        <v/>
      </c>
      <c r="C39" s="148"/>
      <c r="D39" s="148"/>
      <c r="E39" s="137"/>
      <c r="F39" s="6" t="str">
        <f>+APRohpunkte!AF37</f>
        <v/>
      </c>
      <c r="G39" s="3" t="str">
        <f>IF(F39="","",IF($E$42="BE",VLOOKUP(F39+0.5,NB!$V$822:$Y$837,4,TRUE),F39))</f>
        <v/>
      </c>
      <c r="H39" s="502"/>
      <c r="I39" s="507" t="str">
        <f t="shared" si="0"/>
        <v/>
      </c>
      <c r="J39" s="137" t="str">
        <f>IF(OR(COUNT(C39:E39)=0,I39=""),"",IF(diNo!H35="BOS", ROUNDUP((I39*2+SUM(AP!C39:E39))/(2+COUNT(AP!C39:E39)),2),ROUNDUP((I39*3+SUM(AP!C39:E39))/(3+COUNT(AP!C39:E39)),2)))</f>
        <v/>
      </c>
      <c r="K39" s="508" t="str">
        <f t="shared" si="1"/>
        <v/>
      </c>
    </row>
    <row r="40" spans="1:11" ht="13.5" thickBot="1" x14ac:dyDescent="0.25">
      <c r="A40" s="3">
        <f>I1SA!A38</f>
        <v>35</v>
      </c>
      <c r="B40" s="148" t="str">
        <f>IF(Notenbogen!B38&lt;&gt;"", Notenbogen!B38, "")</f>
        <v/>
      </c>
      <c r="C40" s="148"/>
      <c r="D40" s="148"/>
      <c r="E40" s="137"/>
      <c r="F40" s="6" t="str">
        <f>+APRohpunkte!AF38</f>
        <v/>
      </c>
      <c r="G40" s="3" t="str">
        <f>IF(F40="","",IF($E$42="BE",VLOOKUP(F40+0.5,NB!$V$822:$Y$837,4,TRUE),F40))</f>
        <v/>
      </c>
      <c r="H40" s="502"/>
      <c r="I40" s="509" t="str">
        <f t="shared" si="0"/>
        <v/>
      </c>
      <c r="J40" s="510" t="str">
        <f>IF(OR(COUNT(C40:E40)=0,I40=""),"",IF(diNo!H36="BOS", ROUNDUP((I40*2+SUM(AP!C40:E40))/(2+COUNT(AP!C40:E40)),2),ROUNDUP((I40*3+SUM(AP!C40:E40))/(3+COUNT(AP!C40:E40)),2)))</f>
        <v/>
      </c>
      <c r="K40" s="511" t="str">
        <f t="shared" si="1"/>
        <v/>
      </c>
    </row>
    <row r="41" spans="1:11" x14ac:dyDescent="0.2">
      <c r="B41" s="1" t="s">
        <v>67</v>
      </c>
      <c r="E41" s="141" t="e">
        <f>AVERAGE(C6:E40)</f>
        <v>#DIV/0!</v>
      </c>
      <c r="G41" s="141" t="e">
        <f>AVERAGE(G6:G40)</f>
        <v>#DIV/0!</v>
      </c>
      <c r="H41" s="141" t="e">
        <f>AVERAGE(H6:H40)</f>
        <v>#DIV/0!</v>
      </c>
      <c r="I41" s="503" t="e">
        <f>AVERAGE(I6:I40)</f>
        <v>#DIV/0!</v>
      </c>
      <c r="K41" s="503" t="e">
        <f>AVERAGE(K6:K40)</f>
        <v>#DIV/0!</v>
      </c>
    </row>
    <row r="42" spans="1:11" ht="13.5" thickBot="1" x14ac:dyDescent="0.25">
      <c r="B42" s="1" t="s">
        <v>47</v>
      </c>
      <c r="E42" s="116" t="s">
        <v>18</v>
      </c>
    </row>
    <row r="43" spans="1:11" ht="13.5" thickBot="1" x14ac:dyDescent="0.25">
      <c r="B43" s="1" t="s">
        <v>61</v>
      </c>
      <c r="E43" s="127" t="s">
        <v>39</v>
      </c>
      <c r="G43" s="445" t="s">
        <v>65</v>
      </c>
      <c r="H43" s="445"/>
      <c r="I43" s="445"/>
      <c r="J43" s="4"/>
    </row>
    <row r="44" spans="1:11" x14ac:dyDescent="0.2">
      <c r="B44" s="1" t="s">
        <v>62</v>
      </c>
      <c r="E44" s="128">
        <f>+APRohpunkte!AF2</f>
        <v>100</v>
      </c>
      <c r="F44" s="119" t="s">
        <v>63</v>
      </c>
      <c r="G44" s="16">
        <v>20</v>
      </c>
      <c r="H44" s="119" t="s">
        <v>64</v>
      </c>
      <c r="I44" s="16">
        <v>40</v>
      </c>
      <c r="J44" s="198"/>
    </row>
    <row r="45" spans="1:11" x14ac:dyDescent="0.2">
      <c r="G45" s="126"/>
      <c r="H45" s="117"/>
      <c r="I45" s="126"/>
      <c r="J45" s="126"/>
    </row>
    <row r="46" spans="1:11" x14ac:dyDescent="0.2">
      <c r="G46" s="126"/>
      <c r="I46" s="126"/>
      <c r="J46" s="126"/>
    </row>
    <row r="47" spans="1:11" x14ac:dyDescent="0.2">
      <c r="G47" s="126"/>
      <c r="H47" s="142"/>
    </row>
    <row r="48" spans="1:11" x14ac:dyDescent="0.2">
      <c r="G48" s="126"/>
      <c r="H48" s="142"/>
    </row>
    <row r="49" spans="5:12" x14ac:dyDescent="0.2">
      <c r="E49" s="139" t="s">
        <v>31</v>
      </c>
      <c r="F49" s="139" t="s">
        <v>32</v>
      </c>
      <c r="G49" s="139" t="s">
        <v>17</v>
      </c>
      <c r="H49" s="142" t="s">
        <v>5</v>
      </c>
      <c r="I49" s="1" t="s">
        <v>16</v>
      </c>
      <c r="K49" s="1" t="s">
        <v>5</v>
      </c>
      <c r="L49" s="1" t="s">
        <v>16</v>
      </c>
    </row>
    <row r="50" spans="5:12" x14ac:dyDescent="0.2">
      <c r="E50" s="239">
        <f>+NB!W804</f>
        <v>100</v>
      </c>
      <c r="F50" s="240">
        <f>+NB!X804</f>
        <v>96</v>
      </c>
      <c r="G50" s="241">
        <f>+NB!Y804</f>
        <v>15</v>
      </c>
      <c r="H50" s="243">
        <f>COUNTIF(G$6:G$40,15)</f>
        <v>0</v>
      </c>
      <c r="I50" s="250" t="e">
        <f>+H50/(SUM($H$50:$H$65))</f>
        <v>#DIV/0!</v>
      </c>
      <c r="J50" s="246"/>
      <c r="K50" s="89"/>
      <c r="L50" s="89"/>
    </row>
    <row r="51" spans="5:12" x14ac:dyDescent="0.2">
      <c r="E51" s="51">
        <f>+NB!W805</f>
        <v>95</v>
      </c>
      <c r="F51" s="50">
        <f>+NB!X805</f>
        <v>91</v>
      </c>
      <c r="G51" s="236">
        <f>+NB!Y805</f>
        <v>14</v>
      </c>
      <c r="H51" s="140">
        <f>COUNTIF(G$6:G$40,14)</f>
        <v>0</v>
      </c>
      <c r="I51" s="251" t="e">
        <f t="shared" ref="I51:I65" si="2">+H51/(SUM($H$50:$H$65))</f>
        <v>#DIV/0!</v>
      </c>
      <c r="J51" s="247"/>
      <c r="K51" s="145">
        <f>+H50+H51+H52</f>
        <v>0</v>
      </c>
      <c r="L51" s="147" t="e">
        <f>+I50+I51+I52</f>
        <v>#DIV/0!</v>
      </c>
    </row>
    <row r="52" spans="5:12" x14ac:dyDescent="0.2">
      <c r="E52" s="237">
        <f>+NB!W806</f>
        <v>90</v>
      </c>
      <c r="F52" s="242">
        <f>+NB!X806</f>
        <v>86</v>
      </c>
      <c r="G52" s="238">
        <f>+NB!Y806</f>
        <v>13</v>
      </c>
      <c r="H52" s="244">
        <f>COUNTIF(G$6:G$40,13)</f>
        <v>0</v>
      </c>
      <c r="I52" s="251" t="e">
        <f t="shared" si="2"/>
        <v>#DIV/0!</v>
      </c>
      <c r="J52" s="248"/>
      <c r="K52" s="146"/>
      <c r="L52" s="146"/>
    </row>
    <row r="53" spans="5:12" x14ac:dyDescent="0.2">
      <c r="E53" s="51">
        <f>+NB!W807</f>
        <v>85</v>
      </c>
      <c r="F53" s="50">
        <f>+NB!X807</f>
        <v>81</v>
      </c>
      <c r="G53" s="236">
        <f>+NB!Y807</f>
        <v>12</v>
      </c>
      <c r="H53" s="243">
        <f>COUNTIF(G$6:G$40,12)</f>
        <v>0</v>
      </c>
      <c r="I53" s="250" t="e">
        <f t="shared" si="2"/>
        <v>#DIV/0!</v>
      </c>
      <c r="J53" s="246"/>
      <c r="K53" s="89"/>
      <c r="L53" s="89"/>
    </row>
    <row r="54" spans="5:12" x14ac:dyDescent="0.2">
      <c r="E54" s="51">
        <f>+NB!W808</f>
        <v>80</v>
      </c>
      <c r="F54" s="50">
        <f>+NB!X808</f>
        <v>76</v>
      </c>
      <c r="G54" s="236">
        <f>+NB!Y808</f>
        <v>11</v>
      </c>
      <c r="H54" s="140">
        <f>COUNTIF(G$6:G$40,11)</f>
        <v>0</v>
      </c>
      <c r="I54" s="251" t="e">
        <f t="shared" si="2"/>
        <v>#DIV/0!</v>
      </c>
      <c r="J54" s="247"/>
      <c r="K54" s="145">
        <f>+H53+H54+H55</f>
        <v>0</v>
      </c>
      <c r="L54" s="147" t="e">
        <f>+I53+I54+I55</f>
        <v>#DIV/0!</v>
      </c>
    </row>
    <row r="55" spans="5:12" x14ac:dyDescent="0.2">
      <c r="E55" s="51">
        <f>+NB!W809</f>
        <v>75</v>
      </c>
      <c r="F55" s="50">
        <f>+NB!X809</f>
        <v>71</v>
      </c>
      <c r="G55" s="236">
        <f>+NB!Y809</f>
        <v>10</v>
      </c>
      <c r="H55" s="244">
        <f>COUNTIF(G$6:G$40,10)</f>
        <v>0</v>
      </c>
      <c r="I55" s="252" t="e">
        <f t="shared" si="2"/>
        <v>#DIV/0!</v>
      </c>
      <c r="J55" s="248"/>
      <c r="K55" s="146"/>
      <c r="L55" s="146"/>
    </row>
    <row r="56" spans="5:12" x14ac:dyDescent="0.2">
      <c r="E56" s="239">
        <f>+NB!W810</f>
        <v>70</v>
      </c>
      <c r="F56" s="240">
        <f>+NB!X810</f>
        <v>66</v>
      </c>
      <c r="G56" s="241">
        <f>+NB!Y810</f>
        <v>9</v>
      </c>
      <c r="H56" s="243">
        <f>COUNTIF(G$6:G$40,9)</f>
        <v>0</v>
      </c>
      <c r="I56" s="251" t="e">
        <f t="shared" si="2"/>
        <v>#DIV/0!</v>
      </c>
      <c r="J56" s="246"/>
      <c r="K56" s="89"/>
      <c r="L56" s="89"/>
    </row>
    <row r="57" spans="5:12" x14ac:dyDescent="0.2">
      <c r="E57" s="51">
        <f>+NB!W811</f>
        <v>65</v>
      </c>
      <c r="F57" s="50">
        <f>+NB!X811</f>
        <v>61</v>
      </c>
      <c r="G57" s="236">
        <f>+NB!Y811</f>
        <v>8</v>
      </c>
      <c r="H57" s="140">
        <f>COUNTIF(G$6:G$40,8)</f>
        <v>0</v>
      </c>
      <c r="I57" s="251" t="e">
        <f t="shared" si="2"/>
        <v>#DIV/0!</v>
      </c>
      <c r="J57" s="247"/>
      <c r="K57" s="145">
        <f>+H56+H57+H58</f>
        <v>0</v>
      </c>
      <c r="L57" s="147" t="e">
        <f>+I56+I57+I58</f>
        <v>#DIV/0!</v>
      </c>
    </row>
    <row r="58" spans="5:12" x14ac:dyDescent="0.2">
      <c r="E58" s="237">
        <f>+NB!W812</f>
        <v>60</v>
      </c>
      <c r="F58" s="242">
        <f>+NB!X812</f>
        <v>56</v>
      </c>
      <c r="G58" s="238">
        <f>+NB!Y812</f>
        <v>7</v>
      </c>
      <c r="H58" s="244">
        <f>COUNTIF(G$6:G$40,7)</f>
        <v>0</v>
      </c>
      <c r="I58" s="251" t="e">
        <f t="shared" si="2"/>
        <v>#DIV/0!</v>
      </c>
      <c r="J58" s="248"/>
      <c r="K58" s="146"/>
      <c r="L58" s="146"/>
    </row>
    <row r="59" spans="5:12" x14ac:dyDescent="0.2">
      <c r="E59" s="51">
        <f>+NB!W813</f>
        <v>55</v>
      </c>
      <c r="F59" s="50">
        <f>+NB!X813</f>
        <v>51</v>
      </c>
      <c r="G59" s="236">
        <f>+NB!Y813</f>
        <v>6</v>
      </c>
      <c r="H59" s="243">
        <f>COUNTIF(G$6:G$40,6)</f>
        <v>0</v>
      </c>
      <c r="I59" s="250" t="e">
        <f t="shared" si="2"/>
        <v>#DIV/0!</v>
      </c>
      <c r="J59" s="246"/>
      <c r="K59" s="89"/>
      <c r="L59" s="89"/>
    </row>
    <row r="60" spans="5:12" x14ac:dyDescent="0.2">
      <c r="E60" s="51">
        <f>+NB!W814</f>
        <v>50</v>
      </c>
      <c r="F60" s="50">
        <f>+NB!X814</f>
        <v>46</v>
      </c>
      <c r="G60" s="236">
        <f>+NB!Y814</f>
        <v>5</v>
      </c>
      <c r="H60" s="140">
        <f>COUNTIF(G$6:G$40,5)</f>
        <v>0</v>
      </c>
      <c r="I60" s="251" t="e">
        <f t="shared" si="2"/>
        <v>#DIV/0!</v>
      </c>
      <c r="J60" s="247"/>
      <c r="K60" s="145">
        <f>+H59+H60+H61</f>
        <v>0</v>
      </c>
      <c r="L60" s="147" t="e">
        <f>+I59+I60+I61</f>
        <v>#DIV/0!</v>
      </c>
    </row>
    <row r="61" spans="5:12" x14ac:dyDescent="0.2">
      <c r="E61" s="51">
        <f>+NB!W815</f>
        <v>45</v>
      </c>
      <c r="F61" s="50">
        <f>+NB!X815</f>
        <v>41</v>
      </c>
      <c r="G61" s="236">
        <f>+NB!Y815</f>
        <v>4</v>
      </c>
      <c r="H61" s="244">
        <f>COUNTIF(G$6:G$40,4)</f>
        <v>0</v>
      </c>
      <c r="I61" s="252" t="e">
        <f t="shared" si="2"/>
        <v>#DIV/0!</v>
      </c>
      <c r="J61" s="248"/>
      <c r="K61" s="146"/>
      <c r="L61" s="146"/>
    </row>
    <row r="62" spans="5:12" x14ac:dyDescent="0.2">
      <c r="E62" s="239">
        <f>+NB!W816</f>
        <v>40</v>
      </c>
      <c r="F62" s="240">
        <f>+NB!X816</f>
        <v>34</v>
      </c>
      <c r="G62" s="241">
        <f>+NB!Y816</f>
        <v>3</v>
      </c>
      <c r="H62" s="243">
        <f>COUNTIF(G$6:G$40,3)</f>
        <v>0</v>
      </c>
      <c r="I62" s="251" t="e">
        <f t="shared" si="2"/>
        <v>#DIV/0!</v>
      </c>
      <c r="J62" s="246"/>
      <c r="K62" s="89"/>
      <c r="L62" s="89"/>
    </row>
    <row r="63" spans="5:12" x14ac:dyDescent="0.2">
      <c r="E63" s="51">
        <f>+NB!W817</f>
        <v>33</v>
      </c>
      <c r="F63" s="50">
        <f>+NB!X817</f>
        <v>27</v>
      </c>
      <c r="G63" s="236">
        <f>+NB!Y817</f>
        <v>2</v>
      </c>
      <c r="H63" s="140">
        <f>COUNTIF(G$6:G$40,2)</f>
        <v>0</v>
      </c>
      <c r="I63" s="251" t="e">
        <f t="shared" si="2"/>
        <v>#DIV/0!</v>
      </c>
      <c r="J63" s="247"/>
      <c r="K63" s="145">
        <f>+H62+H63+H64</f>
        <v>0</v>
      </c>
      <c r="L63" s="147" t="e">
        <f>+I62+I63+I64</f>
        <v>#DIV/0!</v>
      </c>
    </row>
    <row r="64" spans="5:12" x14ac:dyDescent="0.2">
      <c r="E64" s="237">
        <f>+NB!W818</f>
        <v>26</v>
      </c>
      <c r="F64" s="242">
        <f>+NB!X818</f>
        <v>20</v>
      </c>
      <c r="G64" s="238">
        <f>+NB!Y818</f>
        <v>1</v>
      </c>
      <c r="H64" s="244">
        <f>COUNTIF(G$6:G$40,1)</f>
        <v>0</v>
      </c>
      <c r="I64" s="251" t="e">
        <f t="shared" si="2"/>
        <v>#DIV/0!</v>
      </c>
      <c r="J64" s="248"/>
      <c r="K64" s="146"/>
      <c r="L64" s="146"/>
    </row>
    <row r="65" spans="5:12" x14ac:dyDescent="0.2">
      <c r="E65" s="237">
        <f>+NB!W819</f>
        <v>19</v>
      </c>
      <c r="F65" s="242">
        <f>+NB!X819</f>
        <v>0</v>
      </c>
      <c r="G65" s="238">
        <f>+NB!Y819</f>
        <v>0</v>
      </c>
      <c r="H65" s="245">
        <f>COUNTIF(G$6:G$40,0)</f>
        <v>0</v>
      </c>
      <c r="I65" s="253" t="e">
        <f t="shared" si="2"/>
        <v>#DIV/0!</v>
      </c>
      <c r="J65" s="249"/>
      <c r="K65" s="3">
        <f>+H65</f>
        <v>0</v>
      </c>
      <c r="L65" s="143" t="e">
        <f>+I65</f>
        <v>#DIV/0!</v>
      </c>
    </row>
  </sheetData>
  <sheetProtection password="CC71" sheet="1" objects="1" scenarios="1" formatCells="0" formatColumns="0" formatRows="0"/>
  <mergeCells count="6">
    <mergeCell ref="G43:I43"/>
    <mergeCell ref="F5:G5"/>
    <mergeCell ref="J5:K5"/>
    <mergeCell ref="E2:H2"/>
    <mergeCell ref="E3:H3"/>
    <mergeCell ref="C5:E5"/>
  </mergeCells>
  <phoneticPr fontId="0" type="noConversion"/>
  <conditionalFormatting sqref="F6:F40">
    <cfRule type="expression" dxfId="3" priority="1" stopIfTrue="1">
      <formula>$E$42="Punkte"</formula>
    </cfRule>
    <cfRule type="expression" dxfId="2" priority="2" stopIfTrue="1">
      <formula>$E$42="BE"</formula>
    </cfRule>
  </conditionalFormatting>
  <conditionalFormatting sqref="I6:I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E42">
      <formula1>"BE,Punkte"</formula1>
    </dataValidation>
    <dataValidation type="list" allowBlank="1" showInputMessage="1" showErrorMessage="1" sqref="E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A5" sqref="A5"/>
    </sheetView>
  </sheetViews>
  <sheetFormatPr baseColWidth="10" defaultRowHeight="12.75" x14ac:dyDescent="0.2"/>
  <cols>
    <col min="1" max="1" width="4.7109375" style="285" customWidth="1"/>
    <col min="2" max="2" width="18.28515625" style="285" customWidth="1"/>
    <col min="3" max="3" width="19" style="285" customWidth="1"/>
    <col min="4" max="4" width="19.5703125" style="285" bestFit="1" customWidth="1"/>
    <col min="5" max="5" width="18.28515625" style="285" customWidth="1"/>
    <col min="6" max="6" width="14" style="285" customWidth="1"/>
    <col min="7" max="7" width="17.28515625" style="285" bestFit="1" customWidth="1"/>
    <col min="8" max="16384" width="11.42578125" style="285"/>
  </cols>
  <sheetData>
    <row r="1" spans="1:7" x14ac:dyDescent="0.2">
      <c r="A1" s="309"/>
      <c r="B1" s="309"/>
      <c r="C1" s="309"/>
      <c r="D1" s="309"/>
      <c r="E1" s="309"/>
      <c r="F1" s="309"/>
      <c r="G1" s="309"/>
    </row>
    <row r="2" spans="1:7" x14ac:dyDescent="0.2">
      <c r="A2" s="301" t="s">
        <v>122</v>
      </c>
      <c r="B2" s="313"/>
      <c r="C2" s="313"/>
      <c r="D2" s="313"/>
      <c r="E2" s="313"/>
      <c r="F2" s="313"/>
      <c r="G2" s="314"/>
    </row>
    <row r="3" spans="1:7" x14ac:dyDescent="0.2">
      <c r="A3" s="300" t="s">
        <v>121</v>
      </c>
      <c r="B3" s="312"/>
      <c r="C3" s="312"/>
      <c r="D3" s="312"/>
      <c r="E3" s="312"/>
      <c r="F3" s="312"/>
      <c r="G3" s="315"/>
    </row>
    <row r="4" spans="1:7" ht="13.5" thickBot="1" x14ac:dyDescent="0.25">
      <c r="A4" s="300" t="str">
        <f>"Fach: "&amp;+IF(Notenbogen!E1="","",Notenbogen!E1)</f>
        <v xml:space="preserve">Fach: </v>
      </c>
      <c r="B4" s="312"/>
      <c r="C4" s="312"/>
      <c r="D4" s="312"/>
      <c r="E4" s="312"/>
      <c r="F4" s="312"/>
      <c r="G4" s="315"/>
    </row>
    <row r="5" spans="1:7" ht="16.5" thickBot="1" x14ac:dyDescent="0.3">
      <c r="A5" s="299" t="str">
        <f>"Klasse "&amp;IF(Notenbogen!B1="","",Notenbogen!B1)</f>
        <v xml:space="preserve">Klasse </v>
      </c>
      <c r="B5" s="316"/>
      <c r="C5" s="298"/>
      <c r="D5" s="316"/>
      <c r="E5" s="316"/>
      <c r="F5" s="316"/>
      <c r="G5" s="317"/>
    </row>
    <row r="6" spans="1:7" x14ac:dyDescent="0.2">
      <c r="A6" s="309"/>
      <c r="B6" s="309"/>
      <c r="C6" s="309"/>
      <c r="D6" s="309"/>
      <c r="E6" s="309"/>
      <c r="F6" s="309"/>
      <c r="G6" s="309"/>
    </row>
    <row r="7" spans="1:7" ht="15.75" x14ac:dyDescent="0.25">
      <c r="A7" s="479" t="s">
        <v>120</v>
      </c>
      <c r="B7" s="480"/>
      <c r="C7" s="480"/>
      <c r="D7" s="480"/>
      <c r="E7" s="480"/>
      <c r="F7" s="480"/>
      <c r="G7" s="481"/>
    </row>
    <row r="8" spans="1:7" x14ac:dyDescent="0.2">
      <c r="A8" s="318"/>
      <c r="B8" s="313"/>
      <c r="C8" s="313"/>
      <c r="D8" s="313"/>
      <c r="E8" s="313"/>
      <c r="F8" s="313"/>
      <c r="G8" s="314"/>
    </row>
    <row r="9" spans="1:7" x14ac:dyDescent="0.2">
      <c r="A9" s="311"/>
      <c r="B9" s="319" t="s">
        <v>119</v>
      </c>
      <c r="C9" s="482" t="s">
        <v>118</v>
      </c>
      <c r="D9" s="482"/>
      <c r="E9" s="312"/>
      <c r="F9" s="312"/>
      <c r="G9" s="315"/>
    </row>
    <row r="10" spans="1:7" ht="25.5" customHeight="1" x14ac:dyDescent="0.2">
      <c r="A10" s="311"/>
      <c r="B10" s="319"/>
      <c r="C10" s="320" t="s">
        <v>117</v>
      </c>
      <c r="D10" s="320" t="s">
        <v>116</v>
      </c>
      <c r="E10" s="320" t="s">
        <v>124</v>
      </c>
      <c r="F10" s="320" t="s">
        <v>125</v>
      </c>
      <c r="G10" s="315"/>
    </row>
    <row r="11" spans="1:7" x14ac:dyDescent="0.2">
      <c r="A11" s="321">
        <v>1</v>
      </c>
      <c r="B11" s="305" t="str">
        <f>IF(Notenbogen!B4&lt;&gt;"", Notenbogen!B4, "")</f>
        <v/>
      </c>
      <c r="C11" s="322" t="str">
        <f>APRohpunkte!AF4</f>
        <v/>
      </c>
      <c r="D11" s="323" t="str">
        <f>IF(APRohpunkte!AF4="","",APRohpunkte!AF4+APRohpunkte!AE4)</f>
        <v/>
      </c>
      <c r="E11" s="322" t="str">
        <f>AP!G6</f>
        <v/>
      </c>
      <c r="F11" s="324" t="str">
        <f>IF(D11="","",IF(AP!$E$42="BE",VLOOKUP(D11+0.5,NB!$V$822:$Y$837,4,TRUE),D11))</f>
        <v/>
      </c>
      <c r="G11" s="321" t="str">
        <f>IF(E11&lt;&gt;F11,"KEINE EINIGUNG","")</f>
        <v/>
      </c>
    </row>
    <row r="12" spans="1:7" x14ac:dyDescent="0.2">
      <c r="A12" s="321">
        <v>2</v>
      </c>
      <c r="B12" s="305" t="str">
        <f>IF(Notenbogen!B5&lt;&gt;"", Notenbogen!B5, "")</f>
        <v/>
      </c>
      <c r="C12" s="322" t="str">
        <f>APRohpunkte!AF5</f>
        <v/>
      </c>
      <c r="D12" s="323" t="str">
        <f>IF(APRohpunkte!AF5="","",APRohpunkte!AF5+APRohpunkte!AE5)</f>
        <v/>
      </c>
      <c r="E12" s="322" t="str">
        <f>AP!G7</f>
        <v/>
      </c>
      <c r="F12" s="324" t="str">
        <f>IF(D12="","",IF(AP!$E$42="BE",VLOOKUP(D12+0.5,NB!$V$822:$Y$837,4,TRUE),D12))</f>
        <v/>
      </c>
      <c r="G12" s="321" t="str">
        <f t="shared" ref="G12:G45" si="0">IF(E12&lt;&gt;F12,"KEINE EINIGUNG","")</f>
        <v/>
      </c>
    </row>
    <row r="13" spans="1:7" x14ac:dyDescent="0.2">
      <c r="A13" s="321">
        <v>3</v>
      </c>
      <c r="B13" s="305" t="str">
        <f>IF(Notenbogen!B6&lt;&gt;"", Notenbogen!B6, "")</f>
        <v/>
      </c>
      <c r="C13" s="322" t="str">
        <f>APRohpunkte!AF6</f>
        <v/>
      </c>
      <c r="D13" s="323" t="str">
        <f>IF(APRohpunkte!AF6="","",APRohpunkte!AF6+APRohpunkte!AE6)</f>
        <v/>
      </c>
      <c r="E13" s="322" t="str">
        <f>AP!G8</f>
        <v/>
      </c>
      <c r="F13" s="324" t="str">
        <f>IF(D13="","",IF(AP!$E$42="BE",VLOOKUP(D13+0.5,NB!$V$822:$Y$837,4,TRUE),D13))</f>
        <v/>
      </c>
      <c r="G13" s="321" t="str">
        <f t="shared" si="0"/>
        <v/>
      </c>
    </row>
    <row r="14" spans="1:7" x14ac:dyDescent="0.2">
      <c r="A14" s="321">
        <v>4</v>
      </c>
      <c r="B14" s="305" t="str">
        <f>IF(Notenbogen!B7&lt;&gt;"", Notenbogen!B7, "")</f>
        <v/>
      </c>
      <c r="C14" s="322" t="str">
        <f>APRohpunkte!AF7</f>
        <v/>
      </c>
      <c r="D14" s="323" t="str">
        <f>IF(APRohpunkte!AF7="","",APRohpunkte!AF7+APRohpunkte!AE7)</f>
        <v/>
      </c>
      <c r="E14" s="322" t="str">
        <f>AP!G9</f>
        <v/>
      </c>
      <c r="F14" s="324" t="str">
        <f>IF(D14="","",IF(AP!$E$42="BE",VLOOKUP(D14+0.5,NB!$V$822:$Y$837,4,TRUE),D14))</f>
        <v/>
      </c>
      <c r="G14" s="321" t="str">
        <f t="shared" si="0"/>
        <v/>
      </c>
    </row>
    <row r="15" spans="1:7" x14ac:dyDescent="0.2">
      <c r="A15" s="321">
        <v>5</v>
      </c>
      <c r="B15" s="305" t="str">
        <f>IF(Notenbogen!B8&lt;&gt;"", Notenbogen!B8, "")</f>
        <v/>
      </c>
      <c r="C15" s="322" t="str">
        <f>APRohpunkte!AF8</f>
        <v/>
      </c>
      <c r="D15" s="323" t="str">
        <f>IF(APRohpunkte!AF8="","",APRohpunkte!AF8+APRohpunkte!AE8)</f>
        <v/>
      </c>
      <c r="E15" s="322" t="str">
        <f>AP!G10</f>
        <v/>
      </c>
      <c r="F15" s="324" t="str">
        <f>IF(D15="","",IF(AP!$E$42="BE",VLOOKUP(D15+0.5,NB!$V$822:$Y$837,4,TRUE),D15))</f>
        <v/>
      </c>
      <c r="G15" s="321" t="str">
        <f t="shared" si="0"/>
        <v/>
      </c>
    </row>
    <row r="16" spans="1:7" x14ac:dyDescent="0.2">
      <c r="A16" s="321">
        <v>6</v>
      </c>
      <c r="B16" s="305" t="str">
        <f>IF(Notenbogen!B9&lt;&gt;"", Notenbogen!B9, "")</f>
        <v/>
      </c>
      <c r="C16" s="322" t="str">
        <f>APRohpunkte!AF9</f>
        <v/>
      </c>
      <c r="D16" s="323" t="str">
        <f>IF(APRohpunkte!AF9="","",APRohpunkte!AF9+APRohpunkte!AE9)</f>
        <v/>
      </c>
      <c r="E16" s="322" t="str">
        <f>AP!G11</f>
        <v/>
      </c>
      <c r="F16" s="324" t="str">
        <f>IF(D16="","",IF(AP!$E$42="BE",VLOOKUP(D16+0.5,NB!$V$822:$Y$837,4,TRUE),D16))</f>
        <v/>
      </c>
      <c r="G16" s="321" t="str">
        <f t="shared" si="0"/>
        <v/>
      </c>
    </row>
    <row r="17" spans="1:7" x14ac:dyDescent="0.2">
      <c r="A17" s="321">
        <v>7</v>
      </c>
      <c r="B17" s="305" t="str">
        <f>IF(Notenbogen!B10&lt;&gt;"", Notenbogen!B10, "")</f>
        <v/>
      </c>
      <c r="C17" s="322" t="str">
        <f>APRohpunkte!AF10</f>
        <v/>
      </c>
      <c r="D17" s="323" t="str">
        <f>IF(APRohpunkte!AF10="","",APRohpunkte!AF10+APRohpunkte!AE10)</f>
        <v/>
      </c>
      <c r="E17" s="322" t="str">
        <f>AP!G12</f>
        <v/>
      </c>
      <c r="F17" s="324" t="str">
        <f>IF(D17="","",IF(AP!$E$42="BE",VLOOKUP(D17+0.5,NB!$V$822:$Y$837,4,TRUE),D17))</f>
        <v/>
      </c>
      <c r="G17" s="321" t="str">
        <f t="shared" si="0"/>
        <v/>
      </c>
    </row>
    <row r="18" spans="1:7" x14ac:dyDescent="0.2">
      <c r="A18" s="321">
        <v>8</v>
      </c>
      <c r="B18" s="305" t="str">
        <f>IF(Notenbogen!B11&lt;&gt;"", Notenbogen!B11, "")</f>
        <v/>
      </c>
      <c r="C18" s="322" t="str">
        <f>APRohpunkte!AF11</f>
        <v/>
      </c>
      <c r="D18" s="323" t="str">
        <f>IF(APRohpunkte!AF11="","",APRohpunkte!AF11+APRohpunkte!AE11)</f>
        <v/>
      </c>
      <c r="E18" s="322" t="str">
        <f>AP!G13</f>
        <v/>
      </c>
      <c r="F18" s="324" t="str">
        <f>IF(D18="","",IF(AP!$E$42="BE",VLOOKUP(D18+0.5,NB!$V$822:$Y$837,4,TRUE),D18))</f>
        <v/>
      </c>
      <c r="G18" s="321" t="str">
        <f t="shared" si="0"/>
        <v/>
      </c>
    </row>
    <row r="19" spans="1:7" x14ac:dyDescent="0.2">
      <c r="A19" s="321">
        <v>9</v>
      </c>
      <c r="B19" s="305" t="str">
        <f>IF(Notenbogen!B12&lt;&gt;"", Notenbogen!B12, "")</f>
        <v/>
      </c>
      <c r="C19" s="322" t="str">
        <f>APRohpunkte!AF12</f>
        <v/>
      </c>
      <c r="D19" s="323" t="str">
        <f>IF(APRohpunkte!AF12="","",APRohpunkte!AF12+APRohpunkte!AE12)</f>
        <v/>
      </c>
      <c r="E19" s="322" t="str">
        <f>AP!G14</f>
        <v/>
      </c>
      <c r="F19" s="324" t="str">
        <f>IF(D19="","",IF(AP!$E$42="BE",VLOOKUP(D19+0.5,NB!$V$822:$Y$837,4,TRUE),D19))</f>
        <v/>
      </c>
      <c r="G19" s="321" t="str">
        <f t="shared" si="0"/>
        <v/>
      </c>
    </row>
    <row r="20" spans="1:7" x14ac:dyDescent="0.2">
      <c r="A20" s="321">
        <v>10</v>
      </c>
      <c r="B20" s="305" t="str">
        <f>IF(Notenbogen!B13&lt;&gt;"", Notenbogen!B13, "")</f>
        <v/>
      </c>
      <c r="C20" s="322" t="str">
        <f>APRohpunkte!AF13</f>
        <v/>
      </c>
      <c r="D20" s="323" t="str">
        <f>IF(APRohpunkte!AF13="","",APRohpunkte!AF13+APRohpunkte!AE13)</f>
        <v/>
      </c>
      <c r="E20" s="322" t="str">
        <f>AP!G15</f>
        <v/>
      </c>
      <c r="F20" s="324" t="str">
        <f>IF(D20="","",IF(AP!$E$42="BE",VLOOKUP(D20+0.5,NB!$V$822:$Y$837,4,TRUE),D20))</f>
        <v/>
      </c>
      <c r="G20" s="321" t="str">
        <f t="shared" si="0"/>
        <v/>
      </c>
    </row>
    <row r="21" spans="1:7" x14ac:dyDescent="0.2">
      <c r="A21" s="321">
        <v>11</v>
      </c>
      <c r="B21" s="305" t="str">
        <f>IF(Notenbogen!B14&lt;&gt;"", Notenbogen!B14, "")</f>
        <v/>
      </c>
      <c r="C21" s="322" t="str">
        <f>APRohpunkte!AF14</f>
        <v/>
      </c>
      <c r="D21" s="323" t="str">
        <f>IF(APRohpunkte!AF14="","",APRohpunkte!AF14+APRohpunkte!AE14)</f>
        <v/>
      </c>
      <c r="E21" s="322" t="str">
        <f>AP!G16</f>
        <v/>
      </c>
      <c r="F21" s="324" t="str">
        <f>IF(D21="","",IF(AP!$E$42="BE",VLOOKUP(D21+0.5,NB!$V$822:$Y$837,4,TRUE),D21))</f>
        <v/>
      </c>
      <c r="G21" s="321" t="str">
        <f t="shared" si="0"/>
        <v/>
      </c>
    </row>
    <row r="22" spans="1:7" x14ac:dyDescent="0.2">
      <c r="A22" s="321">
        <v>12</v>
      </c>
      <c r="B22" s="305" t="str">
        <f>IF(Notenbogen!B15&lt;&gt;"", Notenbogen!B15, "")</f>
        <v/>
      </c>
      <c r="C22" s="322" t="str">
        <f>APRohpunkte!AF15</f>
        <v/>
      </c>
      <c r="D22" s="323" t="str">
        <f>IF(APRohpunkte!AF15="","",APRohpunkte!AF15+APRohpunkte!AE15)</f>
        <v/>
      </c>
      <c r="E22" s="322" t="str">
        <f>AP!G17</f>
        <v/>
      </c>
      <c r="F22" s="324" t="str">
        <f>IF(D22="","",IF(AP!$E$42="BE",VLOOKUP(D22+0.5,NB!$V$822:$Y$837,4,TRUE),D22))</f>
        <v/>
      </c>
      <c r="G22" s="321" t="str">
        <f t="shared" si="0"/>
        <v/>
      </c>
    </row>
    <row r="23" spans="1:7" x14ac:dyDescent="0.2">
      <c r="A23" s="321">
        <v>13</v>
      </c>
      <c r="B23" s="305" t="str">
        <f>IF(Notenbogen!B16&lt;&gt;"", Notenbogen!B16, "")</f>
        <v/>
      </c>
      <c r="C23" s="322" t="str">
        <f>APRohpunkte!AF16</f>
        <v/>
      </c>
      <c r="D23" s="323" t="str">
        <f>IF(APRohpunkte!AF16="","",APRohpunkte!AF16+APRohpunkte!AE16)</f>
        <v/>
      </c>
      <c r="E23" s="322" t="str">
        <f>AP!G18</f>
        <v/>
      </c>
      <c r="F23" s="324" t="str">
        <f>IF(D23="","",IF(AP!$E$42="BE",VLOOKUP(D23+0.5,NB!$V$822:$Y$837,4,TRUE),D23))</f>
        <v/>
      </c>
      <c r="G23" s="321" t="str">
        <f t="shared" si="0"/>
        <v/>
      </c>
    </row>
    <row r="24" spans="1:7" x14ac:dyDescent="0.2">
      <c r="A24" s="321">
        <v>14</v>
      </c>
      <c r="B24" s="305" t="str">
        <f>IF(Notenbogen!B17&lt;&gt;"", Notenbogen!B17, "")</f>
        <v/>
      </c>
      <c r="C24" s="322" t="str">
        <f>APRohpunkte!AF17</f>
        <v/>
      </c>
      <c r="D24" s="323" t="str">
        <f>IF(APRohpunkte!AF17="","",APRohpunkte!AF17+APRohpunkte!AE17)</f>
        <v/>
      </c>
      <c r="E24" s="322" t="str">
        <f>AP!G19</f>
        <v/>
      </c>
      <c r="F24" s="324" t="str">
        <f>IF(D24="","",IF(AP!$E$42="BE",VLOOKUP(D24+0.5,NB!$V$822:$Y$837,4,TRUE),D24))</f>
        <v/>
      </c>
      <c r="G24" s="321" t="str">
        <f t="shared" si="0"/>
        <v/>
      </c>
    </row>
    <row r="25" spans="1:7" x14ac:dyDescent="0.2">
      <c r="A25" s="321">
        <v>15</v>
      </c>
      <c r="B25" s="305" t="str">
        <f>IF(Notenbogen!B18&lt;&gt;"", Notenbogen!B18, "")</f>
        <v/>
      </c>
      <c r="C25" s="322" t="str">
        <f>APRohpunkte!AF18</f>
        <v/>
      </c>
      <c r="D25" s="323" t="str">
        <f>IF(APRohpunkte!AF18="","",APRohpunkte!AF18+APRohpunkte!AE18)</f>
        <v/>
      </c>
      <c r="E25" s="322" t="str">
        <f>AP!G20</f>
        <v/>
      </c>
      <c r="F25" s="324" t="str">
        <f>IF(D25="","",IF(AP!$E$42="BE",VLOOKUP(D25+0.5,NB!$V$822:$Y$837,4,TRUE),D25))</f>
        <v/>
      </c>
      <c r="G25" s="321" t="str">
        <f t="shared" si="0"/>
        <v/>
      </c>
    </row>
    <row r="26" spans="1:7" x14ac:dyDescent="0.2">
      <c r="A26" s="321">
        <v>16</v>
      </c>
      <c r="B26" s="305" t="str">
        <f>IF(Notenbogen!B19&lt;&gt;"", Notenbogen!B19, "")</f>
        <v/>
      </c>
      <c r="C26" s="322" t="str">
        <f>APRohpunkte!AF19</f>
        <v/>
      </c>
      <c r="D26" s="323" t="str">
        <f>IF(APRohpunkte!AF19="","",APRohpunkte!AF19+APRohpunkte!AE19)</f>
        <v/>
      </c>
      <c r="E26" s="322" t="str">
        <f>AP!G21</f>
        <v/>
      </c>
      <c r="F26" s="324" t="str">
        <f>IF(D26="","",IF(AP!$E$42="BE",VLOOKUP(D26+0.5,NB!$V$822:$Y$837,4,TRUE),D26))</f>
        <v/>
      </c>
      <c r="G26" s="321" t="str">
        <f t="shared" si="0"/>
        <v/>
      </c>
    </row>
    <row r="27" spans="1:7" x14ac:dyDescent="0.2">
      <c r="A27" s="321">
        <v>17</v>
      </c>
      <c r="B27" s="305" t="str">
        <f>IF(Notenbogen!B20&lt;&gt;"", Notenbogen!B20, "")</f>
        <v/>
      </c>
      <c r="C27" s="322" t="str">
        <f>APRohpunkte!AF20</f>
        <v/>
      </c>
      <c r="D27" s="323" t="str">
        <f>IF(APRohpunkte!AF20="","",APRohpunkte!AF20+APRohpunkte!AE20)</f>
        <v/>
      </c>
      <c r="E27" s="322" t="str">
        <f>AP!G22</f>
        <v/>
      </c>
      <c r="F27" s="324" t="str">
        <f>IF(D27="","",IF(AP!$E$42="BE",VLOOKUP(D27+0.5,NB!$V$822:$Y$837,4,TRUE),D27))</f>
        <v/>
      </c>
      <c r="G27" s="321" t="str">
        <f t="shared" si="0"/>
        <v/>
      </c>
    </row>
    <row r="28" spans="1:7" x14ac:dyDescent="0.2">
      <c r="A28" s="321">
        <v>18</v>
      </c>
      <c r="B28" s="305" t="str">
        <f>IF(Notenbogen!B21&lt;&gt;"", Notenbogen!B21, "")</f>
        <v/>
      </c>
      <c r="C28" s="322" t="str">
        <f>APRohpunkte!AF21</f>
        <v/>
      </c>
      <c r="D28" s="323" t="str">
        <f>IF(APRohpunkte!AF21="","",APRohpunkte!AF21+APRohpunkte!AE21)</f>
        <v/>
      </c>
      <c r="E28" s="322" t="str">
        <f>AP!G23</f>
        <v/>
      </c>
      <c r="F28" s="324" t="str">
        <f>IF(D28="","",IF(AP!$E$42="BE",VLOOKUP(D28+0.5,NB!$V$822:$Y$837,4,TRUE),D28))</f>
        <v/>
      </c>
      <c r="G28" s="321" t="str">
        <f t="shared" si="0"/>
        <v/>
      </c>
    </row>
    <row r="29" spans="1:7" x14ac:dyDescent="0.2">
      <c r="A29" s="321">
        <v>19</v>
      </c>
      <c r="B29" s="305" t="str">
        <f>IF(Notenbogen!B22&lt;&gt;"", Notenbogen!B22, "")</f>
        <v/>
      </c>
      <c r="C29" s="322" t="str">
        <f>APRohpunkte!AF22</f>
        <v/>
      </c>
      <c r="D29" s="323" t="str">
        <f>IF(APRohpunkte!AF22="","",APRohpunkte!AF22+APRohpunkte!AE22)</f>
        <v/>
      </c>
      <c r="E29" s="322" t="str">
        <f>AP!G24</f>
        <v/>
      </c>
      <c r="F29" s="324" t="str">
        <f>IF(D29="","",IF(AP!$E$42="BE",VLOOKUP(D29+0.5,NB!$V$822:$Y$837,4,TRUE),D29))</f>
        <v/>
      </c>
      <c r="G29" s="321" t="str">
        <f t="shared" si="0"/>
        <v/>
      </c>
    </row>
    <row r="30" spans="1:7" x14ac:dyDescent="0.2">
      <c r="A30" s="321">
        <v>20</v>
      </c>
      <c r="B30" s="305" t="str">
        <f>IF(Notenbogen!B23&lt;&gt;"", Notenbogen!B23, "")</f>
        <v/>
      </c>
      <c r="C30" s="322" t="str">
        <f>APRohpunkte!AF23</f>
        <v/>
      </c>
      <c r="D30" s="323" t="str">
        <f>IF(APRohpunkte!AF23="","",APRohpunkte!AF23+APRohpunkte!AE23)</f>
        <v/>
      </c>
      <c r="E30" s="322" t="str">
        <f>AP!G25</f>
        <v/>
      </c>
      <c r="F30" s="324" t="str">
        <f>IF(D30="","",IF(AP!$E$42="BE",VLOOKUP(D30+0.5,NB!$V$822:$Y$837,4,TRUE),D30))</f>
        <v/>
      </c>
      <c r="G30" s="321" t="str">
        <f t="shared" si="0"/>
        <v/>
      </c>
    </row>
    <row r="31" spans="1:7" x14ac:dyDescent="0.2">
      <c r="A31" s="321">
        <v>21</v>
      </c>
      <c r="B31" s="305" t="str">
        <f>IF(Notenbogen!B24&lt;&gt;"", Notenbogen!B24, "")</f>
        <v/>
      </c>
      <c r="C31" s="322" t="str">
        <f>APRohpunkte!AF24</f>
        <v/>
      </c>
      <c r="D31" s="323" t="str">
        <f>IF(APRohpunkte!AF24="","",APRohpunkte!AF24+APRohpunkte!AE24)</f>
        <v/>
      </c>
      <c r="E31" s="322" t="str">
        <f>AP!G26</f>
        <v/>
      </c>
      <c r="F31" s="324" t="str">
        <f>IF(D31="","",IF(AP!$E$42="BE",VLOOKUP(D31+0.5,NB!$V$822:$Y$837,4,TRUE),D31))</f>
        <v/>
      </c>
      <c r="G31" s="321" t="str">
        <f t="shared" si="0"/>
        <v/>
      </c>
    </row>
    <row r="32" spans="1:7" x14ac:dyDescent="0.2">
      <c r="A32" s="321">
        <v>22</v>
      </c>
      <c r="B32" s="305" t="str">
        <f>IF(Notenbogen!B25&lt;&gt;"", Notenbogen!B25, "")</f>
        <v/>
      </c>
      <c r="C32" s="322" t="str">
        <f>APRohpunkte!AF25</f>
        <v/>
      </c>
      <c r="D32" s="323" t="str">
        <f>IF(APRohpunkte!AF25="","",APRohpunkte!AF25+APRohpunkte!AE25)</f>
        <v/>
      </c>
      <c r="E32" s="322" t="str">
        <f>AP!G27</f>
        <v/>
      </c>
      <c r="F32" s="324" t="str">
        <f>IF(D32="","",IF(AP!$E$42="BE",VLOOKUP(D32+0.5,NB!$V$822:$Y$837,4,TRUE),D32))</f>
        <v/>
      </c>
      <c r="G32" s="321" t="str">
        <f t="shared" si="0"/>
        <v/>
      </c>
    </row>
    <row r="33" spans="1:7" x14ac:dyDescent="0.2">
      <c r="A33" s="321">
        <v>23</v>
      </c>
      <c r="B33" s="305" t="str">
        <f>IF(Notenbogen!B26&lt;&gt;"", Notenbogen!B26, "")</f>
        <v/>
      </c>
      <c r="C33" s="322" t="str">
        <f>APRohpunkte!AF26</f>
        <v/>
      </c>
      <c r="D33" s="323" t="str">
        <f>IF(APRohpunkte!AF26="","",APRohpunkte!AF26+APRohpunkte!AE26)</f>
        <v/>
      </c>
      <c r="E33" s="322" t="str">
        <f>AP!G28</f>
        <v/>
      </c>
      <c r="F33" s="324" t="str">
        <f>IF(D33="","",IF(AP!$E$42="BE",VLOOKUP(D33+0.5,NB!$V$822:$Y$837,4,TRUE),D33))</f>
        <v/>
      </c>
      <c r="G33" s="321" t="str">
        <f t="shared" si="0"/>
        <v/>
      </c>
    </row>
    <row r="34" spans="1:7" x14ac:dyDescent="0.2">
      <c r="A34" s="321">
        <v>24</v>
      </c>
      <c r="B34" s="305" t="str">
        <f>IF(Notenbogen!B27&lt;&gt;"", Notenbogen!B27, "")</f>
        <v/>
      </c>
      <c r="C34" s="322" t="str">
        <f>APRohpunkte!AF27</f>
        <v/>
      </c>
      <c r="D34" s="323" t="str">
        <f>IF(APRohpunkte!AF27="","",APRohpunkte!AF27+APRohpunkte!AE27)</f>
        <v/>
      </c>
      <c r="E34" s="322" t="str">
        <f>AP!G29</f>
        <v/>
      </c>
      <c r="F34" s="324" t="str">
        <f>IF(D34="","",IF(AP!$E$42="BE",VLOOKUP(D34+0.5,NB!$V$822:$Y$837,4,TRUE),D34))</f>
        <v/>
      </c>
      <c r="G34" s="321" t="str">
        <f t="shared" si="0"/>
        <v/>
      </c>
    </row>
    <row r="35" spans="1:7" x14ac:dyDescent="0.2">
      <c r="A35" s="321">
        <v>25</v>
      </c>
      <c r="B35" s="305" t="str">
        <f>IF(Notenbogen!B28&lt;&gt;"", Notenbogen!B28, "")</f>
        <v/>
      </c>
      <c r="C35" s="322" t="str">
        <f>APRohpunkte!AF28</f>
        <v/>
      </c>
      <c r="D35" s="323" t="str">
        <f>IF(APRohpunkte!AF28="","",APRohpunkte!AF28+APRohpunkte!AE28)</f>
        <v/>
      </c>
      <c r="E35" s="322" t="str">
        <f>AP!G30</f>
        <v/>
      </c>
      <c r="F35" s="324" t="str">
        <f>IF(D35="","",IF(AP!$E$42="BE",VLOOKUP(D35+0.5,NB!$V$822:$Y$837,4,TRUE),D35))</f>
        <v/>
      </c>
      <c r="G35" s="321" t="str">
        <f t="shared" si="0"/>
        <v/>
      </c>
    </row>
    <row r="36" spans="1:7" x14ac:dyDescent="0.2">
      <c r="A36" s="321">
        <v>26</v>
      </c>
      <c r="B36" s="305" t="str">
        <f>IF(Notenbogen!B29&lt;&gt;"", Notenbogen!B29, "")</f>
        <v/>
      </c>
      <c r="C36" s="322" t="str">
        <f>APRohpunkte!AF29</f>
        <v/>
      </c>
      <c r="D36" s="323" t="str">
        <f>IF(APRohpunkte!AF29="","",APRohpunkte!AF29+APRohpunkte!AE29)</f>
        <v/>
      </c>
      <c r="E36" s="322" t="str">
        <f>AP!G31</f>
        <v/>
      </c>
      <c r="F36" s="324" t="str">
        <f>IF(D36="","",IF(AP!$E$42="BE",VLOOKUP(D36+0.5,NB!$V$822:$Y$837,4,TRUE),D36))</f>
        <v/>
      </c>
      <c r="G36" s="321" t="str">
        <f t="shared" si="0"/>
        <v/>
      </c>
    </row>
    <row r="37" spans="1:7" x14ac:dyDescent="0.2">
      <c r="A37" s="321">
        <v>27</v>
      </c>
      <c r="B37" s="305" t="str">
        <f>IF(Notenbogen!B30&lt;&gt;"", Notenbogen!B30, "")</f>
        <v/>
      </c>
      <c r="C37" s="322" t="str">
        <f>APRohpunkte!AF30</f>
        <v/>
      </c>
      <c r="D37" s="323" t="str">
        <f>IF(APRohpunkte!AF30="","",APRohpunkte!AF30+APRohpunkte!AE30)</f>
        <v/>
      </c>
      <c r="E37" s="322" t="str">
        <f>AP!G32</f>
        <v/>
      </c>
      <c r="F37" s="324" t="str">
        <f>IF(D37="","",IF(AP!$E$42="BE",VLOOKUP(D37+0.5,NB!$V$822:$Y$837,4,TRUE),D37))</f>
        <v/>
      </c>
      <c r="G37" s="321" t="str">
        <f t="shared" si="0"/>
        <v/>
      </c>
    </row>
    <row r="38" spans="1:7" x14ac:dyDescent="0.2">
      <c r="A38" s="321">
        <v>28</v>
      </c>
      <c r="B38" s="305" t="str">
        <f>IF(Notenbogen!B31&lt;&gt;"", Notenbogen!B31, "")</f>
        <v/>
      </c>
      <c r="C38" s="322" t="str">
        <f>APRohpunkte!AF31</f>
        <v/>
      </c>
      <c r="D38" s="323" t="str">
        <f>IF(APRohpunkte!AF31="","",APRohpunkte!AF31+APRohpunkte!AE31)</f>
        <v/>
      </c>
      <c r="E38" s="322" t="str">
        <f>AP!G33</f>
        <v/>
      </c>
      <c r="F38" s="324" t="str">
        <f>IF(D38="","",IF(AP!$E$42="BE",VLOOKUP(D38+0.5,NB!$V$822:$Y$837,4,TRUE),D38))</f>
        <v/>
      </c>
      <c r="G38" s="321" t="str">
        <f t="shared" si="0"/>
        <v/>
      </c>
    </row>
    <row r="39" spans="1:7" x14ac:dyDescent="0.2">
      <c r="A39" s="321">
        <v>29</v>
      </c>
      <c r="B39" s="305" t="str">
        <f>IF(Notenbogen!B32&lt;&gt;"", Notenbogen!B32, "")</f>
        <v/>
      </c>
      <c r="C39" s="322" t="str">
        <f>APRohpunkte!AF32</f>
        <v/>
      </c>
      <c r="D39" s="323" t="str">
        <f>IF(APRohpunkte!AF32="","",APRohpunkte!AF32+APRohpunkte!AE32)</f>
        <v/>
      </c>
      <c r="E39" s="322" t="str">
        <f>AP!G34</f>
        <v/>
      </c>
      <c r="F39" s="324" t="str">
        <f>IF(D39="","",IF(AP!$E$42="BE",VLOOKUP(D39+0.5,NB!$V$822:$Y$837,4,TRUE),D39))</f>
        <v/>
      </c>
      <c r="G39" s="321" t="str">
        <f t="shared" si="0"/>
        <v/>
      </c>
    </row>
    <row r="40" spans="1:7" x14ac:dyDescent="0.2">
      <c r="A40" s="321">
        <v>30</v>
      </c>
      <c r="B40" s="305" t="str">
        <f>IF(Notenbogen!B33&lt;&gt;"", Notenbogen!B33, "")</f>
        <v/>
      </c>
      <c r="C40" s="322" t="str">
        <f>APRohpunkte!AF33</f>
        <v/>
      </c>
      <c r="D40" s="323" t="str">
        <f>IF(APRohpunkte!AF33="","",APRohpunkte!AF33+APRohpunkte!AE33)</f>
        <v/>
      </c>
      <c r="E40" s="322" t="str">
        <f>AP!G35</f>
        <v/>
      </c>
      <c r="F40" s="324" t="str">
        <f>IF(D40="","",IF(AP!$E$42="BE",VLOOKUP(D40+0.5,NB!$V$822:$Y$837,4,TRUE),D40))</f>
        <v/>
      </c>
      <c r="G40" s="321" t="str">
        <f t="shared" si="0"/>
        <v/>
      </c>
    </row>
    <row r="41" spans="1:7" x14ac:dyDescent="0.2">
      <c r="A41" s="321">
        <v>31</v>
      </c>
      <c r="B41" s="305" t="str">
        <f>IF(Notenbogen!B34&lt;&gt;"", Notenbogen!B34, "")</f>
        <v/>
      </c>
      <c r="C41" s="322" t="str">
        <f>APRohpunkte!AF34</f>
        <v/>
      </c>
      <c r="D41" s="323" t="str">
        <f>IF(APRohpunkte!AF34="","",APRohpunkte!AF34+APRohpunkte!AE34)</f>
        <v/>
      </c>
      <c r="E41" s="322" t="str">
        <f>AP!G36</f>
        <v/>
      </c>
      <c r="F41" s="324" t="str">
        <f>IF(D41="","",IF(AP!$E$42="BE",VLOOKUP(D41+0.5,NB!$V$822:$Y$837,4,TRUE),D41))</f>
        <v/>
      </c>
      <c r="G41" s="321" t="str">
        <f t="shared" si="0"/>
        <v/>
      </c>
    </row>
    <row r="42" spans="1:7" x14ac:dyDescent="0.2">
      <c r="A42" s="321">
        <v>32</v>
      </c>
      <c r="B42" s="305" t="str">
        <f>IF(Notenbogen!B35&lt;&gt;"", Notenbogen!B35, "")</f>
        <v/>
      </c>
      <c r="C42" s="322" t="str">
        <f>APRohpunkte!AF35</f>
        <v/>
      </c>
      <c r="D42" s="323" t="str">
        <f>IF(APRohpunkte!AF35="","",APRohpunkte!AF35+APRohpunkte!AE35)</f>
        <v/>
      </c>
      <c r="E42" s="322" t="str">
        <f>AP!G37</f>
        <v/>
      </c>
      <c r="F42" s="324" t="str">
        <f>IF(D42="","",IF(AP!$E$42="BE",VLOOKUP(D42+0.5,NB!$V$822:$Y$837,4,TRUE),D42))</f>
        <v/>
      </c>
      <c r="G42" s="321" t="str">
        <f t="shared" si="0"/>
        <v/>
      </c>
    </row>
    <row r="43" spans="1:7" x14ac:dyDescent="0.2">
      <c r="A43" s="321">
        <v>33</v>
      </c>
      <c r="B43" s="305" t="str">
        <f>IF(Notenbogen!B36&lt;&gt;"", Notenbogen!B36, "")</f>
        <v/>
      </c>
      <c r="C43" s="322" t="str">
        <f>APRohpunkte!AF36</f>
        <v/>
      </c>
      <c r="D43" s="323" t="str">
        <f>IF(APRohpunkte!AF36="","",APRohpunkte!AF36+APRohpunkte!AE36)</f>
        <v/>
      </c>
      <c r="E43" s="322" t="str">
        <f>AP!G38</f>
        <v/>
      </c>
      <c r="F43" s="324" t="str">
        <f>IF(D43="","",IF(AP!$E$42="BE",VLOOKUP(D43+0.5,NB!$V$822:$Y$837,4,TRUE),D43))</f>
        <v/>
      </c>
      <c r="G43" s="321" t="str">
        <f t="shared" si="0"/>
        <v/>
      </c>
    </row>
    <row r="44" spans="1:7" x14ac:dyDescent="0.2">
      <c r="A44" s="321">
        <v>34</v>
      </c>
      <c r="B44" s="305" t="str">
        <f>IF(Notenbogen!B37&lt;&gt;"", Notenbogen!B37, "")</f>
        <v/>
      </c>
      <c r="C44" s="322" t="str">
        <f>APRohpunkte!AF37</f>
        <v/>
      </c>
      <c r="D44" s="323" t="str">
        <f>IF(APRohpunkte!AF37="","",APRohpunkte!AF37+APRohpunkte!AE37)</f>
        <v/>
      </c>
      <c r="E44" s="322" t="str">
        <f>AP!G39</f>
        <v/>
      </c>
      <c r="F44" s="324" t="str">
        <f>IF(D44="","",IF(AP!$E$42="BE",VLOOKUP(D44+0.5,NB!$V$822:$Y$837,4,TRUE),D44))</f>
        <v/>
      </c>
      <c r="G44" s="321" t="str">
        <f t="shared" si="0"/>
        <v/>
      </c>
    </row>
    <row r="45" spans="1:7" x14ac:dyDescent="0.2">
      <c r="A45" s="321">
        <v>35</v>
      </c>
      <c r="B45" s="305" t="str">
        <f>IF(Notenbogen!B38&lt;&gt;"", Notenbogen!B38, "")</f>
        <v/>
      </c>
      <c r="C45" s="322" t="str">
        <f>APRohpunkte!AF38</f>
        <v/>
      </c>
      <c r="D45" s="323" t="str">
        <f>IF(APRohpunkte!AF38="","",APRohpunkte!AF38+APRohpunkte!AE38)</f>
        <v/>
      </c>
      <c r="E45" s="322" t="str">
        <f>AP!G40</f>
        <v/>
      </c>
      <c r="F45" s="324" t="str">
        <f>IF(D45="","",IF(AP!$E$42="BE",VLOOKUP(D45+0.5,NB!$V$822:$Y$837,4,TRUE),D45))</f>
        <v/>
      </c>
      <c r="G45" s="321" t="str">
        <f t="shared" si="0"/>
        <v/>
      </c>
    </row>
    <row r="46" spans="1:7" x14ac:dyDescent="0.2">
      <c r="A46" s="309"/>
      <c r="B46" s="309"/>
      <c r="C46" s="325"/>
      <c r="D46" s="309"/>
      <c r="E46" s="309"/>
      <c r="F46" s="309"/>
      <c r="G46" s="309"/>
    </row>
    <row r="47" spans="1:7" ht="25.5" x14ac:dyDescent="0.2">
      <c r="A47" s="483"/>
      <c r="B47" s="483"/>
      <c r="C47" s="326" t="s">
        <v>115</v>
      </c>
      <c r="D47" s="327" t="s">
        <v>114</v>
      </c>
      <c r="E47" s="326"/>
      <c r="F47" s="326" t="s">
        <v>115</v>
      </c>
      <c r="G47" s="327" t="s">
        <v>114</v>
      </c>
    </row>
    <row r="48" spans="1:7" x14ac:dyDescent="0.2">
      <c r="A48" s="484">
        <v>15</v>
      </c>
      <c r="B48" s="485"/>
      <c r="C48" s="328" t="str">
        <f>AP!E50 &amp;"-"&amp; AP!F50</f>
        <v>100-96</v>
      </c>
      <c r="D48" s="328">
        <f t="shared" ref="D48:D55" si="1">COUNTIF($E$11:$E$45,A48)</f>
        <v>0</v>
      </c>
      <c r="E48" s="328">
        <v>7</v>
      </c>
      <c r="F48" s="328" t="str">
        <f>AP!E58 &amp;"-"&amp; AP!F58</f>
        <v>60-56</v>
      </c>
      <c r="G48" s="328">
        <f t="shared" ref="G48:G55" si="2">COUNTIF($E$11:$E$45,E48)</f>
        <v>0</v>
      </c>
    </row>
    <row r="49" spans="1:7" x14ac:dyDescent="0.2">
      <c r="A49" s="484">
        <v>14</v>
      </c>
      <c r="B49" s="485"/>
      <c r="C49" s="328" t="str">
        <f>AP!E51 &amp;"-"&amp; AP!F51</f>
        <v>95-91</v>
      </c>
      <c r="D49" s="328">
        <f t="shared" si="1"/>
        <v>0</v>
      </c>
      <c r="E49" s="328">
        <v>6</v>
      </c>
      <c r="F49" s="328" t="str">
        <f>AP!E59 &amp;"-"&amp; AP!F59</f>
        <v>55-51</v>
      </c>
      <c r="G49" s="328">
        <f t="shared" si="2"/>
        <v>0</v>
      </c>
    </row>
    <row r="50" spans="1:7" x14ac:dyDescent="0.2">
      <c r="A50" s="484">
        <v>13</v>
      </c>
      <c r="B50" s="485"/>
      <c r="C50" s="328" t="str">
        <f>AP!E52 &amp;"-"&amp; AP!F52</f>
        <v>90-86</v>
      </c>
      <c r="D50" s="328">
        <f t="shared" si="1"/>
        <v>0</v>
      </c>
      <c r="E50" s="328">
        <v>5</v>
      </c>
      <c r="F50" s="328" t="str">
        <f>AP!E60 &amp;"-"&amp; AP!F60</f>
        <v>50-46</v>
      </c>
      <c r="G50" s="328">
        <f t="shared" si="2"/>
        <v>0</v>
      </c>
    </row>
    <row r="51" spans="1:7" x14ac:dyDescent="0.2">
      <c r="A51" s="484">
        <v>12</v>
      </c>
      <c r="B51" s="485"/>
      <c r="C51" s="328" t="str">
        <f>AP!E53 &amp;"-"&amp; AP!F53</f>
        <v>85-81</v>
      </c>
      <c r="D51" s="328">
        <f t="shared" si="1"/>
        <v>0</v>
      </c>
      <c r="E51" s="328">
        <v>4</v>
      </c>
      <c r="F51" s="328" t="str">
        <f>AP!E61 &amp;"-"&amp; AP!F61</f>
        <v>45-41</v>
      </c>
      <c r="G51" s="328">
        <f t="shared" si="2"/>
        <v>0</v>
      </c>
    </row>
    <row r="52" spans="1:7" x14ac:dyDescent="0.2">
      <c r="A52" s="484">
        <v>11</v>
      </c>
      <c r="B52" s="485"/>
      <c r="C52" s="328" t="str">
        <f>AP!E54 &amp;"-"&amp; AP!F54</f>
        <v>80-76</v>
      </c>
      <c r="D52" s="328">
        <f t="shared" si="1"/>
        <v>0</v>
      </c>
      <c r="E52" s="328">
        <v>3</v>
      </c>
      <c r="F52" s="328" t="str">
        <f>AP!E62 &amp;"-"&amp; AP!F62</f>
        <v>40-34</v>
      </c>
      <c r="G52" s="328">
        <f t="shared" si="2"/>
        <v>0</v>
      </c>
    </row>
    <row r="53" spans="1:7" x14ac:dyDescent="0.2">
      <c r="A53" s="484">
        <v>10</v>
      </c>
      <c r="B53" s="485"/>
      <c r="C53" s="328" t="str">
        <f>AP!E55 &amp;"-"&amp; AP!F55</f>
        <v>75-71</v>
      </c>
      <c r="D53" s="328">
        <f t="shared" si="1"/>
        <v>0</v>
      </c>
      <c r="E53" s="328">
        <v>2</v>
      </c>
      <c r="F53" s="328" t="str">
        <f>AP!E63 &amp;"-"&amp; AP!F63</f>
        <v>33-27</v>
      </c>
      <c r="G53" s="328">
        <f t="shared" si="2"/>
        <v>0</v>
      </c>
    </row>
    <row r="54" spans="1:7" x14ac:dyDescent="0.2">
      <c r="A54" s="484">
        <v>9</v>
      </c>
      <c r="B54" s="485"/>
      <c r="C54" s="328" t="str">
        <f>AP!E56 &amp;"-"&amp; AP!F56</f>
        <v>70-66</v>
      </c>
      <c r="D54" s="328">
        <f t="shared" si="1"/>
        <v>0</v>
      </c>
      <c r="E54" s="328">
        <v>1</v>
      </c>
      <c r="F54" s="328" t="str">
        <f>AP!E64 &amp;"-"&amp; AP!F64</f>
        <v>26-20</v>
      </c>
      <c r="G54" s="328">
        <f t="shared" si="2"/>
        <v>0</v>
      </c>
    </row>
    <row r="55" spans="1:7" x14ac:dyDescent="0.2">
      <c r="A55" s="484">
        <v>8</v>
      </c>
      <c r="B55" s="485"/>
      <c r="C55" s="328" t="str">
        <f>AP!E57 &amp;"-"&amp; AP!F57</f>
        <v>65-61</v>
      </c>
      <c r="D55" s="328">
        <f t="shared" si="1"/>
        <v>0</v>
      </c>
      <c r="E55" s="328">
        <v>0</v>
      </c>
      <c r="F55" s="328" t="str">
        <f>AP!E65 &amp;"-"&amp; AP!F65</f>
        <v>19-0</v>
      </c>
      <c r="G55" s="328">
        <f t="shared" si="2"/>
        <v>0</v>
      </c>
    </row>
    <row r="56" spans="1:7" x14ac:dyDescent="0.2">
      <c r="A56" s="292"/>
      <c r="B56" s="293"/>
      <c r="C56" s="293"/>
      <c r="D56" s="293"/>
      <c r="E56" s="293"/>
      <c r="F56" s="293"/>
      <c r="G56" s="297"/>
    </row>
    <row r="57" spans="1:7" x14ac:dyDescent="0.2">
      <c r="A57" s="495" t="s">
        <v>113</v>
      </c>
      <c r="B57" s="496"/>
      <c r="C57" s="496"/>
      <c r="D57" s="496"/>
      <c r="E57" s="496"/>
      <c r="F57" s="496"/>
      <c r="G57" s="497"/>
    </row>
    <row r="58" spans="1:7" x14ac:dyDescent="0.2">
      <c r="A58" s="486" t="e">
        <f>AVERAGE(E11:E45)</f>
        <v>#DIV/0!</v>
      </c>
      <c r="B58" s="487"/>
      <c r="C58" s="487"/>
      <c r="D58" s="487"/>
      <c r="E58" s="487"/>
      <c r="F58" s="487"/>
      <c r="G58" s="488"/>
    </row>
    <row r="60" spans="1:7" ht="26.25" customHeight="1" x14ac:dyDescent="0.2">
      <c r="A60" s="492" t="s">
        <v>112</v>
      </c>
      <c r="B60" s="493"/>
      <c r="C60" s="493"/>
      <c r="D60" s="493"/>
      <c r="E60" s="493"/>
      <c r="F60" s="493"/>
      <c r="G60" s="494"/>
    </row>
    <row r="65" spans="1:7" x14ac:dyDescent="0.2">
      <c r="A65" s="296"/>
      <c r="B65" s="491"/>
      <c r="C65" s="491"/>
      <c r="D65" s="293"/>
      <c r="E65" s="293"/>
      <c r="F65" s="490"/>
      <c r="G65" s="490"/>
    </row>
    <row r="66" spans="1:7" x14ac:dyDescent="0.2">
      <c r="A66" s="293"/>
      <c r="B66" s="489" t="s">
        <v>111</v>
      </c>
      <c r="C66" s="489"/>
      <c r="D66" s="293"/>
      <c r="E66" s="295"/>
      <c r="F66" s="489" t="s">
        <v>110</v>
      </c>
      <c r="G66" s="489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F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B5" sqref="B5"/>
    </sheetView>
  </sheetViews>
  <sheetFormatPr baseColWidth="10" defaultRowHeight="12.75" x14ac:dyDescent="0.2"/>
  <cols>
    <col min="1" max="1" width="3.85546875" style="216" customWidth="1"/>
    <col min="2" max="2" width="22" style="216" bestFit="1" customWidth="1"/>
    <col min="3" max="30" width="5.28515625" style="214" customWidth="1"/>
    <col min="31" max="31" width="14.7109375" style="303" customWidth="1"/>
    <col min="32" max="32" width="6" style="203" bestFit="1" customWidth="1"/>
  </cols>
  <sheetData>
    <row r="1" spans="1:32" x14ac:dyDescent="0.2"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302"/>
    </row>
    <row r="2" spans="1:32" x14ac:dyDescent="0.2">
      <c r="B2" s="256"/>
      <c r="C2" s="212">
        <v>4</v>
      </c>
      <c r="D2" s="212">
        <v>3</v>
      </c>
      <c r="E2" s="212">
        <v>3</v>
      </c>
      <c r="F2" s="212">
        <v>4</v>
      </c>
      <c r="G2" s="212">
        <v>4</v>
      </c>
      <c r="H2" s="212">
        <v>3</v>
      </c>
      <c r="I2" s="212">
        <v>2</v>
      </c>
      <c r="J2" s="212">
        <v>3</v>
      </c>
      <c r="K2" s="212">
        <v>3</v>
      </c>
      <c r="L2" s="212">
        <v>2</v>
      </c>
      <c r="M2" s="212">
        <v>3</v>
      </c>
      <c r="N2" s="212">
        <v>4</v>
      </c>
      <c r="O2" s="212">
        <v>4</v>
      </c>
      <c r="P2" s="212">
        <v>3</v>
      </c>
      <c r="Q2" s="212">
        <v>2</v>
      </c>
      <c r="R2" s="212">
        <v>3</v>
      </c>
      <c r="S2" s="212">
        <v>4</v>
      </c>
      <c r="T2" s="212">
        <v>5</v>
      </c>
      <c r="U2" s="212">
        <v>4</v>
      </c>
      <c r="V2" s="212">
        <v>4</v>
      </c>
      <c r="W2" s="212">
        <v>2</v>
      </c>
      <c r="X2" s="212">
        <v>8</v>
      </c>
      <c r="Y2" s="212">
        <v>3</v>
      </c>
      <c r="Z2" s="212">
        <v>5</v>
      </c>
      <c r="AA2" s="212">
        <v>3</v>
      </c>
      <c r="AB2" s="212">
        <v>4</v>
      </c>
      <c r="AC2" s="212">
        <v>4</v>
      </c>
      <c r="AD2" s="212">
        <v>4</v>
      </c>
      <c r="AE2" s="498" t="s">
        <v>123</v>
      </c>
      <c r="AF2" s="204">
        <f>SUM(C2:AD2)</f>
        <v>100</v>
      </c>
    </row>
    <row r="3" spans="1:32" x14ac:dyDescent="0.2">
      <c r="B3" s="256"/>
      <c r="C3" s="257" t="s">
        <v>74</v>
      </c>
      <c r="D3" s="213" t="s">
        <v>75</v>
      </c>
      <c r="E3" s="213" t="s">
        <v>76</v>
      </c>
      <c r="F3" s="213" t="s">
        <v>77</v>
      </c>
      <c r="G3" s="213" t="s">
        <v>78</v>
      </c>
      <c r="H3" s="213" t="s">
        <v>79</v>
      </c>
      <c r="I3" s="213" t="s">
        <v>80</v>
      </c>
      <c r="J3" s="213" t="s">
        <v>81</v>
      </c>
      <c r="K3" s="213" t="s">
        <v>82</v>
      </c>
      <c r="L3" s="213" t="s">
        <v>83</v>
      </c>
      <c r="M3" s="213" t="s">
        <v>84</v>
      </c>
      <c r="N3" s="213" t="s">
        <v>85</v>
      </c>
      <c r="O3" s="213" t="s">
        <v>86</v>
      </c>
      <c r="P3" s="213" t="s">
        <v>87</v>
      </c>
      <c r="Q3" s="213" t="s">
        <v>88</v>
      </c>
      <c r="R3" s="213" t="s">
        <v>89</v>
      </c>
      <c r="S3" s="213" t="s">
        <v>90</v>
      </c>
      <c r="T3" s="213" t="s">
        <v>91</v>
      </c>
      <c r="U3" s="213" t="s">
        <v>92</v>
      </c>
      <c r="V3" s="213" t="s">
        <v>93</v>
      </c>
      <c r="W3" s="213" t="s">
        <v>94</v>
      </c>
      <c r="X3" s="213" t="s">
        <v>95</v>
      </c>
      <c r="Y3" s="213" t="s">
        <v>96</v>
      </c>
      <c r="Z3" s="213" t="s">
        <v>97</v>
      </c>
      <c r="AA3" s="213" t="s">
        <v>98</v>
      </c>
      <c r="AB3" s="213" t="s">
        <v>99</v>
      </c>
      <c r="AC3" s="213" t="s">
        <v>100</v>
      </c>
      <c r="AD3" s="213" t="s">
        <v>101</v>
      </c>
      <c r="AE3" s="499"/>
      <c r="AF3" s="204"/>
    </row>
    <row r="4" spans="1:32" ht="31.5" customHeight="1" x14ac:dyDescent="0.2">
      <c r="A4" s="216">
        <v>1</v>
      </c>
      <c r="B4" s="258" t="str">
        <f>+AP!B6</f>
        <v/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30"/>
      <c r="AF4" s="205" t="str">
        <f t="shared" ref="AF4:AF38" si="0">IF(COUNT(C4:AD4)&gt;0,SUM(C4:AD4),"")</f>
        <v/>
      </c>
    </row>
    <row r="5" spans="1:32" ht="31.5" customHeight="1" x14ac:dyDescent="0.2">
      <c r="A5" s="216">
        <f t="shared" ref="A5:A37" si="1">+A4+1</f>
        <v>2</v>
      </c>
      <c r="B5" s="258" t="str">
        <f>+AP!B7</f>
        <v/>
      </c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30"/>
      <c r="AF5" s="205" t="str">
        <f t="shared" si="0"/>
        <v/>
      </c>
    </row>
    <row r="6" spans="1:32" ht="31.5" customHeight="1" x14ac:dyDescent="0.2">
      <c r="A6" s="216">
        <f t="shared" si="1"/>
        <v>3</v>
      </c>
      <c r="B6" s="258" t="str">
        <f>+AP!B8</f>
        <v/>
      </c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30"/>
      <c r="AF6" s="205" t="str">
        <f t="shared" si="0"/>
        <v/>
      </c>
    </row>
    <row r="7" spans="1:32" ht="31.5" customHeight="1" x14ac:dyDescent="0.2">
      <c r="A7" s="216">
        <f>+A6+1</f>
        <v>4</v>
      </c>
      <c r="B7" s="258" t="str">
        <f>+AP!B9</f>
        <v/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30"/>
      <c r="AF7" s="205" t="str">
        <f t="shared" si="0"/>
        <v/>
      </c>
    </row>
    <row r="8" spans="1:32" ht="31.5" customHeight="1" x14ac:dyDescent="0.2">
      <c r="A8" s="216">
        <f t="shared" si="1"/>
        <v>5</v>
      </c>
      <c r="B8" s="258" t="str">
        <f>+AP!B10</f>
        <v/>
      </c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30"/>
      <c r="AF8" s="205" t="str">
        <f t="shared" si="0"/>
        <v/>
      </c>
    </row>
    <row r="9" spans="1:32" ht="31.5" customHeight="1" x14ac:dyDescent="0.2">
      <c r="A9" s="216">
        <f t="shared" si="1"/>
        <v>6</v>
      </c>
      <c r="B9" s="258" t="str">
        <f>+AP!B11</f>
        <v/>
      </c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29"/>
      <c r="O9" s="329"/>
      <c r="P9" s="329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30"/>
      <c r="AF9" s="205" t="str">
        <f t="shared" si="0"/>
        <v/>
      </c>
    </row>
    <row r="10" spans="1:32" ht="31.5" customHeight="1" x14ac:dyDescent="0.2">
      <c r="A10" s="216">
        <f t="shared" si="1"/>
        <v>7</v>
      </c>
      <c r="B10" s="258" t="str">
        <f>+AP!B12</f>
        <v/>
      </c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30"/>
      <c r="AF10" s="205" t="str">
        <f t="shared" si="0"/>
        <v/>
      </c>
    </row>
    <row r="11" spans="1:32" ht="31.5" customHeight="1" x14ac:dyDescent="0.2">
      <c r="A11" s="216">
        <f t="shared" si="1"/>
        <v>8</v>
      </c>
      <c r="B11" s="258" t="str">
        <f>+AP!B13</f>
        <v/>
      </c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30"/>
      <c r="AF11" s="205" t="str">
        <f t="shared" si="0"/>
        <v/>
      </c>
    </row>
    <row r="12" spans="1:32" ht="31.5" customHeight="1" x14ac:dyDescent="0.2">
      <c r="A12" s="216">
        <f t="shared" si="1"/>
        <v>9</v>
      </c>
      <c r="B12" s="258" t="str">
        <f>+AP!B14</f>
        <v/>
      </c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30"/>
      <c r="AF12" s="205" t="str">
        <f t="shared" si="0"/>
        <v/>
      </c>
    </row>
    <row r="13" spans="1:32" ht="31.5" customHeight="1" x14ac:dyDescent="0.2">
      <c r="A13" s="216">
        <f t="shared" si="1"/>
        <v>10</v>
      </c>
      <c r="B13" s="258" t="str">
        <f>+AP!B15</f>
        <v/>
      </c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30"/>
      <c r="AF13" s="205" t="str">
        <f t="shared" si="0"/>
        <v/>
      </c>
    </row>
    <row r="14" spans="1:32" ht="31.5" customHeight="1" x14ac:dyDescent="0.2">
      <c r="A14" s="216">
        <f t="shared" si="1"/>
        <v>11</v>
      </c>
      <c r="B14" s="258" t="str">
        <f>+AP!B16</f>
        <v/>
      </c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330"/>
      <c r="AF14" s="205" t="str">
        <f t="shared" si="0"/>
        <v/>
      </c>
    </row>
    <row r="15" spans="1:32" ht="31.5" customHeight="1" x14ac:dyDescent="0.2">
      <c r="A15" s="216">
        <f t="shared" si="1"/>
        <v>12</v>
      </c>
      <c r="B15" s="258" t="str">
        <f>+AP!B17</f>
        <v/>
      </c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29"/>
      <c r="Z15" s="329"/>
      <c r="AA15" s="329"/>
      <c r="AB15" s="329"/>
      <c r="AC15" s="329"/>
      <c r="AD15" s="329"/>
      <c r="AE15" s="330"/>
      <c r="AF15" s="205" t="str">
        <f t="shared" si="0"/>
        <v/>
      </c>
    </row>
    <row r="16" spans="1:32" ht="31.5" customHeight="1" x14ac:dyDescent="0.2">
      <c r="A16" s="216">
        <f t="shared" si="1"/>
        <v>13</v>
      </c>
      <c r="B16" s="258" t="str">
        <f>+AP!B18</f>
        <v/>
      </c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330"/>
      <c r="AF16" s="205" t="str">
        <f t="shared" si="0"/>
        <v/>
      </c>
    </row>
    <row r="17" spans="1:32" ht="31.5" customHeight="1" x14ac:dyDescent="0.2">
      <c r="A17" s="216">
        <f t="shared" si="1"/>
        <v>14</v>
      </c>
      <c r="B17" s="258" t="str">
        <f>+AP!B19</f>
        <v/>
      </c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30"/>
      <c r="AF17" s="205" t="str">
        <f t="shared" si="0"/>
        <v/>
      </c>
    </row>
    <row r="18" spans="1:32" ht="31.5" customHeight="1" x14ac:dyDescent="0.2">
      <c r="A18" s="216">
        <f t="shared" si="1"/>
        <v>15</v>
      </c>
      <c r="B18" s="258" t="str">
        <f>+AP!B20</f>
        <v/>
      </c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30"/>
      <c r="AF18" s="205" t="str">
        <f t="shared" si="0"/>
        <v/>
      </c>
    </row>
    <row r="19" spans="1:32" ht="31.5" customHeight="1" x14ac:dyDescent="0.2">
      <c r="A19" s="216">
        <f t="shared" si="1"/>
        <v>16</v>
      </c>
      <c r="B19" s="258" t="str">
        <f>+AP!B21</f>
        <v/>
      </c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30"/>
      <c r="AF19" s="205" t="str">
        <f t="shared" si="0"/>
        <v/>
      </c>
    </row>
    <row r="20" spans="1:32" ht="31.5" customHeight="1" x14ac:dyDescent="0.2">
      <c r="A20" s="216">
        <f t="shared" si="1"/>
        <v>17</v>
      </c>
      <c r="B20" s="258" t="str">
        <f>+AP!B22</f>
        <v/>
      </c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30"/>
      <c r="AF20" s="205" t="str">
        <f t="shared" si="0"/>
        <v/>
      </c>
    </row>
    <row r="21" spans="1:32" ht="31.5" customHeight="1" x14ac:dyDescent="0.2">
      <c r="A21" s="216">
        <f t="shared" si="1"/>
        <v>18</v>
      </c>
      <c r="B21" s="258" t="str">
        <f>+AP!B23</f>
        <v/>
      </c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29"/>
      <c r="AB21" s="329"/>
      <c r="AC21" s="329"/>
      <c r="AD21" s="329"/>
      <c r="AE21" s="330"/>
      <c r="AF21" s="205" t="str">
        <f t="shared" si="0"/>
        <v/>
      </c>
    </row>
    <row r="22" spans="1:32" ht="31.5" customHeight="1" x14ac:dyDescent="0.2">
      <c r="A22" s="216">
        <f t="shared" si="1"/>
        <v>19</v>
      </c>
      <c r="B22" s="258" t="str">
        <f>+AP!B24</f>
        <v/>
      </c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29"/>
      <c r="AB22" s="329"/>
      <c r="AC22" s="329"/>
      <c r="AD22" s="329"/>
      <c r="AE22" s="330"/>
      <c r="AF22" s="205" t="str">
        <f t="shared" si="0"/>
        <v/>
      </c>
    </row>
    <row r="23" spans="1:32" ht="31.5" customHeight="1" x14ac:dyDescent="0.2">
      <c r="A23" s="216">
        <f t="shared" si="1"/>
        <v>20</v>
      </c>
      <c r="B23" s="258" t="str">
        <f>+AP!B25</f>
        <v/>
      </c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30"/>
      <c r="AF23" s="205" t="str">
        <f t="shared" si="0"/>
        <v/>
      </c>
    </row>
    <row r="24" spans="1:32" ht="31.5" customHeight="1" x14ac:dyDescent="0.2">
      <c r="A24" s="216">
        <f t="shared" si="1"/>
        <v>21</v>
      </c>
      <c r="B24" s="258" t="str">
        <f>+AP!B26</f>
        <v/>
      </c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30"/>
      <c r="AF24" s="205" t="str">
        <f t="shared" si="0"/>
        <v/>
      </c>
    </row>
    <row r="25" spans="1:32" ht="31.5" customHeight="1" x14ac:dyDescent="0.2">
      <c r="A25" s="216">
        <f t="shared" si="1"/>
        <v>22</v>
      </c>
      <c r="B25" s="258" t="str">
        <f>+AP!B27</f>
        <v/>
      </c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30"/>
      <c r="AF25" s="205" t="str">
        <f t="shared" si="0"/>
        <v/>
      </c>
    </row>
    <row r="26" spans="1:32" ht="31.5" customHeight="1" x14ac:dyDescent="0.2">
      <c r="A26" s="216">
        <f t="shared" si="1"/>
        <v>23</v>
      </c>
      <c r="B26" s="258" t="str">
        <f>+AP!B28</f>
        <v/>
      </c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30"/>
      <c r="AF26" s="205" t="str">
        <f t="shared" si="0"/>
        <v/>
      </c>
    </row>
    <row r="27" spans="1:32" ht="31.5" customHeight="1" x14ac:dyDescent="0.2">
      <c r="A27" s="216">
        <f t="shared" si="1"/>
        <v>24</v>
      </c>
      <c r="B27" s="258" t="str">
        <f>+AP!B29</f>
        <v/>
      </c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30"/>
      <c r="AF27" s="205" t="str">
        <f t="shared" si="0"/>
        <v/>
      </c>
    </row>
    <row r="28" spans="1:32" ht="31.5" customHeight="1" x14ac:dyDescent="0.2">
      <c r="A28" s="216">
        <f t="shared" si="1"/>
        <v>25</v>
      </c>
      <c r="B28" s="258" t="str">
        <f>+AP!B30</f>
        <v/>
      </c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30"/>
      <c r="AF28" s="205" t="str">
        <f t="shared" si="0"/>
        <v/>
      </c>
    </row>
    <row r="29" spans="1:32" ht="31.5" customHeight="1" x14ac:dyDescent="0.2">
      <c r="A29" s="216">
        <f t="shared" si="1"/>
        <v>26</v>
      </c>
      <c r="B29" s="258" t="str">
        <f>+AP!B31</f>
        <v/>
      </c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30"/>
      <c r="AF29" s="205" t="str">
        <f t="shared" si="0"/>
        <v/>
      </c>
    </row>
    <row r="30" spans="1:32" ht="31.5" customHeight="1" x14ac:dyDescent="0.2">
      <c r="A30" s="216">
        <f t="shared" si="1"/>
        <v>27</v>
      </c>
      <c r="B30" s="258" t="str">
        <f>+AP!B32</f>
        <v/>
      </c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30"/>
      <c r="AF30" s="205" t="str">
        <f t="shared" si="0"/>
        <v/>
      </c>
    </row>
    <row r="31" spans="1:32" ht="31.5" customHeight="1" x14ac:dyDescent="0.2">
      <c r="A31" s="216">
        <f t="shared" si="1"/>
        <v>28</v>
      </c>
      <c r="B31" s="258" t="str">
        <f>+AP!B33</f>
        <v/>
      </c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30"/>
      <c r="AF31" s="205" t="str">
        <f t="shared" si="0"/>
        <v/>
      </c>
    </row>
    <row r="32" spans="1:32" ht="31.5" customHeight="1" x14ac:dyDescent="0.2">
      <c r="A32" s="216">
        <f t="shared" si="1"/>
        <v>29</v>
      </c>
      <c r="B32" s="258" t="str">
        <f>+AP!B34</f>
        <v/>
      </c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30"/>
      <c r="AF32" s="205" t="str">
        <f t="shared" si="0"/>
        <v/>
      </c>
    </row>
    <row r="33" spans="1:32" ht="31.5" customHeight="1" x14ac:dyDescent="0.2">
      <c r="A33" s="216">
        <f t="shared" si="1"/>
        <v>30</v>
      </c>
      <c r="B33" s="258" t="str">
        <f>+AP!B35</f>
        <v/>
      </c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30"/>
      <c r="AF33" s="205" t="str">
        <f t="shared" si="0"/>
        <v/>
      </c>
    </row>
    <row r="34" spans="1:32" ht="31.5" customHeight="1" x14ac:dyDescent="0.2">
      <c r="A34" s="216">
        <f t="shared" si="1"/>
        <v>31</v>
      </c>
      <c r="B34" s="258" t="str">
        <f>+AP!B36</f>
        <v/>
      </c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30"/>
      <c r="AF34" s="205" t="str">
        <f t="shared" si="0"/>
        <v/>
      </c>
    </row>
    <row r="35" spans="1:32" ht="31.5" customHeight="1" x14ac:dyDescent="0.2">
      <c r="A35" s="216">
        <f t="shared" si="1"/>
        <v>32</v>
      </c>
      <c r="B35" s="258" t="str">
        <f>+AP!B37</f>
        <v/>
      </c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30"/>
      <c r="AF35" s="205" t="str">
        <f t="shared" si="0"/>
        <v/>
      </c>
    </row>
    <row r="36" spans="1:32" ht="31.5" customHeight="1" x14ac:dyDescent="0.2">
      <c r="A36" s="216">
        <f t="shared" si="1"/>
        <v>33</v>
      </c>
      <c r="B36" s="258" t="str">
        <f>+AP!B38</f>
        <v/>
      </c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30"/>
      <c r="AF36" s="205" t="str">
        <f t="shared" si="0"/>
        <v/>
      </c>
    </row>
    <row r="37" spans="1:32" ht="31.5" customHeight="1" x14ac:dyDescent="0.2">
      <c r="A37" s="216">
        <f t="shared" si="1"/>
        <v>34</v>
      </c>
      <c r="B37" s="258" t="str">
        <f>+AP!B39</f>
        <v/>
      </c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30"/>
      <c r="AF37" s="205" t="str">
        <f t="shared" si="0"/>
        <v/>
      </c>
    </row>
    <row r="38" spans="1:32" ht="31.5" customHeight="1" x14ac:dyDescent="0.2">
      <c r="A38" s="216">
        <f>+A37+1</f>
        <v>35</v>
      </c>
      <c r="B38" s="258" t="str">
        <f>+AP!B40</f>
        <v/>
      </c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29"/>
      <c r="Z38" s="329"/>
      <c r="AA38" s="329"/>
      <c r="AB38" s="329"/>
      <c r="AC38" s="329"/>
      <c r="AD38" s="329"/>
      <c r="AE38" s="330"/>
      <c r="AF38" s="205" t="str">
        <f t="shared" si="0"/>
        <v/>
      </c>
    </row>
    <row r="39" spans="1:32" s="165" customFormat="1" ht="31.5" customHeight="1" x14ac:dyDescent="0.2">
      <c r="A39" s="216"/>
      <c r="B39" s="216"/>
      <c r="C39" s="214" t="e">
        <f>SUM(C4:C38)/COUNT(C4:C38)</f>
        <v>#DIV/0!</v>
      </c>
      <c r="D39" s="214" t="e">
        <f t="shared" ref="D39:AE39" si="2">SUM(D4:D38)/COUNT(D4:D38)</f>
        <v>#DIV/0!</v>
      </c>
      <c r="E39" s="214" t="e">
        <f t="shared" si="2"/>
        <v>#DIV/0!</v>
      </c>
      <c r="F39" s="214" t="e">
        <f t="shared" si="2"/>
        <v>#DIV/0!</v>
      </c>
      <c r="G39" s="214" t="e">
        <f t="shared" si="2"/>
        <v>#DIV/0!</v>
      </c>
      <c r="H39" s="214" t="e">
        <f t="shared" si="2"/>
        <v>#DIV/0!</v>
      </c>
      <c r="I39" s="214" t="e">
        <f t="shared" si="2"/>
        <v>#DIV/0!</v>
      </c>
      <c r="J39" s="214" t="e">
        <f t="shared" si="2"/>
        <v>#DIV/0!</v>
      </c>
      <c r="K39" s="214" t="e">
        <f t="shared" si="2"/>
        <v>#DIV/0!</v>
      </c>
      <c r="L39" s="214" t="e">
        <f t="shared" si="2"/>
        <v>#DIV/0!</v>
      </c>
      <c r="M39" s="214" t="e">
        <f t="shared" si="2"/>
        <v>#DIV/0!</v>
      </c>
      <c r="N39" s="214" t="e">
        <f t="shared" si="2"/>
        <v>#DIV/0!</v>
      </c>
      <c r="O39" s="214" t="e">
        <f t="shared" si="2"/>
        <v>#DIV/0!</v>
      </c>
      <c r="P39" s="214" t="e">
        <f t="shared" si="2"/>
        <v>#DIV/0!</v>
      </c>
      <c r="Q39" s="214" t="e">
        <f t="shared" si="2"/>
        <v>#DIV/0!</v>
      </c>
      <c r="R39" s="214" t="e">
        <f t="shared" si="2"/>
        <v>#DIV/0!</v>
      </c>
      <c r="S39" s="214" t="e">
        <f t="shared" si="2"/>
        <v>#DIV/0!</v>
      </c>
      <c r="T39" s="214" t="e">
        <f t="shared" si="2"/>
        <v>#DIV/0!</v>
      </c>
      <c r="U39" s="214" t="e">
        <f t="shared" si="2"/>
        <v>#DIV/0!</v>
      </c>
      <c r="V39" s="214" t="e">
        <f t="shared" si="2"/>
        <v>#DIV/0!</v>
      </c>
      <c r="W39" s="214" t="e">
        <f t="shared" si="2"/>
        <v>#DIV/0!</v>
      </c>
      <c r="X39" s="214" t="e">
        <f t="shared" si="2"/>
        <v>#DIV/0!</v>
      </c>
      <c r="Y39" s="214" t="e">
        <f t="shared" si="2"/>
        <v>#DIV/0!</v>
      </c>
      <c r="Z39" s="214" t="e">
        <f t="shared" si="2"/>
        <v>#DIV/0!</v>
      </c>
      <c r="AA39" s="214" t="e">
        <f>SUM(AA4:AA38)/COUNT(AA4:AA38)</f>
        <v>#DIV/0!</v>
      </c>
      <c r="AB39" s="214" t="e">
        <f>SUM(AB4:AB38)/COUNT(AB4:AB38)</f>
        <v>#DIV/0!</v>
      </c>
      <c r="AC39" s="214" t="e">
        <f>SUM(AC4:AC38)/COUNT(AC4:AC38)</f>
        <v>#DIV/0!</v>
      </c>
      <c r="AD39" s="214" t="e">
        <f t="shared" si="2"/>
        <v>#DIV/0!</v>
      </c>
      <c r="AE39" s="303" t="e">
        <f t="shared" si="2"/>
        <v>#DIV/0!</v>
      </c>
      <c r="AF39" s="214" t="e">
        <f>SUM(AF4:AF38)/COUNT(#REF!)</f>
        <v>#DIV/0!</v>
      </c>
    </row>
    <row r="40" spans="1:32" s="165" customFormat="1" x14ac:dyDescent="0.2">
      <c r="A40" s="216"/>
      <c r="B40" s="216"/>
      <c r="C40" s="215" t="e">
        <f t="shared" ref="C40:AF40" si="3">+C39/C2</f>
        <v>#DIV/0!</v>
      </c>
      <c r="D40" s="215" t="e">
        <f t="shared" si="3"/>
        <v>#DIV/0!</v>
      </c>
      <c r="E40" s="215" t="e">
        <f t="shared" si="3"/>
        <v>#DIV/0!</v>
      </c>
      <c r="F40" s="215" t="e">
        <f t="shared" si="3"/>
        <v>#DIV/0!</v>
      </c>
      <c r="G40" s="215" t="e">
        <f t="shared" si="3"/>
        <v>#DIV/0!</v>
      </c>
      <c r="H40" s="215" t="e">
        <f t="shared" si="3"/>
        <v>#DIV/0!</v>
      </c>
      <c r="I40" s="215" t="e">
        <f t="shared" si="3"/>
        <v>#DIV/0!</v>
      </c>
      <c r="J40" s="215" t="e">
        <f t="shared" si="3"/>
        <v>#DIV/0!</v>
      </c>
      <c r="K40" s="215" t="e">
        <f t="shared" si="3"/>
        <v>#DIV/0!</v>
      </c>
      <c r="L40" s="215" t="e">
        <f t="shared" si="3"/>
        <v>#DIV/0!</v>
      </c>
      <c r="M40" s="215" t="e">
        <f t="shared" si="3"/>
        <v>#DIV/0!</v>
      </c>
      <c r="N40" s="215" t="e">
        <f t="shared" si="3"/>
        <v>#DIV/0!</v>
      </c>
      <c r="O40" s="215" t="e">
        <f t="shared" si="3"/>
        <v>#DIV/0!</v>
      </c>
      <c r="P40" s="215" t="e">
        <f t="shared" si="3"/>
        <v>#DIV/0!</v>
      </c>
      <c r="Q40" s="215" t="e">
        <f t="shared" si="3"/>
        <v>#DIV/0!</v>
      </c>
      <c r="R40" s="215" t="e">
        <f t="shared" si="3"/>
        <v>#DIV/0!</v>
      </c>
      <c r="S40" s="215" t="e">
        <f t="shared" si="3"/>
        <v>#DIV/0!</v>
      </c>
      <c r="T40" s="215" t="e">
        <f t="shared" si="3"/>
        <v>#DIV/0!</v>
      </c>
      <c r="U40" s="215" t="e">
        <f t="shared" si="3"/>
        <v>#DIV/0!</v>
      </c>
      <c r="V40" s="215" t="e">
        <f t="shared" si="3"/>
        <v>#DIV/0!</v>
      </c>
      <c r="W40" s="215" t="e">
        <f t="shared" si="3"/>
        <v>#DIV/0!</v>
      </c>
      <c r="X40" s="215" t="e">
        <f t="shared" si="3"/>
        <v>#DIV/0!</v>
      </c>
      <c r="Y40" s="215" t="e">
        <f t="shared" si="3"/>
        <v>#DIV/0!</v>
      </c>
      <c r="Z40" s="215" t="e">
        <f t="shared" si="3"/>
        <v>#DIV/0!</v>
      </c>
      <c r="AA40" s="215" t="e">
        <f>+AA39/AA2</f>
        <v>#DIV/0!</v>
      </c>
      <c r="AB40" s="215" t="e">
        <f>+AB39/AB2</f>
        <v>#DIV/0!</v>
      </c>
      <c r="AC40" s="215" t="e">
        <f>+AC39/AC2</f>
        <v>#DIV/0!</v>
      </c>
      <c r="AD40" s="215" t="e">
        <f t="shared" si="3"/>
        <v>#DIV/0!</v>
      </c>
      <c r="AE40" s="304" t="e">
        <f t="shared" si="3"/>
        <v>#DIV/0!</v>
      </c>
      <c r="AF40" s="215" t="e">
        <f t="shared" si="3"/>
        <v>#DIV/0!</v>
      </c>
    </row>
  </sheetData>
  <mergeCells count="1">
    <mergeCell ref="AE2:AE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Q20" sqref="Q20"/>
    </sheetView>
  </sheetViews>
  <sheetFormatPr baseColWidth="10" defaultRowHeight="12.75" x14ac:dyDescent="0.2"/>
  <cols>
    <col min="1" max="1" width="19.140625" style="1" customWidth="1"/>
    <col min="2" max="2" width="8" style="1" customWidth="1"/>
    <col min="3" max="18" width="5.85546875" style="1" customWidth="1"/>
    <col min="19" max="16384" width="11.42578125" style="1"/>
  </cols>
  <sheetData>
    <row r="1" spans="1:18" x14ac:dyDescent="0.2">
      <c r="C1" s="332" t="s">
        <v>161</v>
      </c>
    </row>
    <row r="2" spans="1:18" x14ac:dyDescent="0.2">
      <c r="A2" s="1" t="str">
        <f>+AP!E3</f>
        <v/>
      </c>
    </row>
    <row r="4" spans="1:18" x14ac:dyDescent="0.2">
      <c r="C4" s="500" t="s">
        <v>72</v>
      </c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</row>
    <row r="5" spans="1:18" x14ac:dyDescent="0.2">
      <c r="A5" s="2"/>
      <c r="B5" s="195" t="s">
        <v>71</v>
      </c>
      <c r="C5" s="259">
        <v>15</v>
      </c>
      <c r="D5" s="259">
        <v>14</v>
      </c>
      <c r="E5" s="259">
        <v>13</v>
      </c>
      <c r="F5" s="260">
        <v>12</v>
      </c>
      <c r="G5" s="260">
        <v>11</v>
      </c>
      <c r="H5" s="260">
        <v>10</v>
      </c>
      <c r="I5" s="259">
        <v>9</v>
      </c>
      <c r="J5" s="259">
        <v>8</v>
      </c>
      <c r="K5" s="259">
        <v>7</v>
      </c>
      <c r="L5" s="260">
        <v>6</v>
      </c>
      <c r="M5" s="260">
        <v>5</v>
      </c>
      <c r="N5" s="260">
        <v>4</v>
      </c>
      <c r="O5" s="259">
        <v>3</v>
      </c>
      <c r="P5" s="259">
        <v>2</v>
      </c>
      <c r="Q5" s="259">
        <v>1</v>
      </c>
      <c r="R5" s="260">
        <v>0</v>
      </c>
    </row>
    <row r="6" spans="1:18" x14ac:dyDescent="0.2">
      <c r="A6" s="2" t="str">
        <f>IF(+AP!B6="","",AP!B6)</f>
        <v/>
      </c>
      <c r="B6" s="196" t="str">
        <f>IF(AP!G6="","",IF(ROUNDUP((AP!G6+AP!E6)/2,2)&lt;1,0,ROUNDUP((AP!G6+AP!E6)/2,2)))</f>
        <v/>
      </c>
      <c r="C6" s="197" t="str">
        <f>IF(AP!$G6="","",IF(OR(COUNT(C6:E6)=0,I6=""),"",IF(diNo!H2="BOS", ROUNDUP((IF((G6*2+C$5)/3&lt;1, 0, ROUNDUP((G6*2+C$5)/3,2))*2+SUM(AP!C6:E6))/(2+COUNT(AP!C6:E6)),2),ROUNDUP((IF((G6*2+C$5)/3&lt;1, 0, ROUNDUP((G6*2+C$5)/3,2))*3+SUM(AP!C6:E6))/(3+COUNT(AP!C6:E6)),2))))</f>
        <v/>
      </c>
      <c r="D6" s="197" t="str">
        <f>IF(AP!$G6="","",IF(OR(COUNT(D6:F6)=0,J6=""),"",IF(diNo!I2="BOS", ROUNDUP((IF((H6*2+D$5)/3&lt;1, 0, ROUNDUP((H6*2+D$5)/3,2))*2+SUM(AP!D6:F6))/(2+COUNT(AP!D6:F6)),2),ROUNDUP((IF((H6*2+D$5)/3&lt;1, 0, ROUNDUP((H6*2+D$5)/3,2))*3+SUM(AP!D6:F6))/(3+COUNT(AP!D6:F6)),2))))</f>
        <v/>
      </c>
      <c r="E6" s="197" t="str">
        <f>IF(AP!$G6="","",IF(OR(COUNT(E6:G6)=0,K6=""),"",IF(diNo!J2="BOS", ROUNDUP((IF((I6*2+E$5)/3&lt;1, 0, ROUNDUP((I6*2+E$5)/3,2))*2+SUM(AP!E6:G6))/(2+COUNT(AP!E6:G6)),2),ROUNDUP((IF((I6*2+E$5)/3&lt;1, 0, ROUNDUP((I6*2+E$5)/3,2))*3+SUM(AP!E6:G6))/(3+COUNT(AP!E6:G6)),2))))</f>
        <v/>
      </c>
      <c r="F6" s="512" t="str">
        <f>IF(AP!$G6="","",IF(OR(COUNT(F6:H6)=0,L6=""),"",IF(diNo!K2="BOS", ROUNDUP((IF((J6*2+F$5)/3&lt;1, 0, ROUNDUP((J6*2+F$5)/3,2))*2+SUM(AP!F6:H6))/(2+COUNT(AP!F6:H6)),2),ROUNDUP((IF((J6*2+F$5)/3&lt;1, 0, ROUNDUP((J6*2+F$5)/3,2))*3+SUM(AP!F6:H6))/(3+COUNT(AP!F6:H6)),2))))</f>
        <v/>
      </c>
      <c r="G6" s="512" t="str">
        <f>IF(AP!$G6="","",IF(OR(COUNT(G6:I6)=0,M6=""),"",IF(diNo!L2="BOS", ROUNDUP((IF((K6*2+G$5)/3&lt;1, 0, ROUNDUP((K6*2+G$5)/3,2))*2+SUM(AP!G6:I6))/(2+COUNT(AP!G6:I6)),2),ROUNDUP((IF((K6*2+G$5)/3&lt;1, 0, ROUNDUP((K6*2+G$5)/3,2))*3+SUM(AP!G6:I6))/(3+COUNT(AP!G6:I6)),2))))</f>
        <v/>
      </c>
      <c r="H6" s="512" t="str">
        <f>IF(AP!$G6="","",IF(OR(COUNT(H6:J6)=0,N6=""),"",IF(diNo!M2="BOS", ROUNDUP((IF((L6*2+H$5)/3&lt;1, 0, ROUNDUP((L6*2+H$5)/3,2))*2+SUM(AP!H6:J6))/(2+COUNT(AP!H6:J6)),2),ROUNDUP((IF((L6*2+H$5)/3&lt;1, 0, ROUNDUP((L6*2+H$5)/3,2))*3+SUM(AP!H6:J6))/(3+COUNT(AP!H6:J6)),2))))</f>
        <v/>
      </c>
      <c r="I6" s="197" t="str">
        <f>IF(AP!$G6="","",IF(OR(COUNT(I6:K6)=0,O6=""),"",IF(diNo!N2="BOS", ROUNDUP((IF((M6*2+I$5)/3&lt;1, 0, ROUNDUP((M6*2+I$5)/3,2))*2+SUM(AP!I6:K6))/(2+COUNT(AP!I6:K6)),2),ROUNDUP((IF((M6*2+I$5)/3&lt;1, 0, ROUNDUP((M6*2+I$5)/3,2))*3+SUM(AP!I6:K6))/(3+COUNT(AP!I6:K6)),2))))</f>
        <v/>
      </c>
      <c r="J6" s="197" t="str">
        <f>IF(AP!$G6="","",IF(OR(COUNT(J6:L6)=0,P6=""),"",IF(diNo!O2="BOS", ROUNDUP((IF((N6*2+J$5)/3&lt;1, 0, ROUNDUP((N6*2+J$5)/3,2))*2+SUM(AP!J6:L6))/(2+COUNT(AP!J6:L6)),2),ROUNDUP((IF((N6*2+J$5)/3&lt;1, 0, ROUNDUP((N6*2+J$5)/3,2))*3+SUM(AP!J6:L6))/(3+COUNT(AP!J6:L6)),2))))</f>
        <v/>
      </c>
      <c r="K6" s="197" t="str">
        <f>IF(AP!$G6="","",IF(OR(COUNT(K6:M6)=0,Q6=""),"",IF(diNo!P2="BOS", ROUNDUP((IF((O6*2+K$5)/3&lt;1, 0, ROUNDUP((O6*2+K$5)/3,2))*2+SUM(AP!K6:M6))/(2+COUNT(AP!K6:M6)),2),ROUNDUP((IF((O6*2+K$5)/3&lt;1, 0, ROUNDUP((O6*2+K$5)/3,2))*3+SUM(AP!K6:M6))/(3+COUNT(AP!K6:M6)),2))))</f>
        <v/>
      </c>
      <c r="L6" s="512" t="str">
        <f>IF(AP!$G6="","",IF(OR(COUNT(L6:N6)=0,R6=""),"",IF(diNo!Q2="BOS", ROUNDUP((IF((P6*2+L$5)/3&lt;1, 0, ROUNDUP((P6*2+L$5)/3,2))*2+SUM(AP!L6:N6))/(2+COUNT(AP!L6:N6)),2),ROUNDUP((IF((P6*2+L$5)/3&lt;1, 0, ROUNDUP((P6*2+L$5)/3,2))*3+SUM(AP!L6:N6))/(3+COUNT(AP!L6:N6)),2))))</f>
        <v/>
      </c>
      <c r="M6" s="512" t="str">
        <f>IF(AP!$G6="","",IF(OR(COUNT(M6:O6)=0,S6=""),"",IF(diNo!R2="BOS", ROUNDUP((IF((Q6*2+M$5)/3&lt;1, 0, ROUNDUP((Q6*2+M$5)/3,2))*2+SUM(AP!M6:O6))/(2+COUNT(AP!M6:O6)),2),ROUNDUP((IF((Q6*2+M$5)/3&lt;1, 0, ROUNDUP((Q6*2+M$5)/3,2))*3+SUM(AP!M6:O6))/(3+COUNT(AP!M6:O6)),2))))</f>
        <v/>
      </c>
      <c r="N6" s="512" t="str">
        <f>IF(AP!$G6="","",IF(OR(COUNT(N6:P6)=0,T6=""),"",IF(diNo!S2="BOS", ROUNDUP((IF((R6*2+N$5)/3&lt;1, 0, ROUNDUP((R6*2+N$5)/3,2))*2+SUM(AP!N6:P6))/(2+COUNT(AP!N6:P6)),2),ROUNDUP((IF((R6*2+N$5)/3&lt;1, 0, ROUNDUP((R6*2+N$5)/3,2))*3+SUM(AP!N6:P6))/(3+COUNT(AP!N6:P6)),2))))</f>
        <v/>
      </c>
      <c r="O6" s="197" t="str">
        <f>IF(AP!$G6="","",IF(OR(COUNT(O6:Q6)=0,U6=""),"",IF(diNo!T2="BOS", ROUNDUP((IF((S6*2+O$5)/3&lt;1, 0, ROUNDUP((S6*2+O$5)/3,2))*2+SUM(AP!O6:Q6))/(2+COUNT(AP!O6:Q6)),2),ROUNDUP((IF((S6*2+O$5)/3&lt;1, 0, ROUNDUP((S6*2+O$5)/3,2))*3+SUM(AP!O6:Q6))/(3+COUNT(AP!O6:Q6)),2))))</f>
        <v/>
      </c>
      <c r="P6" s="197" t="str">
        <f>IF(AP!$G6="","",IF(OR(COUNT(P6:R6)=0,V6=""),"",IF(diNo!U2="BOS", ROUNDUP((IF((T6*2+P$5)/3&lt;1, 0, ROUNDUP((T6*2+P$5)/3,2))*2+SUM(AP!P6:R6))/(2+COUNT(AP!P6:R6)),2),ROUNDUP((IF((T6*2+P$5)/3&lt;1, 0, ROUNDUP((T6*2+P$5)/3,2))*3+SUM(AP!P6:R6))/(3+COUNT(AP!P6:R6)),2))))</f>
        <v/>
      </c>
      <c r="Q6" s="197" t="str">
        <f>IF(AP!$G6="","",IF(OR(COUNT(Q6:S6)=0,W6=""),"",IF(diNo!V2="BOS", ROUNDUP((IF((U6*2+Q$5)/3&lt;1, 0, ROUNDUP((U6*2+Q$5)/3,2))*2+SUM(AP!Q6:S6))/(2+COUNT(AP!Q6:S6)),2),ROUNDUP((IF((U6*2+Q$5)/3&lt;1, 0, ROUNDUP((U6*2+Q$5)/3,2))*3+SUM(AP!Q6:S6))/(3+COUNT(AP!Q6:S6)),2))))</f>
        <v/>
      </c>
      <c r="R6" s="512" t="str">
        <f>IF(AP!$G6="","",IF(OR(COUNT(R6:T6)=0,X6=""),"",IF(diNo!W2="BOS", ROUNDUP((IF((V6*2+R$5)/3&lt;1, 0, ROUNDUP((V6*2+R$5)/3,2))*2+SUM(AP!R6:T6))/(2+COUNT(AP!R6:T6)),2),ROUNDUP((IF((V6*2+R$5)/3&lt;1, 0, ROUNDUP((V6*2+R$5)/3,2))*3+SUM(AP!R6:T6))/(3+COUNT(AP!R6:T6)),2))))</f>
        <v/>
      </c>
    </row>
    <row r="7" spans="1:18" x14ac:dyDescent="0.2">
      <c r="A7" s="2" t="str">
        <f>IF(+AP!B7="","",AP!B7)</f>
        <v/>
      </c>
      <c r="B7" s="196" t="str">
        <f>IF(AP!G7="","",IF(ROUNDUP((AP!G7+AP!E7)/2,2)&lt;1,0,ROUNDUP((AP!G7+AP!E7)/2,2)))</f>
        <v/>
      </c>
      <c r="C7" s="197" t="str">
        <f>IF(AP!$G7="","",IF(OR(COUNT(C7:E7)=0,I7=""),"",IF(diNo!H3="BOS", ROUNDUP((IF((G7*2+C$5)/3&lt;1, 0, ROUNDUP((G7*2+C$5)/3,2))*2+SUM(AP!C7:E7))/(2+COUNT(AP!C7:E7)),2),ROUNDUP((IF((G7*2+C$5)/3&lt;1, 0, ROUNDUP((G7*2+C$5)/3,2))*3+SUM(AP!C7:E7))/(3+COUNT(AP!C7:E7)),2))))</f>
        <v/>
      </c>
      <c r="D7" s="197" t="str">
        <f>IF(AP!$G7="","",IF(OR(COUNT(D7:F7)=0,J7=""),"",IF(diNo!I3="BOS", ROUNDUP((IF((H7*2+D$5)/3&lt;1, 0, ROUNDUP((H7*2+D$5)/3,2))*2+SUM(AP!D7:F7))/(2+COUNT(AP!D7:F7)),2),ROUNDUP((IF((H7*2+D$5)/3&lt;1, 0, ROUNDUP((H7*2+D$5)/3,2))*3+SUM(AP!D7:F7))/(3+COUNT(AP!D7:F7)),2))))</f>
        <v/>
      </c>
      <c r="E7" s="197" t="str">
        <f>IF(AP!$G7="","",IF(OR(COUNT(E7:G7)=0,K7=""),"",IF(diNo!J3="BOS", ROUNDUP((IF((I7*2+E$5)/3&lt;1, 0, ROUNDUP((I7*2+E$5)/3,2))*2+SUM(AP!E7:G7))/(2+COUNT(AP!E7:G7)),2),ROUNDUP((IF((I7*2+E$5)/3&lt;1, 0, ROUNDUP((I7*2+E$5)/3,2))*3+SUM(AP!E7:G7))/(3+COUNT(AP!E7:G7)),2))))</f>
        <v/>
      </c>
      <c r="F7" s="512" t="str">
        <f>IF(AP!$G7="","",IF(OR(COUNT(F7:H7)=0,L7=""),"",IF(diNo!K3="BOS", ROUNDUP((IF((J7*2+F$5)/3&lt;1, 0, ROUNDUP((J7*2+F$5)/3,2))*2+SUM(AP!F7:H7))/(2+COUNT(AP!F7:H7)),2),ROUNDUP((IF((J7*2+F$5)/3&lt;1, 0, ROUNDUP((J7*2+F$5)/3,2))*3+SUM(AP!F7:H7))/(3+COUNT(AP!F7:H7)),2))))</f>
        <v/>
      </c>
      <c r="G7" s="512" t="str">
        <f>IF(AP!$G7="","",IF(OR(COUNT(G7:I7)=0,M7=""),"",IF(diNo!L3="BOS", ROUNDUP((IF((K7*2+G$5)/3&lt;1, 0, ROUNDUP((K7*2+G$5)/3,2))*2+SUM(AP!G7:I7))/(2+COUNT(AP!G7:I7)),2),ROUNDUP((IF((K7*2+G$5)/3&lt;1, 0, ROUNDUP((K7*2+G$5)/3,2))*3+SUM(AP!G7:I7))/(3+COUNT(AP!G7:I7)),2))))</f>
        <v/>
      </c>
      <c r="H7" s="512" t="str">
        <f>IF(AP!$G7="","",IF(OR(COUNT(H7:J7)=0,N7=""),"",IF(diNo!M3="BOS", ROUNDUP((IF((L7*2+H$5)/3&lt;1, 0, ROUNDUP((L7*2+H$5)/3,2))*2+SUM(AP!H7:J7))/(2+COUNT(AP!H7:J7)),2),ROUNDUP((IF((L7*2+H$5)/3&lt;1, 0, ROUNDUP((L7*2+H$5)/3,2))*3+SUM(AP!H7:J7))/(3+COUNT(AP!H7:J7)),2))))</f>
        <v/>
      </c>
      <c r="I7" s="197" t="str">
        <f>IF(AP!$G7="","",IF(OR(COUNT(I7:K7)=0,O7=""),"",IF(diNo!N3="BOS", ROUNDUP((IF((M7*2+I$5)/3&lt;1, 0, ROUNDUP((M7*2+I$5)/3,2))*2+SUM(AP!I7:K7))/(2+COUNT(AP!I7:K7)),2),ROUNDUP((IF((M7*2+I$5)/3&lt;1, 0, ROUNDUP((M7*2+I$5)/3,2))*3+SUM(AP!I7:K7))/(3+COUNT(AP!I7:K7)),2))))</f>
        <v/>
      </c>
      <c r="J7" s="197" t="str">
        <f>IF(AP!$G7="","",IF(OR(COUNT(J7:L7)=0,P7=""),"",IF(diNo!O3="BOS", ROUNDUP((IF((N7*2+J$5)/3&lt;1, 0, ROUNDUP((N7*2+J$5)/3,2))*2+SUM(AP!J7:L7))/(2+COUNT(AP!J7:L7)),2),ROUNDUP((IF((N7*2+J$5)/3&lt;1, 0, ROUNDUP((N7*2+J$5)/3,2))*3+SUM(AP!J7:L7))/(3+COUNT(AP!J7:L7)),2))))</f>
        <v/>
      </c>
      <c r="K7" s="197" t="str">
        <f>IF(AP!$G7="","",IF(OR(COUNT(K7:M7)=0,Q7=""),"",IF(diNo!P3="BOS", ROUNDUP((IF((O7*2+K$5)/3&lt;1, 0, ROUNDUP((O7*2+K$5)/3,2))*2+SUM(AP!K7:M7))/(2+COUNT(AP!K7:M7)),2),ROUNDUP((IF((O7*2+K$5)/3&lt;1, 0, ROUNDUP((O7*2+K$5)/3,2))*3+SUM(AP!K7:M7))/(3+COUNT(AP!K7:M7)),2))))</f>
        <v/>
      </c>
      <c r="L7" s="512" t="str">
        <f>IF(AP!$G7="","",IF(OR(COUNT(L7:N7)=0,R7=""),"",IF(diNo!Q3="BOS", ROUNDUP((IF((P7*2+L$5)/3&lt;1, 0, ROUNDUP((P7*2+L$5)/3,2))*2+SUM(AP!L7:N7))/(2+COUNT(AP!L7:N7)),2),ROUNDUP((IF((P7*2+L$5)/3&lt;1, 0, ROUNDUP((P7*2+L$5)/3,2))*3+SUM(AP!L7:N7))/(3+COUNT(AP!L7:N7)),2))))</f>
        <v/>
      </c>
      <c r="M7" s="512" t="str">
        <f>IF(AP!$G7="","",IF(OR(COUNT(M7:O7)=0,S7=""),"",IF(diNo!R3="BOS", ROUNDUP((IF((Q7*2+M$5)/3&lt;1, 0, ROUNDUP((Q7*2+M$5)/3,2))*2+SUM(AP!M7:O7))/(2+COUNT(AP!M7:O7)),2),ROUNDUP((IF((Q7*2+M$5)/3&lt;1, 0, ROUNDUP((Q7*2+M$5)/3,2))*3+SUM(AP!M7:O7))/(3+COUNT(AP!M7:O7)),2))))</f>
        <v/>
      </c>
      <c r="N7" s="512" t="str">
        <f>IF(AP!$G7="","",IF(OR(COUNT(N7:P7)=0,T7=""),"",IF(diNo!S3="BOS", ROUNDUP((IF((R7*2+N$5)/3&lt;1, 0, ROUNDUP((R7*2+N$5)/3,2))*2+SUM(AP!N7:P7))/(2+COUNT(AP!N7:P7)),2),ROUNDUP((IF((R7*2+N$5)/3&lt;1, 0, ROUNDUP((R7*2+N$5)/3,2))*3+SUM(AP!N7:P7))/(3+COUNT(AP!N7:P7)),2))))</f>
        <v/>
      </c>
      <c r="O7" s="197" t="str">
        <f>IF(AP!$G7="","",IF(OR(COUNT(O7:Q7)=0,U7=""),"",IF(diNo!T3="BOS", ROUNDUP((IF((S7*2+O$5)/3&lt;1, 0, ROUNDUP((S7*2+O$5)/3,2))*2+SUM(AP!O7:Q7))/(2+COUNT(AP!O7:Q7)),2),ROUNDUP((IF((S7*2+O$5)/3&lt;1, 0, ROUNDUP((S7*2+O$5)/3,2))*3+SUM(AP!O7:Q7))/(3+COUNT(AP!O7:Q7)),2))))</f>
        <v/>
      </c>
      <c r="P7" s="197" t="str">
        <f>IF(AP!$G7="","",IF(OR(COUNT(P7:R7)=0,V7=""),"",IF(diNo!U3="BOS", ROUNDUP((IF((T7*2+P$5)/3&lt;1, 0, ROUNDUP((T7*2+P$5)/3,2))*2+SUM(AP!P7:R7))/(2+COUNT(AP!P7:R7)),2),ROUNDUP((IF((T7*2+P$5)/3&lt;1, 0, ROUNDUP((T7*2+P$5)/3,2))*3+SUM(AP!P7:R7))/(3+COUNT(AP!P7:R7)),2))))</f>
        <v/>
      </c>
      <c r="Q7" s="197" t="str">
        <f>IF(AP!$G7="","",IF(OR(COUNT(Q7:S7)=0,W7=""),"",IF(diNo!V3="BOS", ROUNDUP((IF((U7*2+Q$5)/3&lt;1, 0, ROUNDUP((U7*2+Q$5)/3,2))*2+SUM(AP!Q7:S7))/(2+COUNT(AP!Q7:S7)),2),ROUNDUP((IF((U7*2+Q$5)/3&lt;1, 0, ROUNDUP((U7*2+Q$5)/3,2))*3+SUM(AP!Q7:S7))/(3+COUNT(AP!Q7:S7)),2))))</f>
        <v/>
      </c>
      <c r="R7" s="512" t="str">
        <f>IF(AP!$G7="","",IF(OR(COUNT(R7:T7)=0,X7=""),"",IF(diNo!W3="BOS", ROUNDUP((IF((V7*2+R$5)/3&lt;1, 0, ROUNDUP((V7*2+R$5)/3,2))*2+SUM(AP!R7:T7))/(2+COUNT(AP!R7:T7)),2),ROUNDUP((IF((V7*2+R$5)/3&lt;1, 0, ROUNDUP((V7*2+R$5)/3,2))*3+SUM(AP!R7:T7))/(3+COUNT(AP!R7:T7)),2))))</f>
        <v/>
      </c>
    </row>
    <row r="8" spans="1:18" x14ac:dyDescent="0.2">
      <c r="A8" s="2" t="str">
        <f>IF(+AP!B8="","",AP!B8)</f>
        <v/>
      </c>
      <c r="B8" s="196" t="str">
        <f>IF(AP!G8="","",IF(ROUNDUP((AP!G8+AP!E8)/2,2)&lt;1,0,ROUNDUP((AP!G8+AP!E8)/2,2)))</f>
        <v/>
      </c>
      <c r="C8" s="197" t="str">
        <f>IF(AP!$G8="","",IF(OR(COUNT(C8:E8)=0,I8=""),"",IF(diNo!H4="BOS", ROUNDUP((IF((G8*2+C$5)/3&lt;1, 0, ROUNDUP((G8*2+C$5)/3,2))*2+SUM(AP!C8:E8))/(2+COUNT(AP!C8:E8)),2),ROUNDUP((IF((G8*2+C$5)/3&lt;1, 0, ROUNDUP((G8*2+C$5)/3,2))*3+SUM(AP!C8:E8))/(3+COUNT(AP!C8:E8)),2))))</f>
        <v/>
      </c>
      <c r="D8" s="197" t="str">
        <f>IF(AP!$G8="","",IF(OR(COUNT(D8:F8)=0,J8=""),"",IF(diNo!I4="BOS", ROUNDUP((IF((H8*2+D$5)/3&lt;1, 0, ROUNDUP((H8*2+D$5)/3,2))*2+SUM(AP!D8:F8))/(2+COUNT(AP!D8:F8)),2),ROUNDUP((IF((H8*2+D$5)/3&lt;1, 0, ROUNDUP((H8*2+D$5)/3,2))*3+SUM(AP!D8:F8))/(3+COUNT(AP!D8:F8)),2))))</f>
        <v/>
      </c>
      <c r="E8" s="197" t="str">
        <f>IF(AP!$G8="","",IF(OR(COUNT(E8:G8)=0,K8=""),"",IF(diNo!J4="BOS", ROUNDUP((IF((I8*2+E$5)/3&lt;1, 0, ROUNDUP((I8*2+E$5)/3,2))*2+SUM(AP!E8:G8))/(2+COUNT(AP!E8:G8)),2),ROUNDUP((IF((I8*2+E$5)/3&lt;1, 0, ROUNDUP((I8*2+E$5)/3,2))*3+SUM(AP!E8:G8))/(3+COUNT(AP!E8:G8)),2))))</f>
        <v/>
      </c>
      <c r="F8" s="512" t="str">
        <f>IF(AP!$G8="","",IF(OR(COUNT(F8:H8)=0,L8=""),"",IF(diNo!K4="BOS", ROUNDUP((IF((J8*2+F$5)/3&lt;1, 0, ROUNDUP((J8*2+F$5)/3,2))*2+SUM(AP!F8:H8))/(2+COUNT(AP!F8:H8)),2),ROUNDUP((IF((J8*2+F$5)/3&lt;1, 0, ROUNDUP((J8*2+F$5)/3,2))*3+SUM(AP!F8:H8))/(3+COUNT(AP!F8:H8)),2))))</f>
        <v/>
      </c>
      <c r="G8" s="512" t="str">
        <f>IF(AP!$G8="","",IF(OR(COUNT(G8:I8)=0,M8=""),"",IF(diNo!L4="BOS", ROUNDUP((IF((K8*2+G$5)/3&lt;1, 0, ROUNDUP((K8*2+G$5)/3,2))*2+SUM(AP!G8:I8))/(2+COUNT(AP!G8:I8)),2),ROUNDUP((IF((K8*2+G$5)/3&lt;1, 0, ROUNDUP((K8*2+G$5)/3,2))*3+SUM(AP!G8:I8))/(3+COUNT(AP!G8:I8)),2))))</f>
        <v/>
      </c>
      <c r="H8" s="512" t="str">
        <f>IF(AP!$G8="","",IF(OR(COUNT(H8:J8)=0,N8=""),"",IF(diNo!M4="BOS", ROUNDUP((IF((L8*2+H$5)/3&lt;1, 0, ROUNDUP((L8*2+H$5)/3,2))*2+SUM(AP!H8:J8))/(2+COUNT(AP!H8:J8)),2),ROUNDUP((IF((L8*2+H$5)/3&lt;1, 0, ROUNDUP((L8*2+H$5)/3,2))*3+SUM(AP!H8:J8))/(3+COUNT(AP!H8:J8)),2))))</f>
        <v/>
      </c>
      <c r="I8" s="197" t="str">
        <f>IF(AP!$G8="","",IF(OR(COUNT(I8:K8)=0,O8=""),"",IF(diNo!N4="BOS", ROUNDUP((IF((M8*2+I$5)/3&lt;1, 0, ROUNDUP((M8*2+I$5)/3,2))*2+SUM(AP!I8:K8))/(2+COUNT(AP!I8:K8)),2),ROUNDUP((IF((M8*2+I$5)/3&lt;1, 0, ROUNDUP((M8*2+I$5)/3,2))*3+SUM(AP!I8:K8))/(3+COUNT(AP!I8:K8)),2))))</f>
        <v/>
      </c>
      <c r="J8" s="197" t="str">
        <f>IF(AP!$G8="","",IF(OR(COUNT(J8:L8)=0,P8=""),"",IF(diNo!O4="BOS", ROUNDUP((IF((N8*2+J$5)/3&lt;1, 0, ROUNDUP((N8*2+J$5)/3,2))*2+SUM(AP!J8:L8))/(2+COUNT(AP!J8:L8)),2),ROUNDUP((IF((N8*2+J$5)/3&lt;1, 0, ROUNDUP((N8*2+J$5)/3,2))*3+SUM(AP!J8:L8))/(3+COUNT(AP!J8:L8)),2))))</f>
        <v/>
      </c>
      <c r="K8" s="197" t="str">
        <f>IF(AP!$G8="","",IF(OR(COUNT(K8:M8)=0,Q8=""),"",IF(diNo!P4="BOS", ROUNDUP((IF((O8*2+K$5)/3&lt;1, 0, ROUNDUP((O8*2+K$5)/3,2))*2+SUM(AP!K8:M8))/(2+COUNT(AP!K8:M8)),2),ROUNDUP((IF((O8*2+K$5)/3&lt;1, 0, ROUNDUP((O8*2+K$5)/3,2))*3+SUM(AP!K8:M8))/(3+COUNT(AP!K8:M8)),2))))</f>
        <v/>
      </c>
      <c r="L8" s="512" t="str">
        <f>IF(AP!$G8="","",IF(OR(COUNT(L8:N8)=0,R8=""),"",IF(diNo!Q4="BOS", ROUNDUP((IF((P8*2+L$5)/3&lt;1, 0, ROUNDUP((P8*2+L$5)/3,2))*2+SUM(AP!L8:N8))/(2+COUNT(AP!L8:N8)),2),ROUNDUP((IF((P8*2+L$5)/3&lt;1, 0, ROUNDUP((P8*2+L$5)/3,2))*3+SUM(AP!L8:N8))/(3+COUNT(AP!L8:N8)),2))))</f>
        <v/>
      </c>
      <c r="M8" s="512" t="str">
        <f>IF(AP!$G8="","",IF(OR(COUNT(M8:O8)=0,S8=""),"",IF(diNo!R4="BOS", ROUNDUP((IF((Q8*2+M$5)/3&lt;1, 0, ROUNDUP((Q8*2+M$5)/3,2))*2+SUM(AP!M8:O8))/(2+COUNT(AP!M8:O8)),2),ROUNDUP((IF((Q8*2+M$5)/3&lt;1, 0, ROUNDUP((Q8*2+M$5)/3,2))*3+SUM(AP!M8:O8))/(3+COUNT(AP!M8:O8)),2))))</f>
        <v/>
      </c>
      <c r="N8" s="512" t="str">
        <f>IF(AP!$G8="","",IF(OR(COUNT(N8:P8)=0,T8=""),"",IF(diNo!S4="BOS", ROUNDUP((IF((R8*2+N$5)/3&lt;1, 0, ROUNDUP((R8*2+N$5)/3,2))*2+SUM(AP!N8:P8))/(2+COUNT(AP!N8:P8)),2),ROUNDUP((IF((R8*2+N$5)/3&lt;1, 0, ROUNDUP((R8*2+N$5)/3,2))*3+SUM(AP!N8:P8))/(3+COUNT(AP!N8:P8)),2))))</f>
        <v/>
      </c>
      <c r="O8" s="197" t="str">
        <f>IF(AP!$G8="","",IF(OR(COUNT(O8:Q8)=0,U8=""),"",IF(diNo!T4="BOS", ROUNDUP((IF((S8*2+O$5)/3&lt;1, 0, ROUNDUP((S8*2+O$5)/3,2))*2+SUM(AP!O8:Q8))/(2+COUNT(AP!O8:Q8)),2),ROUNDUP((IF((S8*2+O$5)/3&lt;1, 0, ROUNDUP((S8*2+O$5)/3,2))*3+SUM(AP!O8:Q8))/(3+COUNT(AP!O8:Q8)),2))))</f>
        <v/>
      </c>
      <c r="P8" s="197" t="str">
        <f>IF(AP!$G8="","",IF(OR(COUNT(P8:R8)=0,V8=""),"",IF(diNo!U4="BOS", ROUNDUP((IF((T8*2+P$5)/3&lt;1, 0, ROUNDUP((T8*2+P$5)/3,2))*2+SUM(AP!P8:R8))/(2+COUNT(AP!P8:R8)),2),ROUNDUP((IF((T8*2+P$5)/3&lt;1, 0, ROUNDUP((T8*2+P$5)/3,2))*3+SUM(AP!P8:R8))/(3+COUNT(AP!P8:R8)),2))))</f>
        <v/>
      </c>
      <c r="Q8" s="197" t="str">
        <f>IF(AP!$G8="","",IF(OR(COUNT(Q8:S8)=0,W8=""),"",IF(diNo!V4="BOS", ROUNDUP((IF((U8*2+Q$5)/3&lt;1, 0, ROUNDUP((U8*2+Q$5)/3,2))*2+SUM(AP!Q8:S8))/(2+COUNT(AP!Q8:S8)),2),ROUNDUP((IF((U8*2+Q$5)/3&lt;1, 0, ROUNDUP((U8*2+Q$5)/3,2))*3+SUM(AP!Q8:S8))/(3+COUNT(AP!Q8:S8)),2))))</f>
        <v/>
      </c>
      <c r="R8" s="512" t="str">
        <f>IF(AP!$G8="","",IF(OR(COUNT(R8:T8)=0,X8=""),"",IF(diNo!W4="BOS", ROUNDUP((IF((V8*2+R$5)/3&lt;1, 0, ROUNDUP((V8*2+R$5)/3,2))*2+SUM(AP!R8:T8))/(2+COUNT(AP!R8:T8)),2),ROUNDUP((IF((V8*2+R$5)/3&lt;1, 0, ROUNDUP((V8*2+R$5)/3,2))*3+SUM(AP!R8:T8))/(3+COUNT(AP!R8:T8)),2))))</f>
        <v/>
      </c>
    </row>
    <row r="9" spans="1:18" x14ac:dyDescent="0.2">
      <c r="A9" s="2" t="str">
        <f>IF(+AP!B9="","",AP!B9)</f>
        <v/>
      </c>
      <c r="B9" s="196" t="str">
        <f>IF(AP!G9="","",IF(ROUNDUP((AP!G9+AP!E9)/2,2)&lt;1,0,ROUNDUP((AP!G9+AP!E9)/2,2)))</f>
        <v/>
      </c>
      <c r="C9" s="197" t="str">
        <f>IF(AP!$G9="","",IF(OR(COUNT(C9:E9)=0,I9=""),"",IF(diNo!H5="BOS", ROUNDUP((IF((G9*2+C$5)/3&lt;1, 0, ROUNDUP((G9*2+C$5)/3,2))*2+SUM(AP!C9:E9))/(2+COUNT(AP!C9:E9)),2),ROUNDUP((IF((G9*2+C$5)/3&lt;1, 0, ROUNDUP((G9*2+C$5)/3,2))*3+SUM(AP!C9:E9))/(3+COUNT(AP!C9:E9)),2))))</f>
        <v/>
      </c>
      <c r="D9" s="197" t="str">
        <f>IF(AP!$G9="","",IF(OR(COUNT(D9:F9)=0,J9=""),"",IF(diNo!I5="BOS", ROUNDUP((IF((H9*2+D$5)/3&lt;1, 0, ROUNDUP((H9*2+D$5)/3,2))*2+SUM(AP!D9:F9))/(2+COUNT(AP!D9:F9)),2),ROUNDUP((IF((H9*2+D$5)/3&lt;1, 0, ROUNDUP((H9*2+D$5)/3,2))*3+SUM(AP!D9:F9))/(3+COUNT(AP!D9:F9)),2))))</f>
        <v/>
      </c>
      <c r="E9" s="197" t="str">
        <f>IF(AP!$G9="","",IF(OR(COUNT(E9:G9)=0,K9=""),"",IF(diNo!J5="BOS", ROUNDUP((IF((I9*2+E$5)/3&lt;1, 0, ROUNDUP((I9*2+E$5)/3,2))*2+SUM(AP!E9:G9))/(2+COUNT(AP!E9:G9)),2),ROUNDUP((IF((I9*2+E$5)/3&lt;1, 0, ROUNDUP((I9*2+E$5)/3,2))*3+SUM(AP!E9:G9))/(3+COUNT(AP!E9:G9)),2))))</f>
        <v/>
      </c>
      <c r="F9" s="512" t="str">
        <f>IF(AP!$G9="","",IF(OR(COUNT(F9:H9)=0,L9=""),"",IF(diNo!K5="BOS", ROUNDUP((IF((J9*2+F$5)/3&lt;1, 0, ROUNDUP((J9*2+F$5)/3,2))*2+SUM(AP!F9:H9))/(2+COUNT(AP!F9:H9)),2),ROUNDUP((IF((J9*2+F$5)/3&lt;1, 0, ROUNDUP((J9*2+F$5)/3,2))*3+SUM(AP!F9:H9))/(3+COUNT(AP!F9:H9)),2))))</f>
        <v/>
      </c>
      <c r="G9" s="512" t="str">
        <f>IF(AP!$G9="","",IF(OR(COUNT(G9:I9)=0,M9=""),"",IF(diNo!L5="BOS", ROUNDUP((IF((K9*2+G$5)/3&lt;1, 0, ROUNDUP((K9*2+G$5)/3,2))*2+SUM(AP!G9:I9))/(2+COUNT(AP!G9:I9)),2),ROUNDUP((IF((K9*2+G$5)/3&lt;1, 0, ROUNDUP((K9*2+G$5)/3,2))*3+SUM(AP!G9:I9))/(3+COUNT(AP!G9:I9)),2))))</f>
        <v/>
      </c>
      <c r="H9" s="512" t="str">
        <f>IF(AP!$G9="","",IF(OR(COUNT(H9:J9)=0,N9=""),"",IF(diNo!M5="BOS", ROUNDUP((IF((L9*2+H$5)/3&lt;1, 0, ROUNDUP((L9*2+H$5)/3,2))*2+SUM(AP!H9:J9))/(2+COUNT(AP!H9:J9)),2),ROUNDUP((IF((L9*2+H$5)/3&lt;1, 0, ROUNDUP((L9*2+H$5)/3,2))*3+SUM(AP!H9:J9))/(3+COUNT(AP!H9:J9)),2))))</f>
        <v/>
      </c>
      <c r="I9" s="197" t="str">
        <f>IF(AP!$G9="","",IF(OR(COUNT(I9:K9)=0,O9=""),"",IF(diNo!N5="BOS", ROUNDUP((IF((M9*2+I$5)/3&lt;1, 0, ROUNDUP((M9*2+I$5)/3,2))*2+SUM(AP!I9:K9))/(2+COUNT(AP!I9:K9)),2),ROUNDUP((IF((M9*2+I$5)/3&lt;1, 0, ROUNDUP((M9*2+I$5)/3,2))*3+SUM(AP!I9:K9))/(3+COUNT(AP!I9:K9)),2))))</f>
        <v/>
      </c>
      <c r="J9" s="197" t="str">
        <f>IF(AP!$G9="","",IF(OR(COUNT(J9:L9)=0,P9=""),"",IF(diNo!O5="BOS", ROUNDUP((IF((N9*2+J$5)/3&lt;1, 0, ROUNDUP((N9*2+J$5)/3,2))*2+SUM(AP!J9:L9))/(2+COUNT(AP!J9:L9)),2),ROUNDUP((IF((N9*2+J$5)/3&lt;1, 0, ROUNDUP((N9*2+J$5)/3,2))*3+SUM(AP!J9:L9))/(3+COUNT(AP!J9:L9)),2))))</f>
        <v/>
      </c>
      <c r="K9" s="197" t="str">
        <f>IF(AP!$G9="","",IF(OR(COUNT(K9:M9)=0,Q9=""),"",IF(diNo!P5="BOS", ROUNDUP((IF((O9*2+K$5)/3&lt;1, 0, ROUNDUP((O9*2+K$5)/3,2))*2+SUM(AP!K9:M9))/(2+COUNT(AP!K9:M9)),2),ROUNDUP((IF((O9*2+K$5)/3&lt;1, 0, ROUNDUP((O9*2+K$5)/3,2))*3+SUM(AP!K9:M9))/(3+COUNT(AP!K9:M9)),2))))</f>
        <v/>
      </c>
      <c r="L9" s="512" t="str">
        <f>IF(AP!$G9="","",IF(OR(COUNT(L9:N9)=0,R9=""),"",IF(diNo!Q5="BOS", ROUNDUP((IF((P9*2+L$5)/3&lt;1, 0, ROUNDUP((P9*2+L$5)/3,2))*2+SUM(AP!L9:N9))/(2+COUNT(AP!L9:N9)),2),ROUNDUP((IF((P9*2+L$5)/3&lt;1, 0, ROUNDUP((P9*2+L$5)/3,2))*3+SUM(AP!L9:N9))/(3+COUNT(AP!L9:N9)),2))))</f>
        <v/>
      </c>
      <c r="M9" s="512" t="str">
        <f>IF(AP!$G9="","",IF(OR(COUNT(M9:O9)=0,S9=""),"",IF(diNo!R5="BOS", ROUNDUP((IF((Q9*2+M$5)/3&lt;1, 0, ROUNDUP((Q9*2+M$5)/3,2))*2+SUM(AP!M9:O9))/(2+COUNT(AP!M9:O9)),2),ROUNDUP((IF((Q9*2+M$5)/3&lt;1, 0, ROUNDUP((Q9*2+M$5)/3,2))*3+SUM(AP!M9:O9))/(3+COUNT(AP!M9:O9)),2))))</f>
        <v/>
      </c>
      <c r="N9" s="512" t="str">
        <f>IF(AP!$G9="","",IF(OR(COUNT(N9:P9)=0,T9=""),"",IF(diNo!S5="BOS", ROUNDUP((IF((R9*2+N$5)/3&lt;1, 0, ROUNDUP((R9*2+N$5)/3,2))*2+SUM(AP!N9:P9))/(2+COUNT(AP!N9:P9)),2),ROUNDUP((IF((R9*2+N$5)/3&lt;1, 0, ROUNDUP((R9*2+N$5)/3,2))*3+SUM(AP!N9:P9))/(3+COUNT(AP!N9:P9)),2))))</f>
        <v/>
      </c>
      <c r="O9" s="197" t="str">
        <f>IF(AP!$G9="","",IF(OR(COUNT(O9:Q9)=0,U9=""),"",IF(diNo!T5="BOS", ROUNDUP((IF((S9*2+O$5)/3&lt;1, 0, ROUNDUP((S9*2+O$5)/3,2))*2+SUM(AP!O9:Q9))/(2+COUNT(AP!O9:Q9)),2),ROUNDUP((IF((S9*2+O$5)/3&lt;1, 0, ROUNDUP((S9*2+O$5)/3,2))*3+SUM(AP!O9:Q9))/(3+COUNT(AP!O9:Q9)),2))))</f>
        <v/>
      </c>
      <c r="P9" s="197" t="str">
        <f>IF(AP!$G9="","",IF(OR(COUNT(P9:R9)=0,V9=""),"",IF(diNo!U5="BOS", ROUNDUP((IF((T9*2+P$5)/3&lt;1, 0, ROUNDUP((T9*2+P$5)/3,2))*2+SUM(AP!P9:R9))/(2+COUNT(AP!P9:R9)),2),ROUNDUP((IF((T9*2+P$5)/3&lt;1, 0, ROUNDUP((T9*2+P$5)/3,2))*3+SUM(AP!P9:R9))/(3+COUNT(AP!P9:R9)),2))))</f>
        <v/>
      </c>
      <c r="Q9" s="197" t="str">
        <f>IF(AP!$G9="","",IF(OR(COUNT(Q9:S9)=0,W9=""),"",IF(diNo!V5="BOS", ROUNDUP((IF((U9*2+Q$5)/3&lt;1, 0, ROUNDUP((U9*2+Q$5)/3,2))*2+SUM(AP!Q9:S9))/(2+COUNT(AP!Q9:S9)),2),ROUNDUP((IF((U9*2+Q$5)/3&lt;1, 0, ROUNDUP((U9*2+Q$5)/3,2))*3+SUM(AP!Q9:S9))/(3+COUNT(AP!Q9:S9)),2))))</f>
        <v/>
      </c>
      <c r="R9" s="512" t="str">
        <f>IF(AP!$G9="","",IF(OR(COUNT(R9:T9)=0,X9=""),"",IF(diNo!W5="BOS", ROUNDUP((IF((V9*2+R$5)/3&lt;1, 0, ROUNDUP((V9*2+R$5)/3,2))*2+SUM(AP!R9:T9))/(2+COUNT(AP!R9:T9)),2),ROUNDUP((IF((V9*2+R$5)/3&lt;1, 0, ROUNDUP((V9*2+R$5)/3,2))*3+SUM(AP!R9:T9))/(3+COUNT(AP!R9:T9)),2))))</f>
        <v/>
      </c>
    </row>
    <row r="10" spans="1:18" x14ac:dyDescent="0.2">
      <c r="A10" s="2" t="str">
        <f>IF(+AP!B10="","",AP!B10)</f>
        <v/>
      </c>
      <c r="B10" s="196" t="str">
        <f>IF(AP!G10="","",IF(ROUNDUP((AP!G10+AP!E10)/2,2)&lt;1,0,ROUNDUP((AP!G10+AP!E10)/2,2)))</f>
        <v/>
      </c>
      <c r="C10" s="197" t="str">
        <f>IF(AP!$G10="","",IF(OR(COUNT(C10:E10)=0,I10=""),"",IF(diNo!H6="BOS", ROUNDUP((IF((G10*2+C$5)/3&lt;1, 0, ROUNDUP((G10*2+C$5)/3,2))*2+SUM(AP!C10:E10))/(2+COUNT(AP!C10:E10)),2),ROUNDUP((IF((G10*2+C$5)/3&lt;1, 0, ROUNDUP((G10*2+C$5)/3,2))*3+SUM(AP!C10:E10))/(3+COUNT(AP!C10:E10)),2))))</f>
        <v/>
      </c>
      <c r="D10" s="197" t="str">
        <f>IF(AP!$G10="","",IF(OR(COUNT(D10:F10)=0,J10=""),"",IF(diNo!I6="BOS", ROUNDUP((IF((H10*2+D$5)/3&lt;1, 0, ROUNDUP((H10*2+D$5)/3,2))*2+SUM(AP!D10:F10))/(2+COUNT(AP!D10:F10)),2),ROUNDUP((IF((H10*2+D$5)/3&lt;1, 0, ROUNDUP((H10*2+D$5)/3,2))*3+SUM(AP!D10:F10))/(3+COUNT(AP!D10:F10)),2))))</f>
        <v/>
      </c>
      <c r="E10" s="197" t="str">
        <f>IF(AP!$G10="","",IF(OR(COUNT(E10:G10)=0,K10=""),"",IF(diNo!J6="BOS", ROUNDUP((IF((I10*2+E$5)/3&lt;1, 0, ROUNDUP((I10*2+E$5)/3,2))*2+SUM(AP!E10:G10))/(2+COUNT(AP!E10:G10)),2),ROUNDUP((IF((I10*2+E$5)/3&lt;1, 0, ROUNDUP((I10*2+E$5)/3,2))*3+SUM(AP!E10:G10))/(3+COUNT(AP!E10:G10)),2))))</f>
        <v/>
      </c>
      <c r="F10" s="512" t="str">
        <f>IF(AP!$G10="","",IF(OR(COUNT(F10:H10)=0,L10=""),"",IF(diNo!K6="BOS", ROUNDUP((IF((J10*2+F$5)/3&lt;1, 0, ROUNDUP((J10*2+F$5)/3,2))*2+SUM(AP!F10:H10))/(2+COUNT(AP!F10:H10)),2),ROUNDUP((IF((J10*2+F$5)/3&lt;1, 0, ROUNDUP((J10*2+F$5)/3,2))*3+SUM(AP!F10:H10))/(3+COUNT(AP!F10:H10)),2))))</f>
        <v/>
      </c>
      <c r="G10" s="512" t="str">
        <f>IF(AP!$G10="","",IF(OR(COUNT(G10:I10)=0,M10=""),"",IF(diNo!L6="BOS", ROUNDUP((IF((K10*2+G$5)/3&lt;1, 0, ROUNDUP((K10*2+G$5)/3,2))*2+SUM(AP!G10:I10))/(2+COUNT(AP!G10:I10)),2),ROUNDUP((IF((K10*2+G$5)/3&lt;1, 0, ROUNDUP((K10*2+G$5)/3,2))*3+SUM(AP!G10:I10))/(3+COUNT(AP!G10:I10)),2))))</f>
        <v/>
      </c>
      <c r="H10" s="512" t="str">
        <f>IF(AP!$G10="","",IF(OR(COUNT(H10:J10)=0,N10=""),"",IF(diNo!M6="BOS", ROUNDUP((IF((L10*2+H$5)/3&lt;1, 0, ROUNDUP((L10*2+H$5)/3,2))*2+SUM(AP!H10:J10))/(2+COUNT(AP!H10:J10)),2),ROUNDUP((IF((L10*2+H$5)/3&lt;1, 0, ROUNDUP((L10*2+H$5)/3,2))*3+SUM(AP!H10:J10))/(3+COUNT(AP!H10:J10)),2))))</f>
        <v/>
      </c>
      <c r="I10" s="197" t="str">
        <f>IF(AP!$G10="","",IF(OR(COUNT(I10:K10)=0,O10=""),"",IF(diNo!N6="BOS", ROUNDUP((IF((M10*2+I$5)/3&lt;1, 0, ROUNDUP((M10*2+I$5)/3,2))*2+SUM(AP!I10:K10))/(2+COUNT(AP!I10:K10)),2),ROUNDUP((IF((M10*2+I$5)/3&lt;1, 0, ROUNDUP((M10*2+I$5)/3,2))*3+SUM(AP!I10:K10))/(3+COUNT(AP!I10:K10)),2))))</f>
        <v/>
      </c>
      <c r="J10" s="197" t="str">
        <f>IF(AP!$G10="","",IF(OR(COUNT(J10:L10)=0,P10=""),"",IF(diNo!O6="BOS", ROUNDUP((IF((N10*2+J$5)/3&lt;1, 0, ROUNDUP((N10*2+J$5)/3,2))*2+SUM(AP!J10:L10))/(2+COUNT(AP!J10:L10)),2),ROUNDUP((IF((N10*2+J$5)/3&lt;1, 0, ROUNDUP((N10*2+J$5)/3,2))*3+SUM(AP!J10:L10))/(3+COUNT(AP!J10:L10)),2))))</f>
        <v/>
      </c>
      <c r="K10" s="197" t="str">
        <f>IF(AP!$G10="","",IF(OR(COUNT(K10:M10)=0,Q10=""),"",IF(diNo!P6="BOS", ROUNDUP((IF((O10*2+K$5)/3&lt;1, 0, ROUNDUP((O10*2+K$5)/3,2))*2+SUM(AP!K10:M10))/(2+COUNT(AP!K10:M10)),2),ROUNDUP((IF((O10*2+K$5)/3&lt;1, 0, ROUNDUP((O10*2+K$5)/3,2))*3+SUM(AP!K10:M10))/(3+COUNT(AP!K10:M10)),2))))</f>
        <v/>
      </c>
      <c r="L10" s="512" t="str">
        <f>IF(AP!$G10="","",IF(OR(COUNT(L10:N10)=0,R10=""),"",IF(diNo!Q6="BOS", ROUNDUP((IF((P10*2+L$5)/3&lt;1, 0, ROUNDUP((P10*2+L$5)/3,2))*2+SUM(AP!L10:N10))/(2+COUNT(AP!L10:N10)),2),ROUNDUP((IF((P10*2+L$5)/3&lt;1, 0, ROUNDUP((P10*2+L$5)/3,2))*3+SUM(AP!L10:N10))/(3+COUNT(AP!L10:N10)),2))))</f>
        <v/>
      </c>
      <c r="M10" s="512" t="str">
        <f>IF(AP!$G10="","",IF(OR(COUNT(M10:O10)=0,S10=""),"",IF(diNo!R6="BOS", ROUNDUP((IF((Q10*2+M$5)/3&lt;1, 0, ROUNDUP((Q10*2+M$5)/3,2))*2+SUM(AP!M10:O10))/(2+COUNT(AP!M10:O10)),2),ROUNDUP((IF((Q10*2+M$5)/3&lt;1, 0, ROUNDUP((Q10*2+M$5)/3,2))*3+SUM(AP!M10:O10))/(3+COUNT(AP!M10:O10)),2))))</f>
        <v/>
      </c>
      <c r="N10" s="512" t="str">
        <f>IF(AP!$G10="","",IF(OR(COUNT(N10:P10)=0,T10=""),"",IF(diNo!S6="BOS", ROUNDUP((IF((R10*2+N$5)/3&lt;1, 0, ROUNDUP((R10*2+N$5)/3,2))*2+SUM(AP!N10:P10))/(2+COUNT(AP!N10:P10)),2),ROUNDUP((IF((R10*2+N$5)/3&lt;1, 0, ROUNDUP((R10*2+N$5)/3,2))*3+SUM(AP!N10:P10))/(3+COUNT(AP!N10:P10)),2))))</f>
        <v/>
      </c>
      <c r="O10" s="197" t="str">
        <f>IF(AP!$G10="","",IF(OR(COUNT(O10:Q10)=0,U10=""),"",IF(diNo!T6="BOS", ROUNDUP((IF((S10*2+O$5)/3&lt;1, 0, ROUNDUP((S10*2+O$5)/3,2))*2+SUM(AP!O10:Q10))/(2+COUNT(AP!O10:Q10)),2),ROUNDUP((IF((S10*2+O$5)/3&lt;1, 0, ROUNDUP((S10*2+O$5)/3,2))*3+SUM(AP!O10:Q10))/(3+COUNT(AP!O10:Q10)),2))))</f>
        <v/>
      </c>
      <c r="P10" s="197" t="str">
        <f>IF(AP!$G10="","",IF(OR(COUNT(P10:R10)=0,V10=""),"",IF(diNo!U6="BOS", ROUNDUP((IF((T10*2+P$5)/3&lt;1, 0, ROUNDUP((T10*2+P$5)/3,2))*2+SUM(AP!P10:R10))/(2+COUNT(AP!P10:R10)),2),ROUNDUP((IF((T10*2+P$5)/3&lt;1, 0, ROUNDUP((T10*2+P$5)/3,2))*3+SUM(AP!P10:R10))/(3+COUNT(AP!P10:R10)),2))))</f>
        <v/>
      </c>
      <c r="Q10" s="197" t="str">
        <f>IF(AP!$G10="","",IF(OR(COUNT(Q10:S10)=0,W10=""),"",IF(diNo!V6="BOS", ROUNDUP((IF((U10*2+Q$5)/3&lt;1, 0, ROUNDUP((U10*2+Q$5)/3,2))*2+SUM(AP!Q10:S10))/(2+COUNT(AP!Q10:S10)),2),ROUNDUP((IF((U10*2+Q$5)/3&lt;1, 0, ROUNDUP((U10*2+Q$5)/3,2))*3+SUM(AP!Q10:S10))/(3+COUNT(AP!Q10:S10)),2))))</f>
        <v/>
      </c>
      <c r="R10" s="512" t="str">
        <f>IF(AP!$G10="","",IF(OR(COUNT(R10:T10)=0,X10=""),"",IF(diNo!W6="BOS", ROUNDUP((IF((V10*2+R$5)/3&lt;1, 0, ROUNDUP((V10*2+R$5)/3,2))*2+SUM(AP!R10:T10))/(2+COUNT(AP!R10:T10)),2),ROUNDUP((IF((V10*2+R$5)/3&lt;1, 0, ROUNDUP((V10*2+R$5)/3,2))*3+SUM(AP!R10:T10))/(3+COUNT(AP!R10:T10)),2))))</f>
        <v/>
      </c>
    </row>
    <row r="11" spans="1:18" x14ac:dyDescent="0.2">
      <c r="A11" s="2" t="str">
        <f>IF(+AP!B11="","",AP!B11)</f>
        <v/>
      </c>
      <c r="B11" s="196" t="str">
        <f>IF(AP!G11="","",IF(ROUNDUP((AP!G11+AP!E11)/2,2)&lt;1,0,ROUNDUP((AP!G11+AP!E11)/2,2)))</f>
        <v/>
      </c>
      <c r="C11" s="197" t="str">
        <f>IF(AP!$G11="","",IF(OR(COUNT(C11:E11)=0,I11=""),"",IF(diNo!H7="BOS", ROUNDUP((IF((G11*2+C$5)/3&lt;1, 0, ROUNDUP((G11*2+C$5)/3,2))*2+SUM(AP!C11:E11))/(2+COUNT(AP!C11:E11)),2),ROUNDUP((IF((G11*2+C$5)/3&lt;1, 0, ROUNDUP((G11*2+C$5)/3,2))*3+SUM(AP!C11:E11))/(3+COUNT(AP!C11:E11)),2))))</f>
        <v/>
      </c>
      <c r="D11" s="197" t="str">
        <f>IF(AP!$G11="","",IF(OR(COUNT(D11:F11)=0,J11=""),"",IF(diNo!I7="BOS", ROUNDUP((IF((H11*2+D$5)/3&lt;1, 0, ROUNDUP((H11*2+D$5)/3,2))*2+SUM(AP!D11:F11))/(2+COUNT(AP!D11:F11)),2),ROUNDUP((IF((H11*2+D$5)/3&lt;1, 0, ROUNDUP((H11*2+D$5)/3,2))*3+SUM(AP!D11:F11))/(3+COUNT(AP!D11:F11)),2))))</f>
        <v/>
      </c>
      <c r="E11" s="197" t="str">
        <f>IF(AP!$G11="","",IF(OR(COUNT(E11:G11)=0,K11=""),"",IF(diNo!J7="BOS", ROUNDUP((IF((I11*2+E$5)/3&lt;1, 0, ROUNDUP((I11*2+E$5)/3,2))*2+SUM(AP!E11:G11))/(2+COUNT(AP!E11:G11)),2),ROUNDUP((IF((I11*2+E$5)/3&lt;1, 0, ROUNDUP((I11*2+E$5)/3,2))*3+SUM(AP!E11:G11))/(3+COUNT(AP!E11:G11)),2))))</f>
        <v/>
      </c>
      <c r="F11" s="512" t="str">
        <f>IF(AP!$G11="","",IF(OR(COUNT(F11:H11)=0,L11=""),"",IF(diNo!K7="BOS", ROUNDUP((IF((J11*2+F$5)/3&lt;1, 0, ROUNDUP((J11*2+F$5)/3,2))*2+SUM(AP!F11:H11))/(2+COUNT(AP!F11:H11)),2),ROUNDUP((IF((J11*2+F$5)/3&lt;1, 0, ROUNDUP((J11*2+F$5)/3,2))*3+SUM(AP!F11:H11))/(3+COUNT(AP!F11:H11)),2))))</f>
        <v/>
      </c>
      <c r="G11" s="512" t="str">
        <f>IF(AP!$G11="","",IF(OR(COUNT(G11:I11)=0,M11=""),"",IF(diNo!L7="BOS", ROUNDUP((IF((K11*2+G$5)/3&lt;1, 0, ROUNDUP((K11*2+G$5)/3,2))*2+SUM(AP!G11:I11))/(2+COUNT(AP!G11:I11)),2),ROUNDUP((IF((K11*2+G$5)/3&lt;1, 0, ROUNDUP((K11*2+G$5)/3,2))*3+SUM(AP!G11:I11))/(3+COUNT(AP!G11:I11)),2))))</f>
        <v/>
      </c>
      <c r="H11" s="512" t="str">
        <f>IF(AP!$G11="","",IF(OR(COUNT(H11:J11)=0,N11=""),"",IF(diNo!M7="BOS", ROUNDUP((IF((L11*2+H$5)/3&lt;1, 0, ROUNDUP((L11*2+H$5)/3,2))*2+SUM(AP!H11:J11))/(2+COUNT(AP!H11:J11)),2),ROUNDUP((IF((L11*2+H$5)/3&lt;1, 0, ROUNDUP((L11*2+H$5)/3,2))*3+SUM(AP!H11:J11))/(3+COUNT(AP!H11:J11)),2))))</f>
        <v/>
      </c>
      <c r="I11" s="197" t="str">
        <f>IF(AP!$G11="","",IF(OR(COUNT(I11:K11)=0,O11=""),"",IF(diNo!N7="BOS", ROUNDUP((IF((M11*2+I$5)/3&lt;1, 0, ROUNDUP((M11*2+I$5)/3,2))*2+SUM(AP!I11:K11))/(2+COUNT(AP!I11:K11)),2),ROUNDUP((IF((M11*2+I$5)/3&lt;1, 0, ROUNDUP((M11*2+I$5)/3,2))*3+SUM(AP!I11:K11))/(3+COUNT(AP!I11:K11)),2))))</f>
        <v/>
      </c>
      <c r="J11" s="197" t="str">
        <f>IF(AP!$G11="","",IF(OR(COUNT(J11:L11)=0,P11=""),"",IF(diNo!O7="BOS", ROUNDUP((IF((N11*2+J$5)/3&lt;1, 0, ROUNDUP((N11*2+J$5)/3,2))*2+SUM(AP!J11:L11))/(2+COUNT(AP!J11:L11)),2),ROUNDUP((IF((N11*2+J$5)/3&lt;1, 0, ROUNDUP((N11*2+J$5)/3,2))*3+SUM(AP!J11:L11))/(3+COUNT(AP!J11:L11)),2))))</f>
        <v/>
      </c>
      <c r="K11" s="197" t="str">
        <f>IF(AP!$G11="","",IF(OR(COUNT(K11:M11)=0,Q11=""),"",IF(diNo!P7="BOS", ROUNDUP((IF((O11*2+K$5)/3&lt;1, 0, ROUNDUP((O11*2+K$5)/3,2))*2+SUM(AP!K11:M11))/(2+COUNT(AP!K11:M11)),2),ROUNDUP((IF((O11*2+K$5)/3&lt;1, 0, ROUNDUP((O11*2+K$5)/3,2))*3+SUM(AP!K11:M11))/(3+COUNT(AP!K11:M11)),2))))</f>
        <v/>
      </c>
      <c r="L11" s="512" t="str">
        <f>IF(AP!$G11="","",IF(OR(COUNT(L11:N11)=0,R11=""),"",IF(diNo!Q7="BOS", ROUNDUP((IF((P11*2+L$5)/3&lt;1, 0, ROUNDUP((P11*2+L$5)/3,2))*2+SUM(AP!L11:N11))/(2+COUNT(AP!L11:N11)),2),ROUNDUP((IF((P11*2+L$5)/3&lt;1, 0, ROUNDUP((P11*2+L$5)/3,2))*3+SUM(AP!L11:N11))/(3+COUNT(AP!L11:N11)),2))))</f>
        <v/>
      </c>
      <c r="M11" s="512" t="str">
        <f>IF(AP!$G11="","",IF(OR(COUNT(M11:O11)=0,S11=""),"",IF(diNo!R7="BOS", ROUNDUP((IF((Q11*2+M$5)/3&lt;1, 0, ROUNDUP((Q11*2+M$5)/3,2))*2+SUM(AP!M11:O11))/(2+COUNT(AP!M11:O11)),2),ROUNDUP((IF((Q11*2+M$5)/3&lt;1, 0, ROUNDUP((Q11*2+M$5)/3,2))*3+SUM(AP!M11:O11))/(3+COUNT(AP!M11:O11)),2))))</f>
        <v/>
      </c>
      <c r="N11" s="512" t="str">
        <f>IF(AP!$G11="","",IF(OR(COUNT(N11:P11)=0,T11=""),"",IF(diNo!S7="BOS", ROUNDUP((IF((R11*2+N$5)/3&lt;1, 0, ROUNDUP((R11*2+N$5)/3,2))*2+SUM(AP!N11:P11))/(2+COUNT(AP!N11:P11)),2),ROUNDUP((IF((R11*2+N$5)/3&lt;1, 0, ROUNDUP((R11*2+N$5)/3,2))*3+SUM(AP!N11:P11))/(3+COUNT(AP!N11:P11)),2))))</f>
        <v/>
      </c>
      <c r="O11" s="197" t="str">
        <f>IF(AP!$G11="","",IF(OR(COUNT(O11:Q11)=0,U11=""),"",IF(diNo!T7="BOS", ROUNDUP((IF((S11*2+O$5)/3&lt;1, 0, ROUNDUP((S11*2+O$5)/3,2))*2+SUM(AP!O11:Q11))/(2+COUNT(AP!O11:Q11)),2),ROUNDUP((IF((S11*2+O$5)/3&lt;1, 0, ROUNDUP((S11*2+O$5)/3,2))*3+SUM(AP!O11:Q11))/(3+COUNT(AP!O11:Q11)),2))))</f>
        <v/>
      </c>
      <c r="P11" s="197" t="str">
        <f>IF(AP!$G11="","",IF(OR(COUNT(P11:R11)=0,V11=""),"",IF(diNo!U7="BOS", ROUNDUP((IF((T11*2+P$5)/3&lt;1, 0, ROUNDUP((T11*2+P$5)/3,2))*2+SUM(AP!P11:R11))/(2+COUNT(AP!P11:R11)),2),ROUNDUP((IF((T11*2+P$5)/3&lt;1, 0, ROUNDUP((T11*2+P$5)/3,2))*3+SUM(AP!P11:R11))/(3+COUNT(AP!P11:R11)),2))))</f>
        <v/>
      </c>
      <c r="Q11" s="197" t="str">
        <f>IF(AP!$G11="","",IF(OR(COUNT(Q11:S11)=0,W11=""),"",IF(diNo!V7="BOS", ROUNDUP((IF((U11*2+Q$5)/3&lt;1, 0, ROUNDUP((U11*2+Q$5)/3,2))*2+SUM(AP!Q11:S11))/(2+COUNT(AP!Q11:S11)),2),ROUNDUP((IF((U11*2+Q$5)/3&lt;1, 0, ROUNDUP((U11*2+Q$5)/3,2))*3+SUM(AP!Q11:S11))/(3+COUNT(AP!Q11:S11)),2))))</f>
        <v/>
      </c>
      <c r="R11" s="512" t="str">
        <f>IF(AP!$G11="","",IF(OR(COUNT(R11:T11)=0,X11=""),"",IF(diNo!W7="BOS", ROUNDUP((IF((V11*2+R$5)/3&lt;1, 0, ROUNDUP((V11*2+R$5)/3,2))*2+SUM(AP!R11:T11))/(2+COUNT(AP!R11:T11)),2),ROUNDUP((IF((V11*2+R$5)/3&lt;1, 0, ROUNDUP((V11*2+R$5)/3,2))*3+SUM(AP!R11:T11))/(3+COUNT(AP!R11:T11)),2))))</f>
        <v/>
      </c>
    </row>
    <row r="12" spans="1:18" x14ac:dyDescent="0.2">
      <c r="A12" s="2" t="str">
        <f>IF(+AP!B12="","",AP!B12)</f>
        <v/>
      </c>
      <c r="B12" s="196" t="str">
        <f>IF(AP!G12="","",IF(ROUNDUP((AP!G12+AP!E12)/2,2)&lt;1,0,ROUNDUP((AP!G12+AP!E12)/2,2)))</f>
        <v/>
      </c>
      <c r="C12" s="197" t="str">
        <f>IF(AP!$G12="","",IF(OR(COUNT(C12:E12)=0,I12=""),"",IF(diNo!H8="BOS", ROUNDUP((IF((G12*2+C$5)/3&lt;1, 0, ROUNDUP((G12*2+C$5)/3,2))*2+SUM(AP!C12:E12))/(2+COUNT(AP!C12:E12)),2),ROUNDUP((IF((G12*2+C$5)/3&lt;1, 0, ROUNDUP((G12*2+C$5)/3,2))*3+SUM(AP!C12:E12))/(3+COUNT(AP!C12:E12)),2))))</f>
        <v/>
      </c>
      <c r="D12" s="197" t="str">
        <f>IF(AP!$G12="","",IF(OR(COUNT(D12:F12)=0,J12=""),"",IF(diNo!I8="BOS", ROUNDUP((IF((H12*2+D$5)/3&lt;1, 0, ROUNDUP((H12*2+D$5)/3,2))*2+SUM(AP!D12:F12))/(2+COUNT(AP!D12:F12)),2),ROUNDUP((IF((H12*2+D$5)/3&lt;1, 0, ROUNDUP((H12*2+D$5)/3,2))*3+SUM(AP!D12:F12))/(3+COUNT(AP!D12:F12)),2))))</f>
        <v/>
      </c>
      <c r="E12" s="197" t="str">
        <f>IF(AP!$G12="","",IF(OR(COUNT(E12:G12)=0,K12=""),"",IF(diNo!J8="BOS", ROUNDUP((IF((I12*2+E$5)/3&lt;1, 0, ROUNDUP((I12*2+E$5)/3,2))*2+SUM(AP!E12:G12))/(2+COUNT(AP!E12:G12)),2),ROUNDUP((IF((I12*2+E$5)/3&lt;1, 0, ROUNDUP((I12*2+E$5)/3,2))*3+SUM(AP!E12:G12))/(3+COUNT(AP!E12:G12)),2))))</f>
        <v/>
      </c>
      <c r="F12" s="512" t="str">
        <f>IF(AP!$G12="","",IF(OR(COUNT(F12:H12)=0,L12=""),"",IF(diNo!K8="BOS", ROUNDUP((IF((J12*2+F$5)/3&lt;1, 0, ROUNDUP((J12*2+F$5)/3,2))*2+SUM(AP!F12:H12))/(2+COUNT(AP!F12:H12)),2),ROUNDUP((IF((J12*2+F$5)/3&lt;1, 0, ROUNDUP((J12*2+F$5)/3,2))*3+SUM(AP!F12:H12))/(3+COUNT(AP!F12:H12)),2))))</f>
        <v/>
      </c>
      <c r="G12" s="512" t="str">
        <f>IF(AP!$G12="","",IF(OR(COUNT(G12:I12)=0,M12=""),"",IF(diNo!L8="BOS", ROUNDUP((IF((K12*2+G$5)/3&lt;1, 0, ROUNDUP((K12*2+G$5)/3,2))*2+SUM(AP!G12:I12))/(2+COUNT(AP!G12:I12)),2),ROUNDUP((IF((K12*2+G$5)/3&lt;1, 0, ROUNDUP((K12*2+G$5)/3,2))*3+SUM(AP!G12:I12))/(3+COUNT(AP!G12:I12)),2))))</f>
        <v/>
      </c>
      <c r="H12" s="512" t="str">
        <f>IF(AP!$G12="","",IF(OR(COUNT(H12:J12)=0,N12=""),"",IF(diNo!M8="BOS", ROUNDUP((IF((L12*2+H$5)/3&lt;1, 0, ROUNDUP((L12*2+H$5)/3,2))*2+SUM(AP!H12:J12))/(2+COUNT(AP!H12:J12)),2),ROUNDUP((IF((L12*2+H$5)/3&lt;1, 0, ROUNDUP((L12*2+H$5)/3,2))*3+SUM(AP!H12:J12))/(3+COUNT(AP!H12:J12)),2))))</f>
        <v/>
      </c>
      <c r="I12" s="197" t="str">
        <f>IF(AP!$G12="","",IF(OR(COUNT(I12:K12)=0,O12=""),"",IF(diNo!N8="BOS", ROUNDUP((IF((M12*2+I$5)/3&lt;1, 0, ROUNDUP((M12*2+I$5)/3,2))*2+SUM(AP!I12:K12))/(2+COUNT(AP!I12:K12)),2),ROUNDUP((IF((M12*2+I$5)/3&lt;1, 0, ROUNDUP((M12*2+I$5)/3,2))*3+SUM(AP!I12:K12))/(3+COUNT(AP!I12:K12)),2))))</f>
        <v/>
      </c>
      <c r="J12" s="197" t="str">
        <f>IF(AP!$G12="","",IF(OR(COUNT(J12:L12)=0,P12=""),"",IF(diNo!O8="BOS", ROUNDUP((IF((N12*2+J$5)/3&lt;1, 0, ROUNDUP((N12*2+J$5)/3,2))*2+SUM(AP!J12:L12))/(2+COUNT(AP!J12:L12)),2),ROUNDUP((IF((N12*2+J$5)/3&lt;1, 0, ROUNDUP((N12*2+J$5)/3,2))*3+SUM(AP!J12:L12))/(3+COUNT(AP!J12:L12)),2))))</f>
        <v/>
      </c>
      <c r="K12" s="197" t="str">
        <f>IF(AP!$G12="","",IF(OR(COUNT(K12:M12)=0,Q12=""),"",IF(diNo!P8="BOS", ROUNDUP((IF((O12*2+K$5)/3&lt;1, 0, ROUNDUP((O12*2+K$5)/3,2))*2+SUM(AP!K12:M12))/(2+COUNT(AP!K12:M12)),2),ROUNDUP((IF((O12*2+K$5)/3&lt;1, 0, ROUNDUP((O12*2+K$5)/3,2))*3+SUM(AP!K12:M12))/(3+COUNT(AP!K12:M12)),2))))</f>
        <v/>
      </c>
      <c r="L12" s="512" t="str">
        <f>IF(AP!$G12="","",IF(OR(COUNT(L12:N12)=0,R12=""),"",IF(diNo!Q8="BOS", ROUNDUP((IF((P12*2+L$5)/3&lt;1, 0, ROUNDUP((P12*2+L$5)/3,2))*2+SUM(AP!L12:N12))/(2+COUNT(AP!L12:N12)),2),ROUNDUP((IF((P12*2+L$5)/3&lt;1, 0, ROUNDUP((P12*2+L$5)/3,2))*3+SUM(AP!L12:N12))/(3+COUNT(AP!L12:N12)),2))))</f>
        <v/>
      </c>
      <c r="M12" s="512" t="str">
        <f>IF(AP!$G12="","",IF(OR(COUNT(M12:O12)=0,S12=""),"",IF(diNo!R8="BOS", ROUNDUP((IF((Q12*2+M$5)/3&lt;1, 0, ROUNDUP((Q12*2+M$5)/3,2))*2+SUM(AP!M12:O12))/(2+COUNT(AP!M12:O12)),2),ROUNDUP((IF((Q12*2+M$5)/3&lt;1, 0, ROUNDUP((Q12*2+M$5)/3,2))*3+SUM(AP!M12:O12))/(3+COUNT(AP!M12:O12)),2))))</f>
        <v/>
      </c>
      <c r="N12" s="512" t="str">
        <f>IF(AP!$G12="","",IF(OR(COUNT(N12:P12)=0,T12=""),"",IF(diNo!S8="BOS", ROUNDUP((IF((R12*2+N$5)/3&lt;1, 0, ROUNDUP((R12*2+N$5)/3,2))*2+SUM(AP!N12:P12))/(2+COUNT(AP!N12:P12)),2),ROUNDUP((IF((R12*2+N$5)/3&lt;1, 0, ROUNDUP((R12*2+N$5)/3,2))*3+SUM(AP!N12:P12))/(3+COUNT(AP!N12:P12)),2))))</f>
        <v/>
      </c>
      <c r="O12" s="513" t="str">
        <f>IF(AP!$G12="","",IF(OR(COUNT(O12:Q12)=0,U12=""),"",IF(diNo!T8="BOS", ROUNDUP((IF((S12*2+O$5)/3&lt;1, 0, ROUNDUP((S12*2+O$5)/3,2))*2+SUM(AP!O12:Q12))/(2+COUNT(AP!O12:Q12)),2),ROUNDUP((IF((S12*2+O$5)/3&lt;1, 0, ROUNDUP((S12*2+O$5)/3,2))*3+SUM(AP!O12:Q12))/(3+COUNT(AP!O12:Q12)),2))))</f>
        <v/>
      </c>
      <c r="P12" s="513" t="str">
        <f>IF(AP!$G12="","",IF(OR(COUNT(P12:R12)=0,V12=""),"",IF(diNo!U8="BOS", ROUNDUP((IF((T12*2+P$5)/3&lt;1, 0, ROUNDUP((T12*2+P$5)/3,2))*2+SUM(AP!P12:R12))/(2+COUNT(AP!P12:R12)),2),ROUNDUP((IF((T12*2+P$5)/3&lt;1, 0, ROUNDUP((T12*2+P$5)/3,2))*3+SUM(AP!P12:R12))/(3+COUNT(AP!P12:R12)),2))))</f>
        <v/>
      </c>
      <c r="Q12" s="513" t="str">
        <f>IF(AP!$G12="","",IF(OR(COUNT(Q12:S12)=0,W12=""),"",IF(diNo!V8="BOS", ROUNDUP((IF((U12*2+Q$5)/3&lt;1, 0, ROUNDUP((U12*2+Q$5)/3,2))*2+SUM(AP!Q12:S12))/(2+COUNT(AP!Q12:S12)),2),ROUNDUP((IF((U12*2+Q$5)/3&lt;1, 0, ROUNDUP((U12*2+Q$5)/3,2))*3+SUM(AP!Q12:S12))/(3+COUNT(AP!Q12:S12)),2))))</f>
        <v/>
      </c>
      <c r="R12" s="512" t="str">
        <f>IF(AP!$G12="","",IF(OR(COUNT(R12:T12)=0,X12=""),"",IF(diNo!W8="BOS", ROUNDUP((IF((V12*2+R$5)/3&lt;1, 0, ROUNDUP((V12*2+R$5)/3,2))*2+SUM(AP!R12:T12))/(2+COUNT(AP!R12:T12)),2),ROUNDUP((IF((V12*2+R$5)/3&lt;1, 0, ROUNDUP((V12*2+R$5)/3,2))*3+SUM(AP!R12:T12))/(3+COUNT(AP!R12:T12)),2))))</f>
        <v/>
      </c>
    </row>
    <row r="13" spans="1:18" x14ac:dyDescent="0.2">
      <c r="A13" s="2" t="str">
        <f>IF(+AP!B13="","",AP!B13)</f>
        <v/>
      </c>
      <c r="B13" s="196" t="str">
        <f>IF(AP!G13="","",IF(ROUNDUP((AP!G13+AP!E13)/2,2)&lt;1,0,ROUNDUP((AP!G13+AP!E13)/2,2)))</f>
        <v/>
      </c>
      <c r="C13" s="197" t="str">
        <f>IF(AP!$G13="","",IF(OR(COUNT(C13:E13)=0,I13=""),"",IF(diNo!H9="BOS", ROUNDUP((IF((G13*2+C$5)/3&lt;1, 0, ROUNDUP((G13*2+C$5)/3,2))*2+SUM(AP!C13:E13))/(2+COUNT(AP!C13:E13)),2),ROUNDUP((IF((G13*2+C$5)/3&lt;1, 0, ROUNDUP((G13*2+C$5)/3,2))*3+SUM(AP!C13:E13))/(3+COUNT(AP!C13:E13)),2))))</f>
        <v/>
      </c>
      <c r="D13" s="197" t="str">
        <f>IF(AP!$G13="","",IF(OR(COUNT(D13:F13)=0,J13=""),"",IF(diNo!I9="BOS", ROUNDUP((IF((H13*2+D$5)/3&lt;1, 0, ROUNDUP((H13*2+D$5)/3,2))*2+SUM(AP!D13:F13))/(2+COUNT(AP!D13:F13)),2),ROUNDUP((IF((H13*2+D$5)/3&lt;1, 0, ROUNDUP((H13*2+D$5)/3,2))*3+SUM(AP!D13:F13))/(3+COUNT(AP!D13:F13)),2))))</f>
        <v/>
      </c>
      <c r="E13" s="197" t="str">
        <f>IF(AP!$G13="","",IF(OR(COUNT(E13:G13)=0,K13=""),"",IF(diNo!J9="BOS", ROUNDUP((IF((I13*2+E$5)/3&lt;1, 0, ROUNDUP((I13*2+E$5)/3,2))*2+SUM(AP!E13:G13))/(2+COUNT(AP!E13:G13)),2),ROUNDUP((IF((I13*2+E$5)/3&lt;1, 0, ROUNDUP((I13*2+E$5)/3,2))*3+SUM(AP!E13:G13))/(3+COUNT(AP!E13:G13)),2))))</f>
        <v/>
      </c>
      <c r="F13" s="512" t="str">
        <f>IF(AP!$G13="","",IF(OR(COUNT(F13:H13)=0,L13=""),"",IF(diNo!K9="BOS", ROUNDUP((IF((J13*2+F$5)/3&lt;1, 0, ROUNDUP((J13*2+F$5)/3,2))*2+SUM(AP!F13:H13))/(2+COUNT(AP!F13:H13)),2),ROUNDUP((IF((J13*2+F$5)/3&lt;1, 0, ROUNDUP((J13*2+F$5)/3,2))*3+SUM(AP!F13:H13))/(3+COUNT(AP!F13:H13)),2))))</f>
        <v/>
      </c>
      <c r="G13" s="512" t="str">
        <f>IF(AP!$G13="","",IF(OR(COUNT(G13:I13)=0,M13=""),"",IF(diNo!L9="BOS", ROUNDUP((IF((K13*2+G$5)/3&lt;1, 0, ROUNDUP((K13*2+G$5)/3,2))*2+SUM(AP!G13:I13))/(2+COUNT(AP!G13:I13)),2),ROUNDUP((IF((K13*2+G$5)/3&lt;1, 0, ROUNDUP((K13*2+G$5)/3,2))*3+SUM(AP!G13:I13))/(3+COUNT(AP!G13:I13)),2))))</f>
        <v/>
      </c>
      <c r="H13" s="512" t="str">
        <f>IF(AP!$G13="","",IF(OR(COUNT(H13:J13)=0,N13=""),"",IF(diNo!M9="BOS", ROUNDUP((IF((L13*2+H$5)/3&lt;1, 0, ROUNDUP((L13*2+H$5)/3,2))*2+SUM(AP!H13:J13))/(2+COUNT(AP!H13:J13)),2),ROUNDUP((IF((L13*2+H$5)/3&lt;1, 0, ROUNDUP((L13*2+H$5)/3,2))*3+SUM(AP!H13:J13))/(3+COUNT(AP!H13:J13)),2))))</f>
        <v/>
      </c>
      <c r="I13" s="197" t="str">
        <f>IF(AP!$G13="","",IF(OR(COUNT(I13:K13)=0,O13=""),"",IF(diNo!N9="BOS", ROUNDUP((IF((M13*2+I$5)/3&lt;1, 0, ROUNDUP((M13*2+I$5)/3,2))*2+SUM(AP!I13:K13))/(2+COUNT(AP!I13:K13)),2),ROUNDUP((IF((M13*2+I$5)/3&lt;1, 0, ROUNDUP((M13*2+I$5)/3,2))*3+SUM(AP!I13:K13))/(3+COUNT(AP!I13:K13)),2))))</f>
        <v/>
      </c>
      <c r="J13" s="197" t="str">
        <f>IF(AP!$G13="","",IF(OR(COUNT(J13:L13)=0,P13=""),"",IF(diNo!O9="BOS", ROUNDUP((IF((N13*2+J$5)/3&lt;1, 0, ROUNDUP((N13*2+J$5)/3,2))*2+SUM(AP!J13:L13))/(2+COUNT(AP!J13:L13)),2),ROUNDUP((IF((N13*2+J$5)/3&lt;1, 0, ROUNDUP((N13*2+J$5)/3,2))*3+SUM(AP!J13:L13))/(3+COUNT(AP!J13:L13)),2))))</f>
        <v/>
      </c>
      <c r="K13" s="197" t="str">
        <f>IF(AP!$G13="","",IF(OR(COUNT(K13:M13)=0,Q13=""),"",IF(diNo!P9="BOS", ROUNDUP((IF((O13*2+K$5)/3&lt;1, 0, ROUNDUP((O13*2+K$5)/3,2))*2+SUM(AP!K13:M13))/(2+COUNT(AP!K13:M13)),2),ROUNDUP((IF((O13*2+K$5)/3&lt;1, 0, ROUNDUP((O13*2+K$5)/3,2))*3+SUM(AP!K13:M13))/(3+COUNT(AP!K13:M13)),2))))</f>
        <v/>
      </c>
      <c r="L13" s="512" t="str">
        <f>IF(AP!$G13="","",IF(OR(COUNT(L13:N13)=0,R13=""),"",IF(diNo!Q9="BOS", ROUNDUP((IF((P13*2+L$5)/3&lt;1, 0, ROUNDUP((P13*2+L$5)/3,2))*2+SUM(AP!L13:N13))/(2+COUNT(AP!L13:N13)),2),ROUNDUP((IF((P13*2+L$5)/3&lt;1, 0, ROUNDUP((P13*2+L$5)/3,2))*3+SUM(AP!L13:N13))/(3+COUNT(AP!L13:N13)),2))))</f>
        <v/>
      </c>
      <c r="M13" s="512" t="str">
        <f>IF(AP!$G13="","",IF(OR(COUNT(M13:O13)=0,S13=""),"",IF(diNo!R9="BOS", ROUNDUP((IF((Q13*2+M$5)/3&lt;1, 0, ROUNDUP((Q13*2+M$5)/3,2))*2+SUM(AP!M13:O13))/(2+COUNT(AP!M13:O13)),2),ROUNDUP((IF((Q13*2+M$5)/3&lt;1, 0, ROUNDUP((Q13*2+M$5)/3,2))*3+SUM(AP!M13:O13))/(3+COUNT(AP!M13:O13)),2))))</f>
        <v/>
      </c>
      <c r="N13" s="512" t="str">
        <f>IF(AP!$G13="","",IF(OR(COUNT(N13:P13)=0,T13=""),"",IF(diNo!S9="BOS", ROUNDUP((IF((R13*2+N$5)/3&lt;1, 0, ROUNDUP((R13*2+N$5)/3,2))*2+SUM(AP!N13:P13))/(2+COUNT(AP!N13:P13)),2),ROUNDUP((IF((R13*2+N$5)/3&lt;1, 0, ROUNDUP((R13*2+N$5)/3,2))*3+SUM(AP!N13:P13))/(3+COUNT(AP!N13:P13)),2))))</f>
        <v/>
      </c>
      <c r="O13" s="513" t="str">
        <f>IF(AP!$G13="","",IF(OR(COUNT(O13:Q13)=0,U13=""),"",IF(diNo!T9="BOS", ROUNDUP((IF((S13*2+O$5)/3&lt;1, 0, ROUNDUP((S13*2+O$5)/3,2))*2+SUM(AP!O13:Q13))/(2+COUNT(AP!O13:Q13)),2),ROUNDUP((IF((S13*2+O$5)/3&lt;1, 0, ROUNDUP((S13*2+O$5)/3,2))*3+SUM(AP!O13:Q13))/(3+COUNT(AP!O13:Q13)),2))))</f>
        <v/>
      </c>
      <c r="P13" s="513" t="str">
        <f>IF(AP!$G13="","",IF(OR(COUNT(P13:R13)=0,V13=""),"",IF(diNo!U9="BOS", ROUNDUP((IF((T13*2+P$5)/3&lt;1, 0, ROUNDUP((T13*2+P$5)/3,2))*2+SUM(AP!P13:R13))/(2+COUNT(AP!P13:R13)),2),ROUNDUP((IF((T13*2+P$5)/3&lt;1, 0, ROUNDUP((T13*2+P$5)/3,2))*3+SUM(AP!P13:R13))/(3+COUNT(AP!P13:R13)),2))))</f>
        <v/>
      </c>
      <c r="Q13" s="513" t="str">
        <f>IF(AP!$G13="","",IF(OR(COUNT(Q13:S13)=0,W13=""),"",IF(diNo!V9="BOS", ROUNDUP((IF((U13*2+Q$5)/3&lt;1, 0, ROUNDUP((U13*2+Q$5)/3,2))*2+SUM(AP!Q13:S13))/(2+COUNT(AP!Q13:S13)),2),ROUNDUP((IF((U13*2+Q$5)/3&lt;1, 0, ROUNDUP((U13*2+Q$5)/3,2))*3+SUM(AP!Q13:S13))/(3+COUNT(AP!Q13:S13)),2))))</f>
        <v/>
      </c>
      <c r="R13" s="512" t="str">
        <f>IF(AP!$G13="","",IF(OR(COUNT(R13:T13)=0,X13=""),"",IF(diNo!W9="BOS", ROUNDUP((IF((V13*2+R$5)/3&lt;1, 0, ROUNDUP((V13*2+R$5)/3,2))*2+SUM(AP!R13:T13))/(2+COUNT(AP!R13:T13)),2),ROUNDUP((IF((V13*2+R$5)/3&lt;1, 0, ROUNDUP((V13*2+R$5)/3,2))*3+SUM(AP!R13:T13))/(3+COUNT(AP!R13:T13)),2))))</f>
        <v/>
      </c>
    </row>
    <row r="14" spans="1:18" x14ac:dyDescent="0.2">
      <c r="A14" s="2" t="str">
        <f>IF(+AP!B14="","",AP!B14)</f>
        <v/>
      </c>
      <c r="B14" s="196" t="str">
        <f>IF(AP!G14="","",IF(ROUNDUP((AP!G14+AP!E14)/2,2)&lt;1,0,ROUNDUP((AP!G14+AP!E14)/2,2)))</f>
        <v/>
      </c>
      <c r="C14" s="197" t="str">
        <f>IF(AP!$G14="","",IF(OR(COUNT(C14:E14)=0,I14=""),"",IF(diNo!H10="BOS", ROUNDUP((IF((G14*2+C$5)/3&lt;1, 0, ROUNDUP((G14*2+C$5)/3,2))*2+SUM(AP!C14:E14))/(2+COUNT(AP!C14:E14)),2),ROUNDUP((IF((G14*2+C$5)/3&lt;1, 0, ROUNDUP((G14*2+C$5)/3,2))*3+SUM(AP!C14:E14))/(3+COUNT(AP!C14:E14)),2))))</f>
        <v/>
      </c>
      <c r="D14" s="197" t="str">
        <f>IF(AP!$G14="","",IF(OR(COUNT(D14:F14)=0,J14=""),"",IF(diNo!I10="BOS", ROUNDUP((IF((H14*2+D$5)/3&lt;1, 0, ROUNDUP((H14*2+D$5)/3,2))*2+SUM(AP!D14:F14))/(2+COUNT(AP!D14:F14)),2),ROUNDUP((IF((H14*2+D$5)/3&lt;1, 0, ROUNDUP((H14*2+D$5)/3,2))*3+SUM(AP!D14:F14))/(3+COUNT(AP!D14:F14)),2))))</f>
        <v/>
      </c>
      <c r="E14" s="197" t="str">
        <f>IF(AP!$G14="","",IF(OR(COUNT(E14:G14)=0,K14=""),"",IF(diNo!J10="BOS", ROUNDUP((IF((I14*2+E$5)/3&lt;1, 0, ROUNDUP((I14*2+E$5)/3,2))*2+SUM(AP!E14:G14))/(2+COUNT(AP!E14:G14)),2),ROUNDUP((IF((I14*2+E$5)/3&lt;1, 0, ROUNDUP((I14*2+E$5)/3,2))*3+SUM(AP!E14:G14))/(3+COUNT(AP!E14:G14)),2))))</f>
        <v/>
      </c>
      <c r="F14" s="512" t="str">
        <f>IF(AP!$G14="","",IF(OR(COUNT(F14:H14)=0,L14=""),"",IF(diNo!K10="BOS", ROUNDUP((IF((J14*2+F$5)/3&lt;1, 0, ROUNDUP((J14*2+F$5)/3,2))*2+SUM(AP!F14:H14))/(2+COUNT(AP!F14:H14)),2),ROUNDUP((IF((J14*2+F$5)/3&lt;1, 0, ROUNDUP((J14*2+F$5)/3,2))*3+SUM(AP!F14:H14))/(3+COUNT(AP!F14:H14)),2))))</f>
        <v/>
      </c>
      <c r="G14" s="512" t="str">
        <f>IF(AP!$G14="","",IF(OR(COUNT(G14:I14)=0,M14=""),"",IF(diNo!L10="BOS", ROUNDUP((IF((K14*2+G$5)/3&lt;1, 0, ROUNDUP((K14*2+G$5)/3,2))*2+SUM(AP!G14:I14))/(2+COUNT(AP!G14:I14)),2),ROUNDUP((IF((K14*2+G$5)/3&lt;1, 0, ROUNDUP((K14*2+G$5)/3,2))*3+SUM(AP!G14:I14))/(3+COUNT(AP!G14:I14)),2))))</f>
        <v/>
      </c>
      <c r="H14" s="512" t="str">
        <f>IF(AP!$G14="","",IF(OR(COUNT(H14:J14)=0,N14=""),"",IF(diNo!M10="BOS", ROUNDUP((IF((L14*2+H$5)/3&lt;1, 0, ROUNDUP((L14*2+H$5)/3,2))*2+SUM(AP!H14:J14))/(2+COUNT(AP!H14:J14)),2),ROUNDUP((IF((L14*2+H$5)/3&lt;1, 0, ROUNDUP((L14*2+H$5)/3,2))*3+SUM(AP!H14:J14))/(3+COUNT(AP!H14:J14)),2))))</f>
        <v/>
      </c>
      <c r="I14" s="197" t="str">
        <f>IF(AP!$G14="","",IF(OR(COUNT(I14:K14)=0,O14=""),"",IF(diNo!N10="BOS", ROUNDUP((IF((M14*2+I$5)/3&lt;1, 0, ROUNDUP((M14*2+I$5)/3,2))*2+SUM(AP!I14:K14))/(2+COUNT(AP!I14:K14)),2),ROUNDUP((IF((M14*2+I$5)/3&lt;1, 0, ROUNDUP((M14*2+I$5)/3,2))*3+SUM(AP!I14:K14))/(3+COUNT(AP!I14:K14)),2))))</f>
        <v/>
      </c>
      <c r="J14" s="197" t="str">
        <f>IF(AP!$G14="","",IF(OR(COUNT(J14:L14)=0,P14=""),"",IF(diNo!O10="BOS", ROUNDUP((IF((N14*2+J$5)/3&lt;1, 0, ROUNDUP((N14*2+J$5)/3,2))*2+SUM(AP!J14:L14))/(2+COUNT(AP!J14:L14)),2),ROUNDUP((IF((N14*2+J$5)/3&lt;1, 0, ROUNDUP((N14*2+J$5)/3,2))*3+SUM(AP!J14:L14))/(3+COUNT(AP!J14:L14)),2))))</f>
        <v/>
      </c>
      <c r="K14" s="197" t="str">
        <f>IF(AP!$G14="","",IF(OR(COUNT(K14:M14)=0,Q14=""),"",IF(diNo!P10="BOS", ROUNDUP((IF((O14*2+K$5)/3&lt;1, 0, ROUNDUP((O14*2+K$5)/3,2))*2+SUM(AP!K14:M14))/(2+COUNT(AP!K14:M14)),2),ROUNDUP((IF((O14*2+K$5)/3&lt;1, 0, ROUNDUP((O14*2+K$5)/3,2))*3+SUM(AP!K14:M14))/(3+COUNT(AP!K14:M14)),2))))</f>
        <v/>
      </c>
      <c r="L14" s="512" t="str">
        <f>IF(AP!$G14="","",IF(OR(COUNT(L14:N14)=0,R14=""),"",IF(diNo!Q10="BOS", ROUNDUP((IF((P14*2+L$5)/3&lt;1, 0, ROUNDUP((P14*2+L$5)/3,2))*2+SUM(AP!L14:N14))/(2+COUNT(AP!L14:N14)),2),ROUNDUP((IF((P14*2+L$5)/3&lt;1, 0, ROUNDUP((P14*2+L$5)/3,2))*3+SUM(AP!L14:N14))/(3+COUNT(AP!L14:N14)),2))))</f>
        <v/>
      </c>
      <c r="M14" s="512" t="str">
        <f>IF(AP!$G14="","",IF(OR(COUNT(M14:O14)=0,S14=""),"",IF(diNo!R10="BOS", ROUNDUP((IF((Q14*2+M$5)/3&lt;1, 0, ROUNDUP((Q14*2+M$5)/3,2))*2+SUM(AP!M14:O14))/(2+COUNT(AP!M14:O14)),2),ROUNDUP((IF((Q14*2+M$5)/3&lt;1, 0, ROUNDUP((Q14*2+M$5)/3,2))*3+SUM(AP!M14:O14))/(3+COUNT(AP!M14:O14)),2))))</f>
        <v/>
      </c>
      <c r="N14" s="512" t="str">
        <f>IF(AP!$G14="","",IF(OR(COUNT(N14:P14)=0,T14=""),"",IF(diNo!S10="BOS", ROUNDUP((IF((R14*2+N$5)/3&lt;1, 0, ROUNDUP((R14*2+N$5)/3,2))*2+SUM(AP!N14:P14))/(2+COUNT(AP!N14:P14)),2),ROUNDUP((IF((R14*2+N$5)/3&lt;1, 0, ROUNDUP((R14*2+N$5)/3,2))*3+SUM(AP!N14:P14))/(3+COUNT(AP!N14:P14)),2))))</f>
        <v/>
      </c>
      <c r="O14" s="513" t="str">
        <f>IF(AP!$G14="","",IF(OR(COUNT(O14:Q14)=0,U14=""),"",IF(diNo!T10="BOS", ROUNDUP((IF((S14*2+O$5)/3&lt;1, 0, ROUNDUP((S14*2+O$5)/3,2))*2+SUM(AP!O14:Q14))/(2+COUNT(AP!O14:Q14)),2),ROUNDUP((IF((S14*2+O$5)/3&lt;1, 0, ROUNDUP((S14*2+O$5)/3,2))*3+SUM(AP!O14:Q14))/(3+COUNT(AP!O14:Q14)),2))))</f>
        <v/>
      </c>
      <c r="P14" s="513" t="str">
        <f>IF(AP!$G14="","",IF(OR(COUNT(P14:R14)=0,V14=""),"",IF(diNo!U10="BOS", ROUNDUP((IF((T14*2+P$5)/3&lt;1, 0, ROUNDUP((T14*2+P$5)/3,2))*2+SUM(AP!P14:R14))/(2+COUNT(AP!P14:R14)),2),ROUNDUP((IF((T14*2+P$5)/3&lt;1, 0, ROUNDUP((T14*2+P$5)/3,2))*3+SUM(AP!P14:R14))/(3+COUNT(AP!P14:R14)),2))))</f>
        <v/>
      </c>
      <c r="Q14" s="513" t="str">
        <f>IF(AP!$G14="","",IF(OR(COUNT(Q14:S14)=0,W14=""),"",IF(diNo!V10="BOS", ROUNDUP((IF((U14*2+Q$5)/3&lt;1, 0, ROUNDUP((U14*2+Q$5)/3,2))*2+SUM(AP!Q14:S14))/(2+COUNT(AP!Q14:S14)),2),ROUNDUP((IF((U14*2+Q$5)/3&lt;1, 0, ROUNDUP((U14*2+Q$5)/3,2))*3+SUM(AP!Q14:S14))/(3+COUNT(AP!Q14:S14)),2))))</f>
        <v/>
      </c>
      <c r="R14" s="512" t="str">
        <f>IF(AP!$G14="","",IF(OR(COUNT(R14:T14)=0,X14=""),"",IF(diNo!W10="BOS", ROUNDUP((IF((V14*2+R$5)/3&lt;1, 0, ROUNDUP((V14*2+R$5)/3,2))*2+SUM(AP!R14:T14))/(2+COUNT(AP!R14:T14)),2),ROUNDUP((IF((V14*2+R$5)/3&lt;1, 0, ROUNDUP((V14*2+R$5)/3,2))*3+SUM(AP!R14:T14))/(3+COUNT(AP!R14:T14)),2))))</f>
        <v/>
      </c>
    </row>
    <row r="15" spans="1:18" x14ac:dyDescent="0.2">
      <c r="A15" s="2" t="str">
        <f>IF(+AP!B15="","",AP!B15)</f>
        <v/>
      </c>
      <c r="B15" s="196" t="str">
        <f>IF(AP!G15="","",IF(ROUNDUP((AP!G15+AP!E15)/2,2)&lt;1,0,ROUNDUP((AP!G15+AP!E15)/2,2)))</f>
        <v/>
      </c>
      <c r="C15" s="197" t="str">
        <f>IF(AP!$G15="","",IF(OR(COUNT(C15:E15)=0,I15=""),"",IF(diNo!H11="BOS", ROUNDUP((IF((G15*2+C$5)/3&lt;1, 0, ROUNDUP((G15*2+C$5)/3,2))*2+SUM(AP!C15:E15))/(2+COUNT(AP!C15:E15)),2),ROUNDUP((IF((G15*2+C$5)/3&lt;1, 0, ROUNDUP((G15*2+C$5)/3,2))*3+SUM(AP!C15:E15))/(3+COUNT(AP!C15:E15)),2))))</f>
        <v/>
      </c>
      <c r="D15" s="197" t="str">
        <f>IF(AP!$G15="","",IF(OR(COUNT(D15:F15)=0,J15=""),"",IF(diNo!I11="BOS", ROUNDUP((IF((H15*2+D$5)/3&lt;1, 0, ROUNDUP((H15*2+D$5)/3,2))*2+SUM(AP!D15:F15))/(2+COUNT(AP!D15:F15)),2),ROUNDUP((IF((H15*2+D$5)/3&lt;1, 0, ROUNDUP((H15*2+D$5)/3,2))*3+SUM(AP!D15:F15))/(3+COUNT(AP!D15:F15)),2))))</f>
        <v/>
      </c>
      <c r="E15" s="197" t="str">
        <f>IF(AP!$G15="","",IF(OR(COUNT(E15:G15)=0,K15=""),"",IF(diNo!J11="BOS", ROUNDUP((IF((I15*2+E$5)/3&lt;1, 0, ROUNDUP((I15*2+E$5)/3,2))*2+SUM(AP!E15:G15))/(2+COUNT(AP!E15:G15)),2),ROUNDUP((IF((I15*2+E$5)/3&lt;1, 0, ROUNDUP((I15*2+E$5)/3,2))*3+SUM(AP!E15:G15))/(3+COUNT(AP!E15:G15)),2))))</f>
        <v/>
      </c>
      <c r="F15" s="512" t="str">
        <f>IF(AP!$G15="","",IF(OR(COUNT(F15:H15)=0,L15=""),"",IF(diNo!K11="BOS", ROUNDUP((IF((J15*2+F$5)/3&lt;1, 0, ROUNDUP((J15*2+F$5)/3,2))*2+SUM(AP!F15:H15))/(2+COUNT(AP!F15:H15)),2),ROUNDUP((IF((J15*2+F$5)/3&lt;1, 0, ROUNDUP((J15*2+F$5)/3,2))*3+SUM(AP!F15:H15))/(3+COUNT(AP!F15:H15)),2))))</f>
        <v/>
      </c>
      <c r="G15" s="512" t="str">
        <f>IF(AP!$G15="","",IF(OR(COUNT(G15:I15)=0,M15=""),"",IF(diNo!L11="BOS", ROUNDUP((IF((K15*2+G$5)/3&lt;1, 0, ROUNDUP((K15*2+G$5)/3,2))*2+SUM(AP!G15:I15))/(2+COUNT(AP!G15:I15)),2),ROUNDUP((IF((K15*2+G$5)/3&lt;1, 0, ROUNDUP((K15*2+G$5)/3,2))*3+SUM(AP!G15:I15))/(3+COUNT(AP!G15:I15)),2))))</f>
        <v/>
      </c>
      <c r="H15" s="512" t="str">
        <f>IF(AP!$G15="","",IF(OR(COUNT(H15:J15)=0,N15=""),"",IF(diNo!M11="BOS", ROUNDUP((IF((L15*2+H$5)/3&lt;1, 0, ROUNDUP((L15*2+H$5)/3,2))*2+SUM(AP!H15:J15))/(2+COUNT(AP!H15:J15)),2),ROUNDUP((IF((L15*2+H$5)/3&lt;1, 0, ROUNDUP((L15*2+H$5)/3,2))*3+SUM(AP!H15:J15))/(3+COUNT(AP!H15:J15)),2))))</f>
        <v/>
      </c>
      <c r="I15" s="197" t="str">
        <f>IF(AP!$G15="","",IF(OR(COUNT(I15:K15)=0,O15=""),"",IF(diNo!N11="BOS", ROUNDUP((IF((M15*2+I$5)/3&lt;1, 0, ROUNDUP((M15*2+I$5)/3,2))*2+SUM(AP!I15:K15))/(2+COUNT(AP!I15:K15)),2),ROUNDUP((IF((M15*2+I$5)/3&lt;1, 0, ROUNDUP((M15*2+I$5)/3,2))*3+SUM(AP!I15:K15))/(3+COUNT(AP!I15:K15)),2))))</f>
        <v/>
      </c>
      <c r="J15" s="197" t="str">
        <f>IF(AP!$G15="","",IF(OR(COUNT(J15:L15)=0,P15=""),"",IF(diNo!O11="BOS", ROUNDUP((IF((N15*2+J$5)/3&lt;1, 0, ROUNDUP((N15*2+J$5)/3,2))*2+SUM(AP!J15:L15))/(2+COUNT(AP!J15:L15)),2),ROUNDUP((IF((N15*2+J$5)/3&lt;1, 0, ROUNDUP((N15*2+J$5)/3,2))*3+SUM(AP!J15:L15))/(3+COUNT(AP!J15:L15)),2))))</f>
        <v/>
      </c>
      <c r="K15" s="197" t="str">
        <f>IF(AP!$G15="","",IF(OR(COUNT(K15:M15)=0,Q15=""),"",IF(diNo!P11="BOS", ROUNDUP((IF((O15*2+K$5)/3&lt;1, 0, ROUNDUP((O15*2+K$5)/3,2))*2+SUM(AP!K15:M15))/(2+COUNT(AP!K15:M15)),2),ROUNDUP((IF((O15*2+K$5)/3&lt;1, 0, ROUNDUP((O15*2+K$5)/3,2))*3+SUM(AP!K15:M15))/(3+COUNT(AP!K15:M15)),2))))</f>
        <v/>
      </c>
      <c r="L15" s="512" t="str">
        <f>IF(AP!$G15="","",IF(OR(COUNT(L15:N15)=0,R15=""),"",IF(diNo!Q11="BOS", ROUNDUP((IF((P15*2+L$5)/3&lt;1, 0, ROUNDUP((P15*2+L$5)/3,2))*2+SUM(AP!L15:N15))/(2+COUNT(AP!L15:N15)),2),ROUNDUP((IF((P15*2+L$5)/3&lt;1, 0, ROUNDUP((P15*2+L$5)/3,2))*3+SUM(AP!L15:N15))/(3+COUNT(AP!L15:N15)),2))))</f>
        <v/>
      </c>
      <c r="M15" s="512" t="str">
        <f>IF(AP!$G15="","",IF(OR(COUNT(M15:O15)=0,S15=""),"",IF(diNo!R11="BOS", ROUNDUP((IF((Q15*2+M$5)/3&lt;1, 0, ROUNDUP((Q15*2+M$5)/3,2))*2+SUM(AP!M15:O15))/(2+COUNT(AP!M15:O15)),2),ROUNDUP((IF((Q15*2+M$5)/3&lt;1, 0, ROUNDUP((Q15*2+M$5)/3,2))*3+SUM(AP!M15:O15))/(3+COUNT(AP!M15:O15)),2))))</f>
        <v/>
      </c>
      <c r="N15" s="512" t="str">
        <f>IF(AP!$G15="","",IF(OR(COUNT(N15:P15)=0,T15=""),"",IF(diNo!S11="BOS", ROUNDUP((IF((R15*2+N$5)/3&lt;1, 0, ROUNDUP((R15*2+N$5)/3,2))*2+SUM(AP!N15:P15))/(2+COUNT(AP!N15:P15)),2),ROUNDUP((IF((R15*2+N$5)/3&lt;1, 0, ROUNDUP((R15*2+N$5)/3,2))*3+SUM(AP!N15:P15))/(3+COUNT(AP!N15:P15)),2))))</f>
        <v/>
      </c>
      <c r="O15" s="513" t="str">
        <f>IF(AP!$G15="","",IF(OR(COUNT(O15:Q15)=0,U15=""),"",IF(diNo!T11="BOS", ROUNDUP((IF((S15*2+O$5)/3&lt;1, 0, ROUNDUP((S15*2+O$5)/3,2))*2+SUM(AP!O15:Q15))/(2+COUNT(AP!O15:Q15)),2),ROUNDUP((IF((S15*2+O$5)/3&lt;1, 0, ROUNDUP((S15*2+O$5)/3,2))*3+SUM(AP!O15:Q15))/(3+COUNT(AP!O15:Q15)),2))))</f>
        <v/>
      </c>
      <c r="P15" s="513" t="str">
        <f>IF(AP!$G15="","",IF(OR(COUNT(P15:R15)=0,V15=""),"",IF(diNo!U11="BOS", ROUNDUP((IF((T15*2+P$5)/3&lt;1, 0, ROUNDUP((T15*2+P$5)/3,2))*2+SUM(AP!P15:R15))/(2+COUNT(AP!P15:R15)),2),ROUNDUP((IF((T15*2+P$5)/3&lt;1, 0, ROUNDUP((T15*2+P$5)/3,2))*3+SUM(AP!P15:R15))/(3+COUNT(AP!P15:R15)),2))))</f>
        <v/>
      </c>
      <c r="Q15" s="513" t="str">
        <f>IF(AP!$G15="","",IF(OR(COUNT(Q15:S15)=0,W15=""),"",IF(diNo!V11="BOS", ROUNDUP((IF((U15*2+Q$5)/3&lt;1, 0, ROUNDUP((U15*2+Q$5)/3,2))*2+SUM(AP!Q15:S15))/(2+COUNT(AP!Q15:S15)),2),ROUNDUP((IF((U15*2+Q$5)/3&lt;1, 0, ROUNDUP((U15*2+Q$5)/3,2))*3+SUM(AP!Q15:S15))/(3+COUNT(AP!Q15:S15)),2))))</f>
        <v/>
      </c>
      <c r="R15" s="512" t="str">
        <f>IF(AP!$G15="","",IF(OR(COUNT(R15:T15)=0,X15=""),"",IF(diNo!W11="BOS", ROUNDUP((IF((V15*2+R$5)/3&lt;1, 0, ROUNDUP((V15*2+R$5)/3,2))*2+SUM(AP!R15:T15))/(2+COUNT(AP!R15:T15)),2),ROUNDUP((IF((V15*2+R$5)/3&lt;1, 0, ROUNDUP((V15*2+R$5)/3,2))*3+SUM(AP!R15:T15))/(3+COUNT(AP!R15:T15)),2))))</f>
        <v/>
      </c>
    </row>
    <row r="16" spans="1:18" x14ac:dyDescent="0.2">
      <c r="A16" s="2" t="str">
        <f>IF(+AP!B16="","",AP!B16)</f>
        <v/>
      </c>
      <c r="B16" s="196" t="str">
        <f>IF(AP!G16="","",IF(ROUNDUP((AP!G16+AP!E16)/2,2)&lt;1,0,ROUNDUP((AP!G16+AP!E16)/2,2)))</f>
        <v/>
      </c>
      <c r="C16" s="197" t="str">
        <f>IF(AP!$G16="","",IF(OR(COUNT(C16:E16)=0,I16=""),"",IF(diNo!H12="BOS", ROUNDUP((IF((G16*2+C$5)/3&lt;1, 0, ROUNDUP((G16*2+C$5)/3,2))*2+SUM(AP!C16:E16))/(2+COUNT(AP!C16:E16)),2),ROUNDUP((IF((G16*2+C$5)/3&lt;1, 0, ROUNDUP((G16*2+C$5)/3,2))*3+SUM(AP!C16:E16))/(3+COUNT(AP!C16:E16)),2))))</f>
        <v/>
      </c>
      <c r="D16" s="197" t="str">
        <f>IF(AP!$G16="","",IF(OR(COUNT(D16:F16)=0,J16=""),"",IF(diNo!I12="BOS", ROUNDUP((IF((H16*2+D$5)/3&lt;1, 0, ROUNDUP((H16*2+D$5)/3,2))*2+SUM(AP!D16:F16))/(2+COUNT(AP!D16:F16)),2),ROUNDUP((IF((H16*2+D$5)/3&lt;1, 0, ROUNDUP((H16*2+D$5)/3,2))*3+SUM(AP!D16:F16))/(3+COUNT(AP!D16:F16)),2))))</f>
        <v/>
      </c>
      <c r="E16" s="197" t="str">
        <f>IF(AP!$G16="","",IF(OR(COUNT(E16:G16)=0,K16=""),"",IF(diNo!J12="BOS", ROUNDUP((IF((I16*2+E$5)/3&lt;1, 0, ROUNDUP((I16*2+E$5)/3,2))*2+SUM(AP!E16:G16))/(2+COUNT(AP!E16:G16)),2),ROUNDUP((IF((I16*2+E$5)/3&lt;1, 0, ROUNDUP((I16*2+E$5)/3,2))*3+SUM(AP!E16:G16))/(3+COUNT(AP!E16:G16)),2))))</f>
        <v/>
      </c>
      <c r="F16" s="512" t="str">
        <f>IF(AP!$G16="","",IF(OR(COUNT(F16:H16)=0,L16=""),"",IF(diNo!K12="BOS", ROUNDUP((IF((J16*2+F$5)/3&lt;1, 0, ROUNDUP((J16*2+F$5)/3,2))*2+SUM(AP!F16:H16))/(2+COUNT(AP!F16:H16)),2),ROUNDUP((IF((J16*2+F$5)/3&lt;1, 0, ROUNDUP((J16*2+F$5)/3,2))*3+SUM(AP!F16:H16))/(3+COUNT(AP!F16:H16)),2))))</f>
        <v/>
      </c>
      <c r="G16" s="512" t="str">
        <f>IF(AP!$G16="","",IF(OR(COUNT(G16:I16)=0,M16=""),"",IF(diNo!L12="BOS", ROUNDUP((IF((K16*2+G$5)/3&lt;1, 0, ROUNDUP((K16*2+G$5)/3,2))*2+SUM(AP!G16:I16))/(2+COUNT(AP!G16:I16)),2),ROUNDUP((IF((K16*2+G$5)/3&lt;1, 0, ROUNDUP((K16*2+G$5)/3,2))*3+SUM(AP!G16:I16))/(3+COUNT(AP!G16:I16)),2))))</f>
        <v/>
      </c>
      <c r="H16" s="512" t="str">
        <f>IF(AP!$G16="","",IF(OR(COUNT(H16:J16)=0,N16=""),"",IF(diNo!M12="BOS", ROUNDUP((IF((L16*2+H$5)/3&lt;1, 0, ROUNDUP((L16*2+H$5)/3,2))*2+SUM(AP!H16:J16))/(2+COUNT(AP!H16:J16)),2),ROUNDUP((IF((L16*2+H$5)/3&lt;1, 0, ROUNDUP((L16*2+H$5)/3,2))*3+SUM(AP!H16:J16))/(3+COUNT(AP!H16:J16)),2))))</f>
        <v/>
      </c>
      <c r="I16" s="197" t="str">
        <f>IF(AP!$G16="","",IF(OR(COUNT(I16:K16)=0,O16=""),"",IF(diNo!N12="BOS", ROUNDUP((IF((M16*2+I$5)/3&lt;1, 0, ROUNDUP((M16*2+I$5)/3,2))*2+SUM(AP!I16:K16))/(2+COUNT(AP!I16:K16)),2),ROUNDUP((IF((M16*2+I$5)/3&lt;1, 0, ROUNDUP((M16*2+I$5)/3,2))*3+SUM(AP!I16:K16))/(3+COUNT(AP!I16:K16)),2))))</f>
        <v/>
      </c>
      <c r="J16" s="197" t="str">
        <f>IF(AP!$G16="","",IF(OR(COUNT(J16:L16)=0,P16=""),"",IF(diNo!O12="BOS", ROUNDUP((IF((N16*2+J$5)/3&lt;1, 0, ROUNDUP((N16*2+J$5)/3,2))*2+SUM(AP!J16:L16))/(2+COUNT(AP!J16:L16)),2),ROUNDUP((IF((N16*2+J$5)/3&lt;1, 0, ROUNDUP((N16*2+J$5)/3,2))*3+SUM(AP!J16:L16))/(3+COUNT(AP!J16:L16)),2))))</f>
        <v/>
      </c>
      <c r="K16" s="197" t="str">
        <f>IF(AP!$G16="","",IF(OR(COUNT(K16:M16)=0,Q16=""),"",IF(diNo!P12="BOS", ROUNDUP((IF((O16*2+K$5)/3&lt;1, 0, ROUNDUP((O16*2+K$5)/3,2))*2+SUM(AP!K16:M16))/(2+COUNT(AP!K16:M16)),2),ROUNDUP((IF((O16*2+K$5)/3&lt;1, 0, ROUNDUP((O16*2+K$5)/3,2))*3+SUM(AP!K16:M16))/(3+COUNT(AP!K16:M16)),2))))</f>
        <v/>
      </c>
      <c r="L16" s="512" t="str">
        <f>IF(AP!$G16="","",IF(OR(COUNT(L16:N16)=0,R16=""),"",IF(diNo!Q12="BOS", ROUNDUP((IF((P16*2+L$5)/3&lt;1, 0, ROUNDUP((P16*2+L$5)/3,2))*2+SUM(AP!L16:N16))/(2+COUNT(AP!L16:N16)),2),ROUNDUP((IF((P16*2+L$5)/3&lt;1, 0, ROUNDUP((P16*2+L$5)/3,2))*3+SUM(AP!L16:N16))/(3+COUNT(AP!L16:N16)),2))))</f>
        <v/>
      </c>
      <c r="M16" s="512" t="str">
        <f>IF(AP!$G16="","",IF(OR(COUNT(M16:O16)=0,S16=""),"",IF(diNo!R12="BOS", ROUNDUP((IF((Q16*2+M$5)/3&lt;1, 0, ROUNDUP((Q16*2+M$5)/3,2))*2+SUM(AP!M16:O16))/(2+COUNT(AP!M16:O16)),2),ROUNDUP((IF((Q16*2+M$5)/3&lt;1, 0, ROUNDUP((Q16*2+M$5)/3,2))*3+SUM(AP!M16:O16))/(3+COUNT(AP!M16:O16)),2))))</f>
        <v/>
      </c>
      <c r="N16" s="512" t="str">
        <f>IF(AP!$G16="","",IF(OR(COUNT(N16:P16)=0,T16=""),"",IF(diNo!S12="BOS", ROUNDUP((IF((R16*2+N$5)/3&lt;1, 0, ROUNDUP((R16*2+N$5)/3,2))*2+SUM(AP!N16:P16))/(2+COUNT(AP!N16:P16)),2),ROUNDUP((IF((R16*2+N$5)/3&lt;1, 0, ROUNDUP((R16*2+N$5)/3,2))*3+SUM(AP!N16:P16))/(3+COUNT(AP!N16:P16)),2))))</f>
        <v/>
      </c>
      <c r="O16" s="513" t="str">
        <f>IF(AP!$G16="","",IF(OR(COUNT(O16:Q16)=0,U16=""),"",IF(diNo!T12="BOS", ROUNDUP((IF((S16*2+O$5)/3&lt;1, 0, ROUNDUP((S16*2+O$5)/3,2))*2+SUM(AP!O16:Q16))/(2+COUNT(AP!O16:Q16)),2),ROUNDUP((IF((S16*2+O$5)/3&lt;1, 0, ROUNDUP((S16*2+O$5)/3,2))*3+SUM(AP!O16:Q16))/(3+COUNT(AP!O16:Q16)),2))))</f>
        <v/>
      </c>
      <c r="P16" s="513" t="str">
        <f>IF(AP!$G16="","",IF(OR(COUNT(P16:R16)=0,V16=""),"",IF(diNo!U12="BOS", ROUNDUP((IF((T16*2+P$5)/3&lt;1, 0, ROUNDUP((T16*2+P$5)/3,2))*2+SUM(AP!P16:R16))/(2+COUNT(AP!P16:R16)),2),ROUNDUP((IF((T16*2+P$5)/3&lt;1, 0, ROUNDUP((T16*2+P$5)/3,2))*3+SUM(AP!P16:R16))/(3+COUNT(AP!P16:R16)),2))))</f>
        <v/>
      </c>
      <c r="Q16" s="513" t="str">
        <f>IF(AP!$G16="","",IF(OR(COUNT(Q16:S16)=0,W16=""),"",IF(diNo!V12="BOS", ROUNDUP((IF((U16*2+Q$5)/3&lt;1, 0, ROUNDUP((U16*2+Q$5)/3,2))*2+SUM(AP!Q16:S16))/(2+COUNT(AP!Q16:S16)),2),ROUNDUP((IF((U16*2+Q$5)/3&lt;1, 0, ROUNDUP((U16*2+Q$5)/3,2))*3+SUM(AP!Q16:S16))/(3+COUNT(AP!Q16:S16)),2))))</f>
        <v/>
      </c>
      <c r="R16" s="512" t="str">
        <f>IF(AP!$G16="","",IF(OR(COUNT(R16:T16)=0,X16=""),"",IF(diNo!W12="BOS", ROUNDUP((IF((V16*2+R$5)/3&lt;1, 0, ROUNDUP((V16*2+R$5)/3,2))*2+SUM(AP!R16:T16))/(2+COUNT(AP!R16:T16)),2),ROUNDUP((IF((V16*2+R$5)/3&lt;1, 0, ROUNDUP((V16*2+R$5)/3,2))*3+SUM(AP!R16:T16))/(3+COUNT(AP!R16:T16)),2))))</f>
        <v/>
      </c>
    </row>
    <row r="17" spans="1:18" x14ac:dyDescent="0.2">
      <c r="A17" s="2" t="str">
        <f>IF(+AP!B17="","",AP!B17)</f>
        <v/>
      </c>
      <c r="B17" s="196" t="str">
        <f>IF(AP!G17="","",IF(ROUNDUP((AP!G17+AP!E17)/2,2)&lt;1,0,ROUNDUP((AP!G17+AP!E17)/2,2)))</f>
        <v/>
      </c>
      <c r="C17" s="197" t="str">
        <f>IF(AP!$G17="","",IF(OR(COUNT(C17:E17)=0,I17=""),"",IF(diNo!H13="BOS", ROUNDUP((IF((G17*2+C$5)/3&lt;1, 0, ROUNDUP((G17*2+C$5)/3,2))*2+SUM(AP!C17:E17))/(2+COUNT(AP!C17:E17)),2),ROUNDUP((IF((G17*2+C$5)/3&lt;1, 0, ROUNDUP((G17*2+C$5)/3,2))*3+SUM(AP!C17:E17))/(3+COUNT(AP!C17:E17)),2))))</f>
        <v/>
      </c>
      <c r="D17" s="197" t="str">
        <f>IF(AP!$G17="","",IF(OR(COUNT(D17:F17)=0,J17=""),"",IF(diNo!I13="BOS", ROUNDUP((IF((H17*2+D$5)/3&lt;1, 0, ROUNDUP((H17*2+D$5)/3,2))*2+SUM(AP!D17:F17))/(2+COUNT(AP!D17:F17)),2),ROUNDUP((IF((H17*2+D$5)/3&lt;1, 0, ROUNDUP((H17*2+D$5)/3,2))*3+SUM(AP!D17:F17))/(3+COUNT(AP!D17:F17)),2))))</f>
        <v/>
      </c>
      <c r="E17" s="197" t="str">
        <f>IF(AP!$G17="","",IF(OR(COUNT(E17:G17)=0,K17=""),"",IF(diNo!J13="BOS", ROUNDUP((IF((I17*2+E$5)/3&lt;1, 0, ROUNDUP((I17*2+E$5)/3,2))*2+SUM(AP!E17:G17))/(2+COUNT(AP!E17:G17)),2),ROUNDUP((IF((I17*2+E$5)/3&lt;1, 0, ROUNDUP((I17*2+E$5)/3,2))*3+SUM(AP!E17:G17))/(3+COUNT(AP!E17:G17)),2))))</f>
        <v/>
      </c>
      <c r="F17" s="512" t="str">
        <f>IF(AP!$G17="","",IF(OR(COUNT(F17:H17)=0,L17=""),"",IF(diNo!K13="BOS", ROUNDUP((IF((J17*2+F$5)/3&lt;1, 0, ROUNDUP((J17*2+F$5)/3,2))*2+SUM(AP!F17:H17))/(2+COUNT(AP!F17:H17)),2),ROUNDUP((IF((J17*2+F$5)/3&lt;1, 0, ROUNDUP((J17*2+F$5)/3,2))*3+SUM(AP!F17:H17))/(3+COUNT(AP!F17:H17)),2))))</f>
        <v/>
      </c>
      <c r="G17" s="512" t="str">
        <f>IF(AP!$G17="","",IF(OR(COUNT(G17:I17)=0,M17=""),"",IF(diNo!L13="BOS", ROUNDUP((IF((K17*2+G$5)/3&lt;1, 0, ROUNDUP((K17*2+G$5)/3,2))*2+SUM(AP!G17:I17))/(2+COUNT(AP!G17:I17)),2),ROUNDUP((IF((K17*2+G$5)/3&lt;1, 0, ROUNDUP((K17*2+G$5)/3,2))*3+SUM(AP!G17:I17))/(3+COUNT(AP!G17:I17)),2))))</f>
        <v/>
      </c>
      <c r="H17" s="512" t="str">
        <f>IF(AP!$G17="","",IF(OR(COUNT(H17:J17)=0,N17=""),"",IF(diNo!M13="BOS", ROUNDUP((IF((L17*2+H$5)/3&lt;1, 0, ROUNDUP((L17*2+H$5)/3,2))*2+SUM(AP!H17:J17))/(2+COUNT(AP!H17:J17)),2),ROUNDUP((IF((L17*2+H$5)/3&lt;1, 0, ROUNDUP((L17*2+H$5)/3,2))*3+SUM(AP!H17:J17))/(3+COUNT(AP!H17:J17)),2))))</f>
        <v/>
      </c>
      <c r="I17" s="197" t="str">
        <f>IF(AP!$G17="","",IF(OR(COUNT(I17:K17)=0,O17=""),"",IF(diNo!N13="BOS", ROUNDUP((IF((M17*2+I$5)/3&lt;1, 0, ROUNDUP((M17*2+I$5)/3,2))*2+SUM(AP!I17:K17))/(2+COUNT(AP!I17:K17)),2),ROUNDUP((IF((M17*2+I$5)/3&lt;1, 0, ROUNDUP((M17*2+I$5)/3,2))*3+SUM(AP!I17:K17))/(3+COUNT(AP!I17:K17)),2))))</f>
        <v/>
      </c>
      <c r="J17" s="197" t="str">
        <f>IF(AP!$G17="","",IF(OR(COUNT(J17:L17)=0,P17=""),"",IF(diNo!O13="BOS", ROUNDUP((IF((N17*2+J$5)/3&lt;1, 0, ROUNDUP((N17*2+J$5)/3,2))*2+SUM(AP!J17:L17))/(2+COUNT(AP!J17:L17)),2),ROUNDUP((IF((N17*2+J$5)/3&lt;1, 0, ROUNDUP((N17*2+J$5)/3,2))*3+SUM(AP!J17:L17))/(3+COUNT(AP!J17:L17)),2))))</f>
        <v/>
      </c>
      <c r="K17" s="197" t="str">
        <f>IF(AP!$G17="","",IF(OR(COUNT(K17:M17)=0,Q17=""),"",IF(diNo!P13="BOS", ROUNDUP((IF((O17*2+K$5)/3&lt;1, 0, ROUNDUP((O17*2+K$5)/3,2))*2+SUM(AP!K17:M17))/(2+COUNT(AP!K17:M17)),2),ROUNDUP((IF((O17*2+K$5)/3&lt;1, 0, ROUNDUP((O17*2+K$5)/3,2))*3+SUM(AP!K17:M17))/(3+COUNT(AP!K17:M17)),2))))</f>
        <v/>
      </c>
      <c r="L17" s="512" t="str">
        <f>IF(AP!$G17="","",IF(OR(COUNT(L17:N17)=0,R17=""),"",IF(diNo!Q13="BOS", ROUNDUP((IF((P17*2+L$5)/3&lt;1, 0, ROUNDUP((P17*2+L$5)/3,2))*2+SUM(AP!L17:N17))/(2+COUNT(AP!L17:N17)),2),ROUNDUP((IF((P17*2+L$5)/3&lt;1, 0, ROUNDUP((P17*2+L$5)/3,2))*3+SUM(AP!L17:N17))/(3+COUNT(AP!L17:N17)),2))))</f>
        <v/>
      </c>
      <c r="M17" s="512" t="str">
        <f>IF(AP!$G17="","",IF(OR(COUNT(M17:O17)=0,S17=""),"",IF(diNo!R13="BOS", ROUNDUP((IF((Q17*2+M$5)/3&lt;1, 0, ROUNDUP((Q17*2+M$5)/3,2))*2+SUM(AP!M17:O17))/(2+COUNT(AP!M17:O17)),2),ROUNDUP((IF((Q17*2+M$5)/3&lt;1, 0, ROUNDUP((Q17*2+M$5)/3,2))*3+SUM(AP!M17:O17))/(3+COUNT(AP!M17:O17)),2))))</f>
        <v/>
      </c>
      <c r="N17" s="512" t="str">
        <f>IF(AP!$G17="","",IF(OR(COUNT(N17:P17)=0,T17=""),"",IF(diNo!S13="BOS", ROUNDUP((IF((R17*2+N$5)/3&lt;1, 0, ROUNDUP((R17*2+N$5)/3,2))*2+SUM(AP!N17:P17))/(2+COUNT(AP!N17:P17)),2),ROUNDUP((IF((R17*2+N$5)/3&lt;1, 0, ROUNDUP((R17*2+N$5)/3,2))*3+SUM(AP!N17:P17))/(3+COUNT(AP!N17:P17)),2))))</f>
        <v/>
      </c>
      <c r="O17" s="513" t="str">
        <f>IF(AP!$G17="","",IF(OR(COUNT(O17:Q17)=0,U17=""),"",IF(diNo!T13="BOS", ROUNDUP((IF((S17*2+O$5)/3&lt;1, 0, ROUNDUP((S17*2+O$5)/3,2))*2+SUM(AP!O17:Q17))/(2+COUNT(AP!O17:Q17)),2),ROUNDUP((IF((S17*2+O$5)/3&lt;1, 0, ROUNDUP((S17*2+O$5)/3,2))*3+SUM(AP!O17:Q17))/(3+COUNT(AP!O17:Q17)),2))))</f>
        <v/>
      </c>
      <c r="P17" s="513" t="str">
        <f>IF(AP!$G17="","",IF(OR(COUNT(P17:R17)=0,V17=""),"",IF(diNo!U13="BOS", ROUNDUP((IF((T17*2+P$5)/3&lt;1, 0, ROUNDUP((T17*2+P$5)/3,2))*2+SUM(AP!P17:R17))/(2+COUNT(AP!P17:R17)),2),ROUNDUP((IF((T17*2+P$5)/3&lt;1, 0, ROUNDUP((T17*2+P$5)/3,2))*3+SUM(AP!P17:R17))/(3+COUNT(AP!P17:R17)),2))))</f>
        <v/>
      </c>
      <c r="Q17" s="513" t="str">
        <f>IF(AP!$G17="","",IF(OR(COUNT(Q17:S17)=0,W17=""),"",IF(diNo!V13="BOS", ROUNDUP((IF((U17*2+Q$5)/3&lt;1, 0, ROUNDUP((U17*2+Q$5)/3,2))*2+SUM(AP!Q17:S17))/(2+COUNT(AP!Q17:S17)),2),ROUNDUP((IF((U17*2+Q$5)/3&lt;1, 0, ROUNDUP((U17*2+Q$5)/3,2))*3+SUM(AP!Q17:S17))/(3+COUNT(AP!Q17:S17)),2))))</f>
        <v/>
      </c>
      <c r="R17" s="512" t="str">
        <f>IF(AP!$G17="","",IF(OR(COUNT(R17:T17)=0,X17=""),"",IF(diNo!W13="BOS", ROUNDUP((IF((V17*2+R$5)/3&lt;1, 0, ROUNDUP((V17*2+R$5)/3,2))*2+SUM(AP!R17:T17))/(2+COUNT(AP!R17:T17)),2),ROUNDUP((IF((V17*2+R$5)/3&lt;1, 0, ROUNDUP((V17*2+R$5)/3,2))*3+SUM(AP!R17:T17))/(3+COUNT(AP!R17:T17)),2))))</f>
        <v/>
      </c>
    </row>
    <row r="18" spans="1:18" x14ac:dyDescent="0.2">
      <c r="A18" s="2" t="str">
        <f>IF(+AP!B18="","",AP!B18)</f>
        <v/>
      </c>
      <c r="B18" s="196" t="str">
        <f>IF(AP!G18="","",IF(ROUNDUP((AP!G18+AP!E18)/2,2)&lt;1,0,ROUNDUP((AP!G18+AP!E18)/2,2)))</f>
        <v/>
      </c>
      <c r="C18" s="197" t="str">
        <f>IF(AP!$G18="","",IF(OR(COUNT(C18:E18)=0,I18=""),"",IF(diNo!H14="BOS", ROUNDUP((IF((G18*2+C$5)/3&lt;1, 0, ROUNDUP((G18*2+C$5)/3,2))*2+SUM(AP!C18:E18))/(2+COUNT(AP!C18:E18)),2),ROUNDUP((IF((G18*2+C$5)/3&lt;1, 0, ROUNDUP((G18*2+C$5)/3,2))*3+SUM(AP!C18:E18))/(3+COUNT(AP!C18:E18)),2))))</f>
        <v/>
      </c>
      <c r="D18" s="197" t="str">
        <f>IF(AP!$G18="","",IF(OR(COUNT(D18:F18)=0,J18=""),"",IF(diNo!I14="BOS", ROUNDUP((IF((H18*2+D$5)/3&lt;1, 0, ROUNDUP((H18*2+D$5)/3,2))*2+SUM(AP!D18:F18))/(2+COUNT(AP!D18:F18)),2),ROUNDUP((IF((H18*2+D$5)/3&lt;1, 0, ROUNDUP((H18*2+D$5)/3,2))*3+SUM(AP!D18:F18))/(3+COUNT(AP!D18:F18)),2))))</f>
        <v/>
      </c>
      <c r="E18" s="197" t="str">
        <f>IF(AP!$G18="","",IF(OR(COUNT(E18:G18)=0,K18=""),"",IF(diNo!J14="BOS", ROUNDUP((IF((I18*2+E$5)/3&lt;1, 0, ROUNDUP((I18*2+E$5)/3,2))*2+SUM(AP!E18:G18))/(2+COUNT(AP!E18:G18)),2),ROUNDUP((IF((I18*2+E$5)/3&lt;1, 0, ROUNDUP((I18*2+E$5)/3,2))*3+SUM(AP!E18:G18))/(3+COUNT(AP!E18:G18)),2))))</f>
        <v/>
      </c>
      <c r="F18" s="512" t="str">
        <f>IF(AP!$G18="","",IF(OR(COUNT(F18:H18)=0,L18=""),"",IF(diNo!K14="BOS", ROUNDUP((IF((J18*2+F$5)/3&lt;1, 0, ROUNDUP((J18*2+F$5)/3,2))*2+SUM(AP!F18:H18))/(2+COUNT(AP!F18:H18)),2),ROUNDUP((IF((J18*2+F$5)/3&lt;1, 0, ROUNDUP((J18*2+F$5)/3,2))*3+SUM(AP!F18:H18))/(3+COUNT(AP!F18:H18)),2))))</f>
        <v/>
      </c>
      <c r="G18" s="512" t="str">
        <f>IF(AP!$G18="","",IF(OR(COUNT(G18:I18)=0,M18=""),"",IF(diNo!L14="BOS", ROUNDUP((IF((K18*2+G$5)/3&lt;1, 0, ROUNDUP((K18*2+G$5)/3,2))*2+SUM(AP!G18:I18))/(2+COUNT(AP!G18:I18)),2),ROUNDUP((IF((K18*2+G$5)/3&lt;1, 0, ROUNDUP((K18*2+G$5)/3,2))*3+SUM(AP!G18:I18))/(3+COUNT(AP!G18:I18)),2))))</f>
        <v/>
      </c>
      <c r="H18" s="512" t="str">
        <f>IF(AP!$G18="","",IF(OR(COUNT(H18:J18)=0,N18=""),"",IF(diNo!M14="BOS", ROUNDUP((IF((L18*2+H$5)/3&lt;1, 0, ROUNDUP((L18*2+H$5)/3,2))*2+SUM(AP!H18:J18))/(2+COUNT(AP!H18:J18)),2),ROUNDUP((IF((L18*2+H$5)/3&lt;1, 0, ROUNDUP((L18*2+H$5)/3,2))*3+SUM(AP!H18:J18))/(3+COUNT(AP!H18:J18)),2))))</f>
        <v/>
      </c>
      <c r="I18" s="197" t="str">
        <f>IF(AP!$G18="","",IF(OR(COUNT(I18:K18)=0,O18=""),"",IF(diNo!N14="BOS", ROUNDUP((IF((M18*2+I$5)/3&lt;1, 0, ROUNDUP((M18*2+I$5)/3,2))*2+SUM(AP!I18:K18))/(2+COUNT(AP!I18:K18)),2),ROUNDUP((IF((M18*2+I$5)/3&lt;1, 0, ROUNDUP((M18*2+I$5)/3,2))*3+SUM(AP!I18:K18))/(3+COUNT(AP!I18:K18)),2))))</f>
        <v/>
      </c>
      <c r="J18" s="197" t="str">
        <f>IF(AP!$G18="","",IF(OR(COUNT(J18:L18)=0,P18=""),"",IF(diNo!O14="BOS", ROUNDUP((IF((N18*2+J$5)/3&lt;1, 0, ROUNDUP((N18*2+J$5)/3,2))*2+SUM(AP!J18:L18))/(2+COUNT(AP!J18:L18)),2),ROUNDUP((IF((N18*2+J$5)/3&lt;1, 0, ROUNDUP((N18*2+J$5)/3,2))*3+SUM(AP!J18:L18))/(3+COUNT(AP!J18:L18)),2))))</f>
        <v/>
      </c>
      <c r="K18" s="197" t="str">
        <f>IF(AP!$G18="","",IF(OR(COUNT(K18:M18)=0,Q18=""),"",IF(diNo!P14="BOS", ROUNDUP((IF((O18*2+K$5)/3&lt;1, 0, ROUNDUP((O18*2+K$5)/3,2))*2+SUM(AP!K18:M18))/(2+COUNT(AP!K18:M18)),2),ROUNDUP((IF((O18*2+K$5)/3&lt;1, 0, ROUNDUP((O18*2+K$5)/3,2))*3+SUM(AP!K18:M18))/(3+COUNT(AP!K18:M18)),2))))</f>
        <v/>
      </c>
      <c r="L18" s="512" t="str">
        <f>IF(AP!$G18="","",IF(OR(COUNT(L18:N18)=0,R18=""),"",IF(diNo!Q14="BOS", ROUNDUP((IF((P18*2+L$5)/3&lt;1, 0, ROUNDUP((P18*2+L$5)/3,2))*2+SUM(AP!L18:N18))/(2+COUNT(AP!L18:N18)),2),ROUNDUP((IF((P18*2+L$5)/3&lt;1, 0, ROUNDUP((P18*2+L$5)/3,2))*3+SUM(AP!L18:N18))/(3+COUNT(AP!L18:N18)),2))))</f>
        <v/>
      </c>
      <c r="M18" s="512" t="str">
        <f>IF(AP!$G18="","",IF(OR(COUNT(M18:O18)=0,S18=""),"",IF(diNo!R14="BOS", ROUNDUP((IF((Q18*2+M$5)/3&lt;1, 0, ROUNDUP((Q18*2+M$5)/3,2))*2+SUM(AP!M18:O18))/(2+COUNT(AP!M18:O18)),2),ROUNDUP((IF((Q18*2+M$5)/3&lt;1, 0, ROUNDUP((Q18*2+M$5)/3,2))*3+SUM(AP!M18:O18))/(3+COUNT(AP!M18:O18)),2))))</f>
        <v/>
      </c>
      <c r="N18" s="512" t="str">
        <f>IF(AP!$G18="","",IF(OR(COUNT(N18:P18)=0,T18=""),"",IF(diNo!S14="BOS", ROUNDUP((IF((R18*2+N$5)/3&lt;1, 0, ROUNDUP((R18*2+N$5)/3,2))*2+SUM(AP!N18:P18))/(2+COUNT(AP!N18:P18)),2),ROUNDUP((IF((R18*2+N$5)/3&lt;1, 0, ROUNDUP((R18*2+N$5)/3,2))*3+SUM(AP!N18:P18))/(3+COUNT(AP!N18:P18)),2))))</f>
        <v/>
      </c>
      <c r="O18" s="513" t="str">
        <f>IF(AP!$G18="","",IF(OR(COUNT(O18:Q18)=0,U18=""),"",IF(diNo!T14="BOS", ROUNDUP((IF((S18*2+O$5)/3&lt;1, 0, ROUNDUP((S18*2+O$5)/3,2))*2+SUM(AP!O18:Q18))/(2+COUNT(AP!O18:Q18)),2),ROUNDUP((IF((S18*2+O$5)/3&lt;1, 0, ROUNDUP((S18*2+O$5)/3,2))*3+SUM(AP!O18:Q18))/(3+COUNT(AP!O18:Q18)),2))))</f>
        <v/>
      </c>
      <c r="P18" s="513" t="str">
        <f>IF(AP!$G18="","",IF(OR(COUNT(P18:R18)=0,V18=""),"",IF(diNo!U14="BOS", ROUNDUP((IF((T18*2+P$5)/3&lt;1, 0, ROUNDUP((T18*2+P$5)/3,2))*2+SUM(AP!P18:R18))/(2+COUNT(AP!P18:R18)),2),ROUNDUP((IF((T18*2+P$5)/3&lt;1, 0, ROUNDUP((T18*2+P$5)/3,2))*3+SUM(AP!P18:R18))/(3+COUNT(AP!P18:R18)),2))))</f>
        <v/>
      </c>
      <c r="Q18" s="513" t="str">
        <f>IF(AP!$G18="","",IF(OR(COUNT(Q18:S18)=0,W18=""),"",IF(diNo!V14="BOS", ROUNDUP((IF((U18*2+Q$5)/3&lt;1, 0, ROUNDUP((U18*2+Q$5)/3,2))*2+SUM(AP!Q18:S18))/(2+COUNT(AP!Q18:S18)),2),ROUNDUP((IF((U18*2+Q$5)/3&lt;1, 0, ROUNDUP((U18*2+Q$5)/3,2))*3+SUM(AP!Q18:S18))/(3+COUNT(AP!Q18:S18)),2))))</f>
        <v/>
      </c>
      <c r="R18" s="512" t="str">
        <f>IF(AP!$G18="","",IF(OR(COUNT(R18:T18)=0,X18=""),"",IF(diNo!W14="BOS", ROUNDUP((IF((V18*2+R$5)/3&lt;1, 0, ROUNDUP((V18*2+R$5)/3,2))*2+SUM(AP!R18:T18))/(2+COUNT(AP!R18:T18)),2),ROUNDUP((IF((V18*2+R$5)/3&lt;1, 0, ROUNDUP((V18*2+R$5)/3,2))*3+SUM(AP!R18:T18))/(3+COUNT(AP!R18:T18)),2))))</f>
        <v/>
      </c>
    </row>
    <row r="19" spans="1:18" x14ac:dyDescent="0.2">
      <c r="A19" s="2" t="str">
        <f>IF(+AP!B19="","",AP!B19)</f>
        <v/>
      </c>
      <c r="B19" s="196" t="str">
        <f>IF(AP!G19="","",IF(ROUNDUP((AP!G19+AP!E19)/2,2)&lt;1,0,ROUNDUP((AP!G19+AP!E19)/2,2)))</f>
        <v/>
      </c>
      <c r="C19" s="197" t="str">
        <f>IF(AP!$G19="","",IF(OR(COUNT(C19:E19)=0,I19=""),"",IF(diNo!H15="BOS", ROUNDUP((IF((G19*2+C$5)/3&lt;1, 0, ROUNDUP((G19*2+C$5)/3,2))*2+SUM(AP!C19:E19))/(2+COUNT(AP!C19:E19)),2),ROUNDUP((IF((G19*2+C$5)/3&lt;1, 0, ROUNDUP((G19*2+C$5)/3,2))*3+SUM(AP!C19:E19))/(3+COUNT(AP!C19:E19)),2))))</f>
        <v/>
      </c>
      <c r="D19" s="197" t="str">
        <f>IF(AP!$G19="","",IF(OR(COUNT(D19:F19)=0,J19=""),"",IF(diNo!I15="BOS", ROUNDUP((IF((H19*2+D$5)/3&lt;1, 0, ROUNDUP((H19*2+D$5)/3,2))*2+SUM(AP!D19:F19))/(2+COUNT(AP!D19:F19)),2),ROUNDUP((IF((H19*2+D$5)/3&lt;1, 0, ROUNDUP((H19*2+D$5)/3,2))*3+SUM(AP!D19:F19))/(3+COUNT(AP!D19:F19)),2))))</f>
        <v/>
      </c>
      <c r="E19" s="197" t="str">
        <f>IF(AP!$G19="","",IF(OR(COUNT(E19:G19)=0,K19=""),"",IF(diNo!J15="BOS", ROUNDUP((IF((I19*2+E$5)/3&lt;1, 0, ROUNDUP((I19*2+E$5)/3,2))*2+SUM(AP!E19:G19))/(2+COUNT(AP!E19:G19)),2),ROUNDUP((IF((I19*2+E$5)/3&lt;1, 0, ROUNDUP((I19*2+E$5)/3,2))*3+SUM(AP!E19:G19))/(3+COUNT(AP!E19:G19)),2))))</f>
        <v/>
      </c>
      <c r="F19" s="512" t="str">
        <f>IF(AP!$G19="","",IF(OR(COUNT(F19:H19)=0,L19=""),"",IF(diNo!K15="BOS", ROUNDUP((IF((J19*2+F$5)/3&lt;1, 0, ROUNDUP((J19*2+F$5)/3,2))*2+SUM(AP!F19:H19))/(2+COUNT(AP!F19:H19)),2),ROUNDUP((IF((J19*2+F$5)/3&lt;1, 0, ROUNDUP((J19*2+F$5)/3,2))*3+SUM(AP!F19:H19))/(3+COUNT(AP!F19:H19)),2))))</f>
        <v/>
      </c>
      <c r="G19" s="512" t="str">
        <f>IF(AP!$G19="","",IF(OR(COUNT(G19:I19)=0,M19=""),"",IF(diNo!L15="BOS", ROUNDUP((IF((K19*2+G$5)/3&lt;1, 0, ROUNDUP((K19*2+G$5)/3,2))*2+SUM(AP!G19:I19))/(2+COUNT(AP!G19:I19)),2),ROUNDUP((IF((K19*2+G$5)/3&lt;1, 0, ROUNDUP((K19*2+G$5)/3,2))*3+SUM(AP!G19:I19))/(3+COUNT(AP!G19:I19)),2))))</f>
        <v/>
      </c>
      <c r="H19" s="512" t="str">
        <f>IF(AP!$G19="","",IF(OR(COUNT(H19:J19)=0,N19=""),"",IF(diNo!M15="BOS", ROUNDUP((IF((L19*2+H$5)/3&lt;1, 0, ROUNDUP((L19*2+H$5)/3,2))*2+SUM(AP!H19:J19))/(2+COUNT(AP!H19:J19)),2),ROUNDUP((IF((L19*2+H$5)/3&lt;1, 0, ROUNDUP((L19*2+H$5)/3,2))*3+SUM(AP!H19:J19))/(3+COUNT(AP!H19:J19)),2))))</f>
        <v/>
      </c>
      <c r="I19" s="197" t="str">
        <f>IF(AP!$G19="","",IF(OR(COUNT(I19:K19)=0,O19=""),"",IF(diNo!N15="BOS", ROUNDUP((IF((M19*2+I$5)/3&lt;1, 0, ROUNDUP((M19*2+I$5)/3,2))*2+SUM(AP!I19:K19))/(2+COUNT(AP!I19:K19)),2),ROUNDUP((IF((M19*2+I$5)/3&lt;1, 0, ROUNDUP((M19*2+I$5)/3,2))*3+SUM(AP!I19:K19))/(3+COUNT(AP!I19:K19)),2))))</f>
        <v/>
      </c>
      <c r="J19" s="197" t="str">
        <f>IF(AP!$G19="","",IF(OR(COUNT(J19:L19)=0,P19=""),"",IF(diNo!O15="BOS", ROUNDUP((IF((N19*2+J$5)/3&lt;1, 0, ROUNDUP((N19*2+J$5)/3,2))*2+SUM(AP!J19:L19))/(2+COUNT(AP!J19:L19)),2),ROUNDUP((IF((N19*2+J$5)/3&lt;1, 0, ROUNDUP((N19*2+J$5)/3,2))*3+SUM(AP!J19:L19))/(3+COUNT(AP!J19:L19)),2))))</f>
        <v/>
      </c>
      <c r="K19" s="197" t="str">
        <f>IF(AP!$G19="","",IF(OR(COUNT(K19:M19)=0,Q19=""),"",IF(diNo!P15="BOS", ROUNDUP((IF((O19*2+K$5)/3&lt;1, 0, ROUNDUP((O19*2+K$5)/3,2))*2+SUM(AP!K19:M19))/(2+COUNT(AP!K19:M19)),2),ROUNDUP((IF((O19*2+K$5)/3&lt;1, 0, ROUNDUP((O19*2+K$5)/3,2))*3+SUM(AP!K19:M19))/(3+COUNT(AP!K19:M19)),2))))</f>
        <v/>
      </c>
      <c r="L19" s="512" t="str">
        <f>IF(AP!$G19="","",IF(OR(COUNT(L19:N19)=0,R19=""),"",IF(diNo!Q15="BOS", ROUNDUP((IF((P19*2+L$5)/3&lt;1, 0, ROUNDUP((P19*2+L$5)/3,2))*2+SUM(AP!L19:N19))/(2+COUNT(AP!L19:N19)),2),ROUNDUP((IF((P19*2+L$5)/3&lt;1, 0, ROUNDUP((P19*2+L$5)/3,2))*3+SUM(AP!L19:N19))/(3+COUNT(AP!L19:N19)),2))))</f>
        <v/>
      </c>
      <c r="M19" s="512" t="str">
        <f>IF(AP!$G19="","",IF(OR(COUNT(M19:O19)=0,S19=""),"",IF(diNo!R15="BOS", ROUNDUP((IF((Q19*2+M$5)/3&lt;1, 0, ROUNDUP((Q19*2+M$5)/3,2))*2+SUM(AP!M19:O19))/(2+COUNT(AP!M19:O19)),2),ROUNDUP((IF((Q19*2+M$5)/3&lt;1, 0, ROUNDUP((Q19*2+M$5)/3,2))*3+SUM(AP!M19:O19))/(3+COUNT(AP!M19:O19)),2))))</f>
        <v/>
      </c>
      <c r="N19" s="512" t="str">
        <f>IF(AP!$G19="","",IF(OR(COUNT(N19:P19)=0,T19=""),"",IF(diNo!S15="BOS", ROUNDUP((IF((R19*2+N$5)/3&lt;1, 0, ROUNDUP((R19*2+N$5)/3,2))*2+SUM(AP!N19:P19))/(2+COUNT(AP!N19:P19)),2),ROUNDUP((IF((R19*2+N$5)/3&lt;1, 0, ROUNDUP((R19*2+N$5)/3,2))*3+SUM(AP!N19:P19))/(3+COUNT(AP!N19:P19)),2))))</f>
        <v/>
      </c>
      <c r="O19" s="513" t="str">
        <f>IF(AP!$G19="","",IF(OR(COUNT(O19:Q19)=0,U19=""),"",IF(diNo!T15="BOS", ROUNDUP((IF((S19*2+O$5)/3&lt;1, 0, ROUNDUP((S19*2+O$5)/3,2))*2+SUM(AP!O19:Q19))/(2+COUNT(AP!O19:Q19)),2),ROUNDUP((IF((S19*2+O$5)/3&lt;1, 0, ROUNDUP((S19*2+O$5)/3,2))*3+SUM(AP!O19:Q19))/(3+COUNT(AP!O19:Q19)),2))))</f>
        <v/>
      </c>
      <c r="P19" s="513" t="str">
        <f>IF(AP!$G19="","",IF(OR(COUNT(P19:R19)=0,V19=""),"",IF(diNo!U15="BOS", ROUNDUP((IF((T19*2+P$5)/3&lt;1, 0, ROUNDUP((T19*2+P$5)/3,2))*2+SUM(AP!P19:R19))/(2+COUNT(AP!P19:R19)),2),ROUNDUP((IF((T19*2+P$5)/3&lt;1, 0, ROUNDUP((T19*2+P$5)/3,2))*3+SUM(AP!P19:R19))/(3+COUNT(AP!P19:R19)),2))))</f>
        <v/>
      </c>
      <c r="Q19" s="513" t="str">
        <f>IF(AP!$G19="","",IF(OR(COUNT(Q19:S19)=0,W19=""),"",IF(diNo!V15="BOS", ROUNDUP((IF((U19*2+Q$5)/3&lt;1, 0, ROUNDUP((U19*2+Q$5)/3,2))*2+SUM(AP!Q19:S19))/(2+COUNT(AP!Q19:S19)),2),ROUNDUP((IF((U19*2+Q$5)/3&lt;1, 0, ROUNDUP((U19*2+Q$5)/3,2))*3+SUM(AP!Q19:S19))/(3+COUNT(AP!Q19:S19)),2))))</f>
        <v/>
      </c>
      <c r="R19" s="512" t="str">
        <f>IF(AP!$G19="","",IF(OR(COUNT(R19:T19)=0,X19=""),"",IF(diNo!W15="BOS", ROUNDUP((IF((V19*2+R$5)/3&lt;1, 0, ROUNDUP((V19*2+R$5)/3,2))*2+SUM(AP!R19:T19))/(2+COUNT(AP!R19:T19)),2),ROUNDUP((IF((V19*2+R$5)/3&lt;1, 0, ROUNDUP((V19*2+R$5)/3,2))*3+SUM(AP!R19:T19))/(3+COUNT(AP!R19:T19)),2))))</f>
        <v/>
      </c>
    </row>
    <row r="20" spans="1:18" x14ac:dyDescent="0.2">
      <c r="A20" s="2" t="str">
        <f>IF(+AP!B20="","",AP!B20)</f>
        <v/>
      </c>
      <c r="B20" s="196" t="str">
        <f>IF(AP!G20="","",IF(ROUNDUP((AP!G20+AP!E20)/2,2)&lt;1,0,ROUNDUP((AP!G20+AP!E20)/2,2)))</f>
        <v/>
      </c>
      <c r="C20" s="197" t="str">
        <f>IF(AP!$G20="","",IF(OR(COUNT(C20:E20)=0,I20=""),"",IF(diNo!H16="BOS", ROUNDUP((IF((G20*2+C$5)/3&lt;1, 0, ROUNDUP((G20*2+C$5)/3,2))*2+SUM(AP!C20:E20))/(2+COUNT(AP!C20:E20)),2),ROUNDUP((IF((G20*2+C$5)/3&lt;1, 0, ROUNDUP((G20*2+C$5)/3,2))*3+SUM(AP!C20:E20))/(3+COUNT(AP!C20:E20)),2))))</f>
        <v/>
      </c>
      <c r="D20" s="197" t="str">
        <f>IF(AP!$G20="","",IF(OR(COUNT(D20:F20)=0,J20=""),"",IF(diNo!I16="BOS", ROUNDUP((IF((H20*2+D$5)/3&lt;1, 0, ROUNDUP((H20*2+D$5)/3,2))*2+SUM(AP!D20:F20))/(2+COUNT(AP!D20:F20)),2),ROUNDUP((IF((H20*2+D$5)/3&lt;1, 0, ROUNDUP((H20*2+D$5)/3,2))*3+SUM(AP!D20:F20))/(3+COUNT(AP!D20:F20)),2))))</f>
        <v/>
      </c>
      <c r="E20" s="197" t="str">
        <f>IF(AP!$G20="","",IF(OR(COUNT(E20:G20)=0,K20=""),"",IF(diNo!J16="BOS", ROUNDUP((IF((I20*2+E$5)/3&lt;1, 0, ROUNDUP((I20*2+E$5)/3,2))*2+SUM(AP!E20:G20))/(2+COUNT(AP!E20:G20)),2),ROUNDUP((IF((I20*2+E$5)/3&lt;1, 0, ROUNDUP((I20*2+E$5)/3,2))*3+SUM(AP!E20:G20))/(3+COUNT(AP!E20:G20)),2))))</f>
        <v/>
      </c>
      <c r="F20" s="512" t="str">
        <f>IF(AP!$G20="","",IF(OR(COUNT(F20:H20)=0,L20=""),"",IF(diNo!K16="BOS", ROUNDUP((IF((J20*2+F$5)/3&lt;1, 0, ROUNDUP((J20*2+F$5)/3,2))*2+SUM(AP!F20:H20))/(2+COUNT(AP!F20:H20)),2),ROUNDUP((IF((J20*2+F$5)/3&lt;1, 0, ROUNDUP((J20*2+F$5)/3,2))*3+SUM(AP!F20:H20))/(3+COUNT(AP!F20:H20)),2))))</f>
        <v/>
      </c>
      <c r="G20" s="512" t="str">
        <f>IF(AP!$G20="","",IF(OR(COUNT(G20:I20)=0,M20=""),"",IF(diNo!L16="BOS", ROUNDUP((IF((K20*2+G$5)/3&lt;1, 0, ROUNDUP((K20*2+G$5)/3,2))*2+SUM(AP!G20:I20))/(2+COUNT(AP!G20:I20)),2),ROUNDUP((IF((K20*2+G$5)/3&lt;1, 0, ROUNDUP((K20*2+G$5)/3,2))*3+SUM(AP!G20:I20))/(3+COUNT(AP!G20:I20)),2))))</f>
        <v/>
      </c>
      <c r="H20" s="512" t="str">
        <f>IF(AP!$G20="","",IF(OR(COUNT(H20:J20)=0,N20=""),"",IF(diNo!M16="BOS", ROUNDUP((IF((L20*2+H$5)/3&lt;1, 0, ROUNDUP((L20*2+H$5)/3,2))*2+SUM(AP!H20:J20))/(2+COUNT(AP!H20:J20)),2),ROUNDUP((IF((L20*2+H$5)/3&lt;1, 0, ROUNDUP((L20*2+H$5)/3,2))*3+SUM(AP!H20:J20))/(3+COUNT(AP!H20:J20)),2))))</f>
        <v/>
      </c>
      <c r="I20" s="197" t="str">
        <f>IF(AP!$G20="","",IF(OR(COUNT(I20:K20)=0,O20=""),"",IF(diNo!N16="BOS", ROUNDUP((IF((M20*2+I$5)/3&lt;1, 0, ROUNDUP((M20*2+I$5)/3,2))*2+SUM(AP!I20:K20))/(2+COUNT(AP!I20:K20)),2),ROUNDUP((IF((M20*2+I$5)/3&lt;1, 0, ROUNDUP((M20*2+I$5)/3,2))*3+SUM(AP!I20:K20))/(3+COUNT(AP!I20:K20)),2))))</f>
        <v/>
      </c>
      <c r="J20" s="197" t="str">
        <f>IF(AP!$G20="","",IF(OR(COUNT(J20:L20)=0,P20=""),"",IF(diNo!O16="BOS", ROUNDUP((IF((N20*2+J$5)/3&lt;1, 0, ROUNDUP((N20*2+J$5)/3,2))*2+SUM(AP!J20:L20))/(2+COUNT(AP!J20:L20)),2),ROUNDUP((IF((N20*2+J$5)/3&lt;1, 0, ROUNDUP((N20*2+J$5)/3,2))*3+SUM(AP!J20:L20))/(3+COUNT(AP!J20:L20)),2))))</f>
        <v/>
      </c>
      <c r="K20" s="197" t="str">
        <f>IF(AP!$G20="","",IF(OR(COUNT(K20:M20)=0,Q20=""),"",IF(diNo!P16="BOS", ROUNDUP((IF((O20*2+K$5)/3&lt;1, 0, ROUNDUP((O20*2+K$5)/3,2))*2+SUM(AP!K20:M20))/(2+COUNT(AP!K20:M20)),2),ROUNDUP((IF((O20*2+K$5)/3&lt;1, 0, ROUNDUP((O20*2+K$5)/3,2))*3+SUM(AP!K20:M20))/(3+COUNT(AP!K20:M20)),2))))</f>
        <v/>
      </c>
      <c r="L20" s="512" t="str">
        <f>IF(AP!$G20="","",IF(OR(COUNT(L20:N20)=0,R20=""),"",IF(diNo!Q16="BOS", ROUNDUP((IF((P20*2+L$5)/3&lt;1, 0, ROUNDUP((P20*2+L$5)/3,2))*2+SUM(AP!L20:N20))/(2+COUNT(AP!L20:N20)),2),ROUNDUP((IF((P20*2+L$5)/3&lt;1, 0, ROUNDUP((P20*2+L$5)/3,2))*3+SUM(AP!L20:N20))/(3+COUNT(AP!L20:N20)),2))))</f>
        <v/>
      </c>
      <c r="M20" s="512" t="str">
        <f>IF(AP!$G20="","",IF(OR(COUNT(M20:O20)=0,S20=""),"",IF(diNo!R16="BOS", ROUNDUP((IF((Q20*2+M$5)/3&lt;1, 0, ROUNDUP((Q20*2+M$5)/3,2))*2+SUM(AP!M20:O20))/(2+COUNT(AP!M20:O20)),2),ROUNDUP((IF((Q20*2+M$5)/3&lt;1, 0, ROUNDUP((Q20*2+M$5)/3,2))*3+SUM(AP!M20:O20))/(3+COUNT(AP!M20:O20)),2))))</f>
        <v/>
      </c>
      <c r="N20" s="512" t="str">
        <f>IF(AP!$G20="","",IF(OR(COUNT(N20:P20)=0,T20=""),"",IF(diNo!S16="BOS", ROUNDUP((IF((R20*2+N$5)/3&lt;1, 0, ROUNDUP((R20*2+N$5)/3,2))*2+SUM(AP!N20:P20))/(2+COUNT(AP!N20:P20)),2),ROUNDUP((IF((R20*2+N$5)/3&lt;1, 0, ROUNDUP((R20*2+N$5)/3,2))*3+SUM(AP!N20:P20))/(3+COUNT(AP!N20:P20)),2))))</f>
        <v/>
      </c>
      <c r="O20" s="513" t="str">
        <f>IF(AP!$G20="","",IF(OR(COUNT(O20:Q20)=0,U20=""),"",IF(diNo!T16="BOS", ROUNDUP((IF((S20*2+O$5)/3&lt;1, 0, ROUNDUP((S20*2+O$5)/3,2))*2+SUM(AP!O20:Q20))/(2+COUNT(AP!O20:Q20)),2),ROUNDUP((IF((S20*2+O$5)/3&lt;1, 0, ROUNDUP((S20*2+O$5)/3,2))*3+SUM(AP!O20:Q20))/(3+COUNT(AP!O20:Q20)),2))))</f>
        <v/>
      </c>
      <c r="P20" s="513" t="str">
        <f>IF(AP!$G20="","",IF(OR(COUNT(P20:R20)=0,V20=""),"",IF(diNo!U16="BOS", ROUNDUP((IF((T20*2+P$5)/3&lt;1, 0, ROUNDUP((T20*2+P$5)/3,2))*2+SUM(AP!P20:R20))/(2+COUNT(AP!P20:R20)),2),ROUNDUP((IF((T20*2+P$5)/3&lt;1, 0, ROUNDUP((T20*2+P$5)/3,2))*3+SUM(AP!P20:R20))/(3+COUNT(AP!P20:R20)),2))))</f>
        <v/>
      </c>
      <c r="Q20" s="513" t="str">
        <f>IF(AP!$G20="","",IF(OR(COUNT(Q20:S20)=0,W20=""),"",IF(diNo!V16="BOS", ROUNDUP((IF((U20*2+Q$5)/3&lt;1, 0, ROUNDUP((U20*2+Q$5)/3,2))*2+SUM(AP!Q20:S20))/(2+COUNT(AP!Q20:S20)),2),ROUNDUP((IF((U20*2+Q$5)/3&lt;1, 0, ROUNDUP((U20*2+Q$5)/3,2))*3+SUM(AP!Q20:S20))/(3+COUNT(AP!Q20:S20)),2))))</f>
        <v/>
      </c>
      <c r="R20" s="512" t="str">
        <f>IF(AP!$G20="","",IF(OR(COUNT(R20:T20)=0,X20=""),"",IF(diNo!W16="BOS", ROUNDUP((IF((V20*2+R$5)/3&lt;1, 0, ROUNDUP((V20*2+R$5)/3,2))*2+SUM(AP!R20:T20))/(2+COUNT(AP!R20:T20)),2),ROUNDUP((IF((V20*2+R$5)/3&lt;1, 0, ROUNDUP((V20*2+R$5)/3,2))*3+SUM(AP!R20:T20))/(3+COUNT(AP!R20:T20)),2))))</f>
        <v/>
      </c>
    </row>
    <row r="21" spans="1:18" x14ac:dyDescent="0.2">
      <c r="A21" s="2" t="str">
        <f>IF(+AP!B21="","",AP!B21)</f>
        <v/>
      </c>
      <c r="B21" s="196" t="str">
        <f>IF(AP!G21="","",IF(ROUNDUP((AP!G21+AP!E21)/2,2)&lt;1,0,ROUNDUP((AP!G21+AP!E21)/2,2)))</f>
        <v/>
      </c>
      <c r="C21" s="197" t="str">
        <f>IF(AP!$G21="","",IF(OR(COUNT(C21:E21)=0,I21=""),"",IF(diNo!H17="BOS", ROUNDUP((IF((G21*2+C$5)/3&lt;1, 0, ROUNDUP((G21*2+C$5)/3,2))*2+SUM(AP!C21:E21))/(2+COUNT(AP!C21:E21)),2),ROUNDUP((IF((G21*2+C$5)/3&lt;1, 0, ROUNDUP((G21*2+C$5)/3,2))*3+SUM(AP!C21:E21))/(3+COUNT(AP!C21:E21)),2))))</f>
        <v/>
      </c>
      <c r="D21" s="197" t="str">
        <f>IF(AP!$G21="","",IF(OR(COUNT(D21:F21)=0,J21=""),"",IF(diNo!I17="BOS", ROUNDUP((IF((H21*2+D$5)/3&lt;1, 0, ROUNDUP((H21*2+D$5)/3,2))*2+SUM(AP!D21:F21))/(2+COUNT(AP!D21:F21)),2),ROUNDUP((IF((H21*2+D$5)/3&lt;1, 0, ROUNDUP((H21*2+D$5)/3,2))*3+SUM(AP!D21:F21))/(3+COUNT(AP!D21:F21)),2))))</f>
        <v/>
      </c>
      <c r="E21" s="197" t="str">
        <f>IF(AP!$G21="","",IF(OR(COUNT(E21:G21)=0,K21=""),"",IF(diNo!J17="BOS", ROUNDUP((IF((I21*2+E$5)/3&lt;1, 0, ROUNDUP((I21*2+E$5)/3,2))*2+SUM(AP!E21:G21))/(2+COUNT(AP!E21:G21)),2),ROUNDUP((IF((I21*2+E$5)/3&lt;1, 0, ROUNDUP((I21*2+E$5)/3,2))*3+SUM(AP!E21:G21))/(3+COUNT(AP!E21:G21)),2))))</f>
        <v/>
      </c>
      <c r="F21" s="512" t="str">
        <f>IF(AP!$G21="","",IF(OR(COUNT(F21:H21)=0,L21=""),"",IF(diNo!K17="BOS", ROUNDUP((IF((J21*2+F$5)/3&lt;1, 0, ROUNDUP((J21*2+F$5)/3,2))*2+SUM(AP!F21:H21))/(2+COUNT(AP!F21:H21)),2),ROUNDUP((IF((J21*2+F$5)/3&lt;1, 0, ROUNDUP((J21*2+F$5)/3,2))*3+SUM(AP!F21:H21))/(3+COUNT(AP!F21:H21)),2))))</f>
        <v/>
      </c>
      <c r="G21" s="512" t="str">
        <f>IF(AP!$G21="","",IF(OR(COUNT(G21:I21)=0,M21=""),"",IF(diNo!L17="BOS", ROUNDUP((IF((K21*2+G$5)/3&lt;1, 0, ROUNDUP((K21*2+G$5)/3,2))*2+SUM(AP!G21:I21))/(2+COUNT(AP!G21:I21)),2),ROUNDUP((IF((K21*2+G$5)/3&lt;1, 0, ROUNDUP((K21*2+G$5)/3,2))*3+SUM(AP!G21:I21))/(3+COUNT(AP!G21:I21)),2))))</f>
        <v/>
      </c>
      <c r="H21" s="512" t="str">
        <f>IF(AP!$G21="","",IF(OR(COUNT(H21:J21)=0,N21=""),"",IF(diNo!M17="BOS", ROUNDUP((IF((L21*2+H$5)/3&lt;1, 0, ROUNDUP((L21*2+H$5)/3,2))*2+SUM(AP!H21:J21))/(2+COUNT(AP!H21:J21)),2),ROUNDUP((IF((L21*2+H$5)/3&lt;1, 0, ROUNDUP((L21*2+H$5)/3,2))*3+SUM(AP!H21:J21))/(3+COUNT(AP!H21:J21)),2))))</f>
        <v/>
      </c>
      <c r="I21" s="197" t="str">
        <f>IF(AP!$G21="","",IF(OR(COUNT(I21:K21)=0,O21=""),"",IF(diNo!N17="BOS", ROUNDUP((IF((M21*2+I$5)/3&lt;1, 0, ROUNDUP((M21*2+I$5)/3,2))*2+SUM(AP!I21:K21))/(2+COUNT(AP!I21:K21)),2),ROUNDUP((IF((M21*2+I$5)/3&lt;1, 0, ROUNDUP((M21*2+I$5)/3,2))*3+SUM(AP!I21:K21))/(3+COUNT(AP!I21:K21)),2))))</f>
        <v/>
      </c>
      <c r="J21" s="197" t="str">
        <f>IF(AP!$G21="","",IF(OR(COUNT(J21:L21)=0,P21=""),"",IF(diNo!O17="BOS", ROUNDUP((IF((N21*2+J$5)/3&lt;1, 0, ROUNDUP((N21*2+J$5)/3,2))*2+SUM(AP!J21:L21))/(2+COUNT(AP!J21:L21)),2),ROUNDUP((IF((N21*2+J$5)/3&lt;1, 0, ROUNDUP((N21*2+J$5)/3,2))*3+SUM(AP!J21:L21))/(3+COUNT(AP!J21:L21)),2))))</f>
        <v/>
      </c>
      <c r="K21" s="197" t="str">
        <f>IF(AP!$G21="","",IF(OR(COUNT(K21:M21)=0,Q21=""),"",IF(diNo!P17="BOS", ROUNDUP((IF((O21*2+K$5)/3&lt;1, 0, ROUNDUP((O21*2+K$5)/3,2))*2+SUM(AP!K21:M21))/(2+COUNT(AP!K21:M21)),2),ROUNDUP((IF((O21*2+K$5)/3&lt;1, 0, ROUNDUP((O21*2+K$5)/3,2))*3+SUM(AP!K21:M21))/(3+COUNT(AP!K21:M21)),2))))</f>
        <v/>
      </c>
      <c r="L21" s="512" t="str">
        <f>IF(AP!$G21="","",IF(OR(COUNT(L21:N21)=0,R21=""),"",IF(diNo!Q17="BOS", ROUNDUP((IF((P21*2+L$5)/3&lt;1, 0, ROUNDUP((P21*2+L$5)/3,2))*2+SUM(AP!L21:N21))/(2+COUNT(AP!L21:N21)),2),ROUNDUP((IF((P21*2+L$5)/3&lt;1, 0, ROUNDUP((P21*2+L$5)/3,2))*3+SUM(AP!L21:N21))/(3+COUNT(AP!L21:N21)),2))))</f>
        <v/>
      </c>
      <c r="M21" s="512" t="str">
        <f>IF(AP!$G21="","",IF(OR(COUNT(M21:O21)=0,S21=""),"",IF(diNo!R17="BOS", ROUNDUP((IF((Q21*2+M$5)/3&lt;1, 0, ROUNDUP((Q21*2+M$5)/3,2))*2+SUM(AP!M21:O21))/(2+COUNT(AP!M21:O21)),2),ROUNDUP((IF((Q21*2+M$5)/3&lt;1, 0, ROUNDUP((Q21*2+M$5)/3,2))*3+SUM(AP!M21:O21))/(3+COUNT(AP!M21:O21)),2))))</f>
        <v/>
      </c>
      <c r="N21" s="512" t="str">
        <f>IF(AP!$G21="","",IF(OR(COUNT(N21:P21)=0,T21=""),"",IF(diNo!S17="BOS", ROUNDUP((IF((R21*2+N$5)/3&lt;1, 0, ROUNDUP((R21*2+N$5)/3,2))*2+SUM(AP!N21:P21))/(2+COUNT(AP!N21:P21)),2),ROUNDUP((IF((R21*2+N$5)/3&lt;1, 0, ROUNDUP((R21*2+N$5)/3,2))*3+SUM(AP!N21:P21))/(3+COUNT(AP!N21:P21)),2))))</f>
        <v/>
      </c>
      <c r="O21" s="513" t="str">
        <f>IF(AP!$G21="","",IF(OR(COUNT(O21:Q21)=0,U21=""),"",IF(diNo!T17="BOS", ROUNDUP((IF((S21*2+O$5)/3&lt;1, 0, ROUNDUP((S21*2+O$5)/3,2))*2+SUM(AP!O21:Q21))/(2+COUNT(AP!O21:Q21)),2),ROUNDUP((IF((S21*2+O$5)/3&lt;1, 0, ROUNDUP((S21*2+O$5)/3,2))*3+SUM(AP!O21:Q21))/(3+COUNT(AP!O21:Q21)),2))))</f>
        <v/>
      </c>
      <c r="P21" s="513" t="str">
        <f>IF(AP!$G21="","",IF(OR(COUNT(P21:R21)=0,V21=""),"",IF(diNo!U17="BOS", ROUNDUP((IF((T21*2+P$5)/3&lt;1, 0, ROUNDUP((T21*2+P$5)/3,2))*2+SUM(AP!P21:R21))/(2+COUNT(AP!P21:R21)),2),ROUNDUP((IF((T21*2+P$5)/3&lt;1, 0, ROUNDUP((T21*2+P$5)/3,2))*3+SUM(AP!P21:R21))/(3+COUNT(AP!P21:R21)),2))))</f>
        <v/>
      </c>
      <c r="Q21" s="513" t="str">
        <f>IF(AP!$G21="","",IF(OR(COUNT(Q21:S21)=0,W21=""),"",IF(diNo!V17="BOS", ROUNDUP((IF((U21*2+Q$5)/3&lt;1, 0, ROUNDUP((U21*2+Q$5)/3,2))*2+SUM(AP!Q21:S21))/(2+COUNT(AP!Q21:S21)),2),ROUNDUP((IF((U21*2+Q$5)/3&lt;1, 0, ROUNDUP((U21*2+Q$5)/3,2))*3+SUM(AP!Q21:S21))/(3+COUNT(AP!Q21:S21)),2))))</f>
        <v/>
      </c>
      <c r="R21" s="512" t="str">
        <f>IF(AP!$G21="","",IF(OR(COUNT(R21:T21)=0,X21=""),"",IF(diNo!W17="BOS", ROUNDUP((IF((V21*2+R$5)/3&lt;1, 0, ROUNDUP((V21*2+R$5)/3,2))*2+SUM(AP!R21:T21))/(2+COUNT(AP!R21:T21)),2),ROUNDUP((IF((V21*2+R$5)/3&lt;1, 0, ROUNDUP((V21*2+R$5)/3,2))*3+SUM(AP!R21:T21))/(3+COUNT(AP!R21:T21)),2))))</f>
        <v/>
      </c>
    </row>
    <row r="22" spans="1:18" x14ac:dyDescent="0.2">
      <c r="A22" s="2" t="str">
        <f>IF(+AP!B22="","",AP!B22)</f>
        <v/>
      </c>
      <c r="B22" s="196" t="str">
        <f>IF(AP!G22="","",IF(ROUNDUP((AP!G22+AP!E22)/2,2)&lt;1,0,ROUNDUP((AP!G22+AP!E22)/2,2)))</f>
        <v/>
      </c>
      <c r="C22" s="197" t="str">
        <f>IF(AP!$G22="","",IF(OR(COUNT(C22:E22)=0,I22=""),"",IF(diNo!H18="BOS", ROUNDUP((IF((G22*2+C$5)/3&lt;1, 0, ROUNDUP((G22*2+C$5)/3,2))*2+SUM(AP!C22:E22))/(2+COUNT(AP!C22:E22)),2),ROUNDUP((IF((G22*2+C$5)/3&lt;1, 0, ROUNDUP((G22*2+C$5)/3,2))*3+SUM(AP!C22:E22))/(3+COUNT(AP!C22:E22)),2))))</f>
        <v/>
      </c>
      <c r="D22" s="197" t="str">
        <f>IF(AP!$G22="","",IF(OR(COUNT(D22:F22)=0,J22=""),"",IF(diNo!I18="BOS", ROUNDUP((IF((H22*2+D$5)/3&lt;1, 0, ROUNDUP((H22*2+D$5)/3,2))*2+SUM(AP!D22:F22))/(2+COUNT(AP!D22:F22)),2),ROUNDUP((IF((H22*2+D$5)/3&lt;1, 0, ROUNDUP((H22*2+D$5)/3,2))*3+SUM(AP!D22:F22))/(3+COUNT(AP!D22:F22)),2))))</f>
        <v/>
      </c>
      <c r="E22" s="197" t="str">
        <f>IF(AP!$G22="","",IF(OR(COUNT(E22:G22)=0,K22=""),"",IF(diNo!J18="BOS", ROUNDUP((IF((I22*2+E$5)/3&lt;1, 0, ROUNDUP((I22*2+E$5)/3,2))*2+SUM(AP!E22:G22))/(2+COUNT(AP!E22:G22)),2),ROUNDUP((IF((I22*2+E$5)/3&lt;1, 0, ROUNDUP((I22*2+E$5)/3,2))*3+SUM(AP!E22:G22))/(3+COUNT(AP!E22:G22)),2))))</f>
        <v/>
      </c>
      <c r="F22" s="512" t="str">
        <f>IF(AP!$G22="","",IF(OR(COUNT(F22:H22)=0,L22=""),"",IF(diNo!K18="BOS", ROUNDUP((IF((J22*2+F$5)/3&lt;1, 0, ROUNDUP((J22*2+F$5)/3,2))*2+SUM(AP!F22:H22))/(2+COUNT(AP!F22:H22)),2),ROUNDUP((IF((J22*2+F$5)/3&lt;1, 0, ROUNDUP((J22*2+F$5)/3,2))*3+SUM(AP!F22:H22))/(3+COUNT(AP!F22:H22)),2))))</f>
        <v/>
      </c>
      <c r="G22" s="512" t="str">
        <f>IF(AP!$G22="","",IF(OR(COUNT(G22:I22)=0,M22=""),"",IF(diNo!L18="BOS", ROUNDUP((IF((K22*2+G$5)/3&lt;1, 0, ROUNDUP((K22*2+G$5)/3,2))*2+SUM(AP!G22:I22))/(2+COUNT(AP!G22:I22)),2),ROUNDUP((IF((K22*2+G$5)/3&lt;1, 0, ROUNDUP((K22*2+G$5)/3,2))*3+SUM(AP!G22:I22))/(3+COUNT(AP!G22:I22)),2))))</f>
        <v/>
      </c>
      <c r="H22" s="512" t="str">
        <f>IF(AP!$G22="","",IF(OR(COUNT(H22:J22)=0,N22=""),"",IF(diNo!M18="BOS", ROUNDUP((IF((L22*2+H$5)/3&lt;1, 0, ROUNDUP((L22*2+H$5)/3,2))*2+SUM(AP!H22:J22))/(2+COUNT(AP!H22:J22)),2),ROUNDUP((IF((L22*2+H$5)/3&lt;1, 0, ROUNDUP((L22*2+H$5)/3,2))*3+SUM(AP!H22:J22))/(3+COUNT(AP!H22:J22)),2))))</f>
        <v/>
      </c>
      <c r="I22" s="197" t="str">
        <f>IF(AP!$G22="","",IF(OR(COUNT(I22:K22)=0,O22=""),"",IF(diNo!N18="BOS", ROUNDUP((IF((M22*2+I$5)/3&lt;1, 0, ROUNDUP((M22*2+I$5)/3,2))*2+SUM(AP!I22:K22))/(2+COUNT(AP!I22:K22)),2),ROUNDUP((IF((M22*2+I$5)/3&lt;1, 0, ROUNDUP((M22*2+I$5)/3,2))*3+SUM(AP!I22:K22))/(3+COUNT(AP!I22:K22)),2))))</f>
        <v/>
      </c>
      <c r="J22" s="197" t="str">
        <f>IF(AP!$G22="","",IF(OR(COUNT(J22:L22)=0,P22=""),"",IF(diNo!O18="BOS", ROUNDUP((IF((N22*2+J$5)/3&lt;1, 0, ROUNDUP((N22*2+J$5)/3,2))*2+SUM(AP!J22:L22))/(2+COUNT(AP!J22:L22)),2),ROUNDUP((IF((N22*2+J$5)/3&lt;1, 0, ROUNDUP((N22*2+J$5)/3,2))*3+SUM(AP!J22:L22))/(3+COUNT(AP!J22:L22)),2))))</f>
        <v/>
      </c>
      <c r="K22" s="197" t="str">
        <f>IF(AP!$G22="","",IF(OR(COUNT(K22:M22)=0,Q22=""),"",IF(diNo!P18="BOS", ROUNDUP((IF((O22*2+K$5)/3&lt;1, 0, ROUNDUP((O22*2+K$5)/3,2))*2+SUM(AP!K22:M22))/(2+COUNT(AP!K22:M22)),2),ROUNDUP((IF((O22*2+K$5)/3&lt;1, 0, ROUNDUP((O22*2+K$5)/3,2))*3+SUM(AP!K22:M22))/(3+COUNT(AP!K22:M22)),2))))</f>
        <v/>
      </c>
      <c r="L22" s="512" t="str">
        <f>IF(AP!$G22="","",IF(OR(COUNT(L22:N22)=0,R22=""),"",IF(diNo!Q18="BOS", ROUNDUP((IF((P22*2+L$5)/3&lt;1, 0, ROUNDUP((P22*2+L$5)/3,2))*2+SUM(AP!L22:N22))/(2+COUNT(AP!L22:N22)),2),ROUNDUP((IF((P22*2+L$5)/3&lt;1, 0, ROUNDUP((P22*2+L$5)/3,2))*3+SUM(AP!L22:N22))/(3+COUNT(AP!L22:N22)),2))))</f>
        <v/>
      </c>
      <c r="M22" s="512" t="str">
        <f>IF(AP!$G22="","",IF(OR(COUNT(M22:O22)=0,S22=""),"",IF(diNo!R18="BOS", ROUNDUP((IF((Q22*2+M$5)/3&lt;1, 0, ROUNDUP((Q22*2+M$5)/3,2))*2+SUM(AP!M22:O22))/(2+COUNT(AP!M22:O22)),2),ROUNDUP((IF((Q22*2+M$5)/3&lt;1, 0, ROUNDUP((Q22*2+M$5)/3,2))*3+SUM(AP!M22:O22))/(3+COUNT(AP!M22:O22)),2))))</f>
        <v/>
      </c>
      <c r="N22" s="512" t="str">
        <f>IF(AP!$G22="","",IF(OR(COUNT(N22:P22)=0,T22=""),"",IF(diNo!S18="BOS", ROUNDUP((IF((R22*2+N$5)/3&lt;1, 0, ROUNDUP((R22*2+N$5)/3,2))*2+SUM(AP!N22:P22))/(2+COUNT(AP!N22:P22)),2),ROUNDUP((IF((R22*2+N$5)/3&lt;1, 0, ROUNDUP((R22*2+N$5)/3,2))*3+SUM(AP!N22:P22))/(3+COUNT(AP!N22:P22)),2))))</f>
        <v/>
      </c>
      <c r="O22" s="513" t="str">
        <f>IF(AP!$G22="","",IF(OR(COUNT(O22:Q22)=0,U22=""),"",IF(diNo!T18="BOS", ROUNDUP((IF((S22*2+O$5)/3&lt;1, 0, ROUNDUP((S22*2+O$5)/3,2))*2+SUM(AP!O22:Q22))/(2+COUNT(AP!O22:Q22)),2),ROUNDUP((IF((S22*2+O$5)/3&lt;1, 0, ROUNDUP((S22*2+O$5)/3,2))*3+SUM(AP!O22:Q22))/(3+COUNT(AP!O22:Q22)),2))))</f>
        <v/>
      </c>
      <c r="P22" s="513" t="str">
        <f>IF(AP!$G22="","",IF(OR(COUNT(P22:R22)=0,V22=""),"",IF(diNo!U18="BOS", ROUNDUP((IF((T22*2+P$5)/3&lt;1, 0, ROUNDUP((T22*2+P$5)/3,2))*2+SUM(AP!P22:R22))/(2+COUNT(AP!P22:R22)),2),ROUNDUP((IF((T22*2+P$5)/3&lt;1, 0, ROUNDUP((T22*2+P$5)/3,2))*3+SUM(AP!P22:R22))/(3+COUNT(AP!P22:R22)),2))))</f>
        <v/>
      </c>
      <c r="Q22" s="513" t="str">
        <f>IF(AP!$G22="","",IF(OR(COUNT(Q22:S22)=0,W22=""),"",IF(diNo!V18="BOS", ROUNDUP((IF((U22*2+Q$5)/3&lt;1, 0, ROUNDUP((U22*2+Q$5)/3,2))*2+SUM(AP!Q22:S22))/(2+COUNT(AP!Q22:S22)),2),ROUNDUP((IF((U22*2+Q$5)/3&lt;1, 0, ROUNDUP((U22*2+Q$5)/3,2))*3+SUM(AP!Q22:S22))/(3+COUNT(AP!Q22:S22)),2))))</f>
        <v/>
      </c>
      <c r="R22" s="512" t="str">
        <f>IF(AP!$G22="","",IF(OR(COUNT(R22:T22)=0,X22=""),"",IF(diNo!W18="BOS", ROUNDUP((IF((V22*2+R$5)/3&lt;1, 0, ROUNDUP((V22*2+R$5)/3,2))*2+SUM(AP!R22:T22))/(2+COUNT(AP!R22:T22)),2),ROUNDUP((IF((V22*2+R$5)/3&lt;1, 0, ROUNDUP((V22*2+R$5)/3,2))*3+SUM(AP!R22:T22))/(3+COUNT(AP!R22:T22)),2))))</f>
        <v/>
      </c>
    </row>
    <row r="23" spans="1:18" x14ac:dyDescent="0.2">
      <c r="A23" s="2" t="str">
        <f>IF(+AP!B23="","",AP!B23)</f>
        <v/>
      </c>
      <c r="B23" s="196" t="str">
        <f>IF(AP!G23="","",IF(ROUNDUP((AP!G23+AP!E23)/2,2)&lt;1,0,ROUNDUP((AP!G23+AP!E23)/2,2)))</f>
        <v/>
      </c>
      <c r="C23" s="197" t="str">
        <f>IF(AP!$G23="","",IF(OR(COUNT(C23:E23)=0,I23=""),"",IF(diNo!H19="BOS", ROUNDUP((IF((G23*2+C$5)/3&lt;1, 0, ROUNDUP((G23*2+C$5)/3,2))*2+SUM(AP!C23:E23))/(2+COUNT(AP!C23:E23)),2),ROUNDUP((IF((G23*2+C$5)/3&lt;1, 0, ROUNDUP((G23*2+C$5)/3,2))*3+SUM(AP!C23:E23))/(3+COUNT(AP!C23:E23)),2))))</f>
        <v/>
      </c>
      <c r="D23" s="197" t="str">
        <f>IF(AP!$G23="","",IF(OR(COUNT(D23:F23)=0,J23=""),"",IF(diNo!I19="BOS", ROUNDUP((IF((H23*2+D$5)/3&lt;1, 0, ROUNDUP((H23*2+D$5)/3,2))*2+SUM(AP!D23:F23))/(2+COUNT(AP!D23:F23)),2),ROUNDUP((IF((H23*2+D$5)/3&lt;1, 0, ROUNDUP((H23*2+D$5)/3,2))*3+SUM(AP!D23:F23))/(3+COUNT(AP!D23:F23)),2))))</f>
        <v/>
      </c>
      <c r="E23" s="197" t="str">
        <f>IF(AP!$G23="","",IF(OR(COUNT(E23:G23)=0,K23=""),"",IF(diNo!J19="BOS", ROUNDUP((IF((I23*2+E$5)/3&lt;1, 0, ROUNDUP((I23*2+E$5)/3,2))*2+SUM(AP!E23:G23))/(2+COUNT(AP!E23:G23)),2),ROUNDUP((IF((I23*2+E$5)/3&lt;1, 0, ROUNDUP((I23*2+E$5)/3,2))*3+SUM(AP!E23:G23))/(3+COUNT(AP!E23:G23)),2))))</f>
        <v/>
      </c>
      <c r="F23" s="512" t="str">
        <f>IF(AP!$G23="","",IF(OR(COUNT(F23:H23)=0,L23=""),"",IF(diNo!K19="BOS", ROUNDUP((IF((J23*2+F$5)/3&lt;1, 0, ROUNDUP((J23*2+F$5)/3,2))*2+SUM(AP!F23:H23))/(2+COUNT(AP!F23:H23)),2),ROUNDUP((IF((J23*2+F$5)/3&lt;1, 0, ROUNDUP((J23*2+F$5)/3,2))*3+SUM(AP!F23:H23))/(3+COUNT(AP!F23:H23)),2))))</f>
        <v/>
      </c>
      <c r="G23" s="512" t="str">
        <f>IF(AP!$G23="","",IF(OR(COUNT(G23:I23)=0,M23=""),"",IF(diNo!L19="BOS", ROUNDUP((IF((K23*2+G$5)/3&lt;1, 0, ROUNDUP((K23*2+G$5)/3,2))*2+SUM(AP!G23:I23))/(2+COUNT(AP!G23:I23)),2),ROUNDUP((IF((K23*2+G$5)/3&lt;1, 0, ROUNDUP((K23*2+G$5)/3,2))*3+SUM(AP!G23:I23))/(3+COUNT(AP!G23:I23)),2))))</f>
        <v/>
      </c>
      <c r="H23" s="512" t="str">
        <f>IF(AP!$G23="","",IF(OR(COUNT(H23:J23)=0,N23=""),"",IF(diNo!M19="BOS", ROUNDUP((IF((L23*2+H$5)/3&lt;1, 0, ROUNDUP((L23*2+H$5)/3,2))*2+SUM(AP!H23:J23))/(2+COUNT(AP!H23:J23)),2),ROUNDUP((IF((L23*2+H$5)/3&lt;1, 0, ROUNDUP((L23*2+H$5)/3,2))*3+SUM(AP!H23:J23))/(3+COUNT(AP!H23:J23)),2))))</f>
        <v/>
      </c>
      <c r="I23" s="197" t="str">
        <f>IF(AP!$G23="","",IF(OR(COUNT(I23:K23)=0,O23=""),"",IF(diNo!N19="BOS", ROUNDUP((IF((M23*2+I$5)/3&lt;1, 0, ROUNDUP((M23*2+I$5)/3,2))*2+SUM(AP!I23:K23))/(2+COUNT(AP!I23:K23)),2),ROUNDUP((IF((M23*2+I$5)/3&lt;1, 0, ROUNDUP((M23*2+I$5)/3,2))*3+SUM(AP!I23:K23))/(3+COUNT(AP!I23:K23)),2))))</f>
        <v/>
      </c>
      <c r="J23" s="197" t="str">
        <f>IF(AP!$G23="","",IF(OR(COUNT(J23:L23)=0,P23=""),"",IF(diNo!O19="BOS", ROUNDUP((IF((N23*2+J$5)/3&lt;1, 0, ROUNDUP((N23*2+J$5)/3,2))*2+SUM(AP!J23:L23))/(2+COUNT(AP!J23:L23)),2),ROUNDUP((IF((N23*2+J$5)/3&lt;1, 0, ROUNDUP((N23*2+J$5)/3,2))*3+SUM(AP!J23:L23))/(3+COUNT(AP!J23:L23)),2))))</f>
        <v/>
      </c>
      <c r="K23" s="197" t="str">
        <f>IF(AP!$G23="","",IF(OR(COUNT(K23:M23)=0,Q23=""),"",IF(diNo!P19="BOS", ROUNDUP((IF((O23*2+K$5)/3&lt;1, 0, ROUNDUP((O23*2+K$5)/3,2))*2+SUM(AP!K23:M23))/(2+COUNT(AP!K23:M23)),2),ROUNDUP((IF((O23*2+K$5)/3&lt;1, 0, ROUNDUP((O23*2+K$5)/3,2))*3+SUM(AP!K23:M23))/(3+COUNT(AP!K23:M23)),2))))</f>
        <v/>
      </c>
      <c r="L23" s="512" t="str">
        <f>IF(AP!$G23="","",IF(OR(COUNT(L23:N23)=0,R23=""),"",IF(diNo!Q19="BOS", ROUNDUP((IF((P23*2+L$5)/3&lt;1, 0, ROUNDUP((P23*2+L$5)/3,2))*2+SUM(AP!L23:N23))/(2+COUNT(AP!L23:N23)),2),ROUNDUP((IF((P23*2+L$5)/3&lt;1, 0, ROUNDUP((P23*2+L$5)/3,2))*3+SUM(AP!L23:N23))/(3+COUNT(AP!L23:N23)),2))))</f>
        <v/>
      </c>
      <c r="M23" s="512" t="str">
        <f>IF(AP!$G23="","",IF(OR(COUNT(M23:O23)=0,S23=""),"",IF(diNo!R19="BOS", ROUNDUP((IF((Q23*2+M$5)/3&lt;1, 0, ROUNDUP((Q23*2+M$5)/3,2))*2+SUM(AP!M23:O23))/(2+COUNT(AP!M23:O23)),2),ROUNDUP((IF((Q23*2+M$5)/3&lt;1, 0, ROUNDUP((Q23*2+M$5)/3,2))*3+SUM(AP!M23:O23))/(3+COUNT(AP!M23:O23)),2))))</f>
        <v/>
      </c>
      <c r="N23" s="512" t="str">
        <f>IF(AP!$G23="","",IF(OR(COUNT(N23:P23)=0,T23=""),"",IF(diNo!S19="BOS", ROUNDUP((IF((R23*2+N$5)/3&lt;1, 0, ROUNDUP((R23*2+N$5)/3,2))*2+SUM(AP!N23:P23))/(2+COUNT(AP!N23:P23)),2),ROUNDUP((IF((R23*2+N$5)/3&lt;1, 0, ROUNDUP((R23*2+N$5)/3,2))*3+SUM(AP!N23:P23))/(3+COUNT(AP!N23:P23)),2))))</f>
        <v/>
      </c>
      <c r="O23" s="513" t="str">
        <f>IF(AP!$G23="","",IF(OR(COUNT(O23:Q23)=0,U23=""),"",IF(diNo!T19="BOS", ROUNDUP((IF((S23*2+O$5)/3&lt;1, 0, ROUNDUP((S23*2+O$5)/3,2))*2+SUM(AP!O23:Q23))/(2+COUNT(AP!O23:Q23)),2),ROUNDUP((IF((S23*2+O$5)/3&lt;1, 0, ROUNDUP((S23*2+O$5)/3,2))*3+SUM(AP!O23:Q23))/(3+COUNT(AP!O23:Q23)),2))))</f>
        <v/>
      </c>
      <c r="P23" s="513" t="str">
        <f>IF(AP!$G23="","",IF(OR(COUNT(P23:R23)=0,V23=""),"",IF(diNo!U19="BOS", ROUNDUP((IF((T23*2+P$5)/3&lt;1, 0, ROUNDUP((T23*2+P$5)/3,2))*2+SUM(AP!P23:R23))/(2+COUNT(AP!P23:R23)),2),ROUNDUP((IF((T23*2+P$5)/3&lt;1, 0, ROUNDUP((T23*2+P$5)/3,2))*3+SUM(AP!P23:R23))/(3+COUNT(AP!P23:R23)),2))))</f>
        <v/>
      </c>
      <c r="Q23" s="513" t="str">
        <f>IF(AP!$G23="","",IF(OR(COUNT(Q23:S23)=0,W23=""),"",IF(diNo!V19="BOS", ROUNDUP((IF((U23*2+Q$5)/3&lt;1, 0, ROUNDUP((U23*2+Q$5)/3,2))*2+SUM(AP!Q23:S23))/(2+COUNT(AP!Q23:S23)),2),ROUNDUP((IF((U23*2+Q$5)/3&lt;1, 0, ROUNDUP((U23*2+Q$5)/3,2))*3+SUM(AP!Q23:S23))/(3+COUNT(AP!Q23:S23)),2))))</f>
        <v/>
      </c>
      <c r="R23" s="512" t="str">
        <f>IF(AP!$G23="","",IF(OR(COUNT(R23:T23)=0,X23=""),"",IF(diNo!W19="BOS", ROUNDUP((IF((V23*2+R$5)/3&lt;1, 0, ROUNDUP((V23*2+R$5)/3,2))*2+SUM(AP!R23:T23))/(2+COUNT(AP!R23:T23)),2),ROUNDUP((IF((V23*2+R$5)/3&lt;1, 0, ROUNDUP((V23*2+R$5)/3,2))*3+SUM(AP!R23:T23))/(3+COUNT(AP!R23:T23)),2))))</f>
        <v/>
      </c>
    </row>
    <row r="24" spans="1:18" x14ac:dyDescent="0.2">
      <c r="A24" s="2" t="str">
        <f>IF(+AP!B24="","",AP!B24)</f>
        <v/>
      </c>
      <c r="B24" s="196" t="str">
        <f>IF(AP!G24="","",IF(ROUNDUP((AP!G24+AP!E24)/2,2)&lt;1,0,ROUNDUP((AP!G24+AP!E24)/2,2)))</f>
        <v/>
      </c>
      <c r="C24" s="197" t="str">
        <f>IF(AP!$G24="","",IF(OR(COUNT(C24:E24)=0,I24=""),"",IF(diNo!H20="BOS", ROUNDUP((IF((G24*2+C$5)/3&lt;1, 0, ROUNDUP((G24*2+C$5)/3,2))*2+SUM(AP!C24:E24))/(2+COUNT(AP!C24:E24)),2),ROUNDUP((IF((G24*2+C$5)/3&lt;1, 0, ROUNDUP((G24*2+C$5)/3,2))*3+SUM(AP!C24:E24))/(3+COUNT(AP!C24:E24)),2))))</f>
        <v/>
      </c>
      <c r="D24" s="197" t="str">
        <f>IF(AP!$G24="","",IF(OR(COUNT(D24:F24)=0,J24=""),"",IF(diNo!I20="BOS", ROUNDUP((IF((H24*2+D$5)/3&lt;1, 0, ROUNDUP((H24*2+D$5)/3,2))*2+SUM(AP!D24:F24))/(2+COUNT(AP!D24:F24)),2),ROUNDUP((IF((H24*2+D$5)/3&lt;1, 0, ROUNDUP((H24*2+D$5)/3,2))*3+SUM(AP!D24:F24))/(3+COUNT(AP!D24:F24)),2))))</f>
        <v/>
      </c>
      <c r="E24" s="197" t="str">
        <f>IF(AP!$G24="","",IF(OR(COUNT(E24:G24)=0,K24=""),"",IF(diNo!J20="BOS", ROUNDUP((IF((I24*2+E$5)/3&lt;1, 0, ROUNDUP((I24*2+E$5)/3,2))*2+SUM(AP!E24:G24))/(2+COUNT(AP!E24:G24)),2),ROUNDUP((IF((I24*2+E$5)/3&lt;1, 0, ROUNDUP((I24*2+E$5)/3,2))*3+SUM(AP!E24:G24))/(3+COUNT(AP!E24:G24)),2))))</f>
        <v/>
      </c>
      <c r="F24" s="512" t="str">
        <f>IF(AP!$G24="","",IF(OR(COUNT(F24:H24)=0,L24=""),"",IF(diNo!K20="BOS", ROUNDUP((IF((J24*2+F$5)/3&lt;1, 0, ROUNDUP((J24*2+F$5)/3,2))*2+SUM(AP!F24:H24))/(2+COUNT(AP!F24:H24)),2),ROUNDUP((IF((J24*2+F$5)/3&lt;1, 0, ROUNDUP((J24*2+F$5)/3,2))*3+SUM(AP!F24:H24))/(3+COUNT(AP!F24:H24)),2))))</f>
        <v/>
      </c>
      <c r="G24" s="512" t="str">
        <f>IF(AP!$G24="","",IF(OR(COUNT(G24:I24)=0,M24=""),"",IF(diNo!L20="BOS", ROUNDUP((IF((K24*2+G$5)/3&lt;1, 0, ROUNDUP((K24*2+G$5)/3,2))*2+SUM(AP!G24:I24))/(2+COUNT(AP!G24:I24)),2),ROUNDUP((IF((K24*2+G$5)/3&lt;1, 0, ROUNDUP((K24*2+G$5)/3,2))*3+SUM(AP!G24:I24))/(3+COUNT(AP!G24:I24)),2))))</f>
        <v/>
      </c>
      <c r="H24" s="512" t="str">
        <f>IF(AP!$G24="","",IF(OR(COUNT(H24:J24)=0,N24=""),"",IF(diNo!M20="BOS", ROUNDUP((IF((L24*2+H$5)/3&lt;1, 0, ROUNDUP((L24*2+H$5)/3,2))*2+SUM(AP!H24:J24))/(2+COUNT(AP!H24:J24)),2),ROUNDUP((IF((L24*2+H$5)/3&lt;1, 0, ROUNDUP((L24*2+H$5)/3,2))*3+SUM(AP!H24:J24))/(3+COUNT(AP!H24:J24)),2))))</f>
        <v/>
      </c>
      <c r="I24" s="197" t="str">
        <f>IF(AP!$G24="","",IF(OR(COUNT(I24:K24)=0,O24=""),"",IF(diNo!N20="BOS", ROUNDUP((IF((M24*2+I$5)/3&lt;1, 0, ROUNDUP((M24*2+I$5)/3,2))*2+SUM(AP!I24:K24))/(2+COUNT(AP!I24:K24)),2),ROUNDUP((IF((M24*2+I$5)/3&lt;1, 0, ROUNDUP((M24*2+I$5)/3,2))*3+SUM(AP!I24:K24))/(3+COUNT(AP!I24:K24)),2))))</f>
        <v/>
      </c>
      <c r="J24" s="197" t="str">
        <f>IF(AP!$G24="","",IF(OR(COUNT(J24:L24)=0,P24=""),"",IF(diNo!O20="BOS", ROUNDUP((IF((N24*2+J$5)/3&lt;1, 0, ROUNDUP((N24*2+J$5)/3,2))*2+SUM(AP!J24:L24))/(2+COUNT(AP!J24:L24)),2),ROUNDUP((IF((N24*2+J$5)/3&lt;1, 0, ROUNDUP((N24*2+J$5)/3,2))*3+SUM(AP!J24:L24))/(3+COUNT(AP!J24:L24)),2))))</f>
        <v/>
      </c>
      <c r="K24" s="197" t="str">
        <f>IF(AP!$G24="","",IF(OR(COUNT(K24:M24)=0,Q24=""),"",IF(diNo!P20="BOS", ROUNDUP((IF((O24*2+K$5)/3&lt;1, 0, ROUNDUP((O24*2+K$5)/3,2))*2+SUM(AP!K24:M24))/(2+COUNT(AP!K24:M24)),2),ROUNDUP((IF((O24*2+K$5)/3&lt;1, 0, ROUNDUP((O24*2+K$5)/3,2))*3+SUM(AP!K24:M24))/(3+COUNT(AP!K24:M24)),2))))</f>
        <v/>
      </c>
      <c r="L24" s="512" t="str">
        <f>IF(AP!$G24="","",IF(OR(COUNT(L24:N24)=0,R24=""),"",IF(diNo!Q20="BOS", ROUNDUP((IF((P24*2+L$5)/3&lt;1, 0, ROUNDUP((P24*2+L$5)/3,2))*2+SUM(AP!L24:N24))/(2+COUNT(AP!L24:N24)),2),ROUNDUP((IF((P24*2+L$5)/3&lt;1, 0, ROUNDUP((P24*2+L$5)/3,2))*3+SUM(AP!L24:N24))/(3+COUNT(AP!L24:N24)),2))))</f>
        <v/>
      </c>
      <c r="M24" s="512" t="str">
        <f>IF(AP!$G24="","",IF(OR(COUNT(M24:O24)=0,S24=""),"",IF(diNo!R20="BOS", ROUNDUP((IF((Q24*2+M$5)/3&lt;1, 0, ROUNDUP((Q24*2+M$5)/3,2))*2+SUM(AP!M24:O24))/(2+COUNT(AP!M24:O24)),2),ROUNDUP((IF((Q24*2+M$5)/3&lt;1, 0, ROUNDUP((Q24*2+M$5)/3,2))*3+SUM(AP!M24:O24))/(3+COUNT(AP!M24:O24)),2))))</f>
        <v/>
      </c>
      <c r="N24" s="512" t="str">
        <f>IF(AP!$G24="","",IF(OR(COUNT(N24:P24)=0,T24=""),"",IF(diNo!S20="BOS", ROUNDUP((IF((R24*2+N$5)/3&lt;1, 0, ROUNDUP((R24*2+N$5)/3,2))*2+SUM(AP!N24:P24))/(2+COUNT(AP!N24:P24)),2),ROUNDUP((IF((R24*2+N$5)/3&lt;1, 0, ROUNDUP((R24*2+N$5)/3,2))*3+SUM(AP!N24:P24))/(3+COUNT(AP!N24:P24)),2))))</f>
        <v/>
      </c>
      <c r="O24" s="513" t="str">
        <f>IF(AP!$G24="","",IF(OR(COUNT(O24:Q24)=0,U24=""),"",IF(diNo!T20="BOS", ROUNDUP((IF((S24*2+O$5)/3&lt;1, 0, ROUNDUP((S24*2+O$5)/3,2))*2+SUM(AP!O24:Q24))/(2+COUNT(AP!O24:Q24)),2),ROUNDUP((IF((S24*2+O$5)/3&lt;1, 0, ROUNDUP((S24*2+O$5)/3,2))*3+SUM(AP!O24:Q24))/(3+COUNT(AP!O24:Q24)),2))))</f>
        <v/>
      </c>
      <c r="P24" s="513" t="str">
        <f>IF(AP!$G24="","",IF(OR(COUNT(P24:R24)=0,V24=""),"",IF(diNo!U20="BOS", ROUNDUP((IF((T24*2+P$5)/3&lt;1, 0, ROUNDUP((T24*2+P$5)/3,2))*2+SUM(AP!P24:R24))/(2+COUNT(AP!P24:R24)),2),ROUNDUP((IF((T24*2+P$5)/3&lt;1, 0, ROUNDUP((T24*2+P$5)/3,2))*3+SUM(AP!P24:R24))/(3+COUNT(AP!P24:R24)),2))))</f>
        <v/>
      </c>
      <c r="Q24" s="513" t="str">
        <f>IF(AP!$G24="","",IF(OR(COUNT(Q24:S24)=0,W24=""),"",IF(diNo!V20="BOS", ROUNDUP((IF((U24*2+Q$5)/3&lt;1, 0, ROUNDUP((U24*2+Q$5)/3,2))*2+SUM(AP!Q24:S24))/(2+COUNT(AP!Q24:S24)),2),ROUNDUP((IF((U24*2+Q$5)/3&lt;1, 0, ROUNDUP((U24*2+Q$5)/3,2))*3+SUM(AP!Q24:S24))/(3+COUNT(AP!Q24:S24)),2))))</f>
        <v/>
      </c>
      <c r="R24" s="512" t="str">
        <f>IF(AP!$G24="","",IF(OR(COUNT(R24:T24)=0,X24=""),"",IF(diNo!W20="BOS", ROUNDUP((IF((V24*2+R$5)/3&lt;1, 0, ROUNDUP((V24*2+R$5)/3,2))*2+SUM(AP!R24:T24))/(2+COUNT(AP!R24:T24)),2),ROUNDUP((IF((V24*2+R$5)/3&lt;1, 0, ROUNDUP((V24*2+R$5)/3,2))*3+SUM(AP!R24:T24))/(3+COUNT(AP!R24:T24)),2))))</f>
        <v/>
      </c>
    </row>
    <row r="25" spans="1:18" x14ac:dyDescent="0.2">
      <c r="A25" s="2" t="str">
        <f>IF(+AP!B25="","",AP!B25)</f>
        <v/>
      </c>
      <c r="B25" s="196" t="str">
        <f>IF(AP!G25="","",IF(ROUNDUP((AP!G25+AP!E25)/2,2)&lt;1,0,ROUNDUP((AP!G25+AP!E25)/2,2)))</f>
        <v/>
      </c>
      <c r="C25" s="197" t="str">
        <f>IF(AP!$G25="","",IF(OR(COUNT(C25:E25)=0,I25=""),"",IF(diNo!H21="BOS", ROUNDUP((IF((G25*2+C$5)/3&lt;1, 0, ROUNDUP((G25*2+C$5)/3,2))*2+SUM(AP!C25:E25))/(2+COUNT(AP!C25:E25)),2),ROUNDUP((IF((G25*2+C$5)/3&lt;1, 0, ROUNDUP((G25*2+C$5)/3,2))*3+SUM(AP!C25:E25))/(3+COUNT(AP!C25:E25)),2))))</f>
        <v/>
      </c>
      <c r="D25" s="197" t="str">
        <f>IF(AP!$G25="","",IF(OR(COUNT(D25:F25)=0,J25=""),"",IF(diNo!I21="BOS", ROUNDUP((IF((H25*2+D$5)/3&lt;1, 0, ROUNDUP((H25*2+D$5)/3,2))*2+SUM(AP!D25:F25))/(2+COUNT(AP!D25:F25)),2),ROUNDUP((IF((H25*2+D$5)/3&lt;1, 0, ROUNDUP((H25*2+D$5)/3,2))*3+SUM(AP!D25:F25))/(3+COUNT(AP!D25:F25)),2))))</f>
        <v/>
      </c>
      <c r="E25" s="197" t="str">
        <f>IF(AP!$G25="","",IF(OR(COUNT(E25:G25)=0,K25=""),"",IF(diNo!J21="BOS", ROUNDUP((IF((I25*2+E$5)/3&lt;1, 0, ROUNDUP((I25*2+E$5)/3,2))*2+SUM(AP!E25:G25))/(2+COUNT(AP!E25:G25)),2),ROUNDUP((IF((I25*2+E$5)/3&lt;1, 0, ROUNDUP((I25*2+E$5)/3,2))*3+SUM(AP!E25:G25))/(3+COUNT(AP!E25:G25)),2))))</f>
        <v/>
      </c>
      <c r="F25" s="512" t="str">
        <f>IF(AP!$G25="","",IF(OR(COUNT(F25:H25)=0,L25=""),"",IF(diNo!K21="BOS", ROUNDUP((IF((J25*2+F$5)/3&lt;1, 0, ROUNDUP((J25*2+F$5)/3,2))*2+SUM(AP!F25:H25))/(2+COUNT(AP!F25:H25)),2),ROUNDUP((IF((J25*2+F$5)/3&lt;1, 0, ROUNDUP((J25*2+F$5)/3,2))*3+SUM(AP!F25:H25))/(3+COUNT(AP!F25:H25)),2))))</f>
        <v/>
      </c>
      <c r="G25" s="512" t="str">
        <f>IF(AP!$G25="","",IF(OR(COUNT(G25:I25)=0,M25=""),"",IF(diNo!L21="BOS", ROUNDUP((IF((K25*2+G$5)/3&lt;1, 0, ROUNDUP((K25*2+G$5)/3,2))*2+SUM(AP!G25:I25))/(2+COUNT(AP!G25:I25)),2),ROUNDUP((IF((K25*2+G$5)/3&lt;1, 0, ROUNDUP((K25*2+G$5)/3,2))*3+SUM(AP!G25:I25))/(3+COUNT(AP!G25:I25)),2))))</f>
        <v/>
      </c>
      <c r="H25" s="512" t="str">
        <f>IF(AP!$G25="","",IF(OR(COUNT(H25:J25)=0,N25=""),"",IF(diNo!M21="BOS", ROUNDUP((IF((L25*2+H$5)/3&lt;1, 0, ROUNDUP((L25*2+H$5)/3,2))*2+SUM(AP!H25:J25))/(2+COUNT(AP!H25:J25)),2),ROUNDUP((IF((L25*2+H$5)/3&lt;1, 0, ROUNDUP((L25*2+H$5)/3,2))*3+SUM(AP!H25:J25))/(3+COUNT(AP!H25:J25)),2))))</f>
        <v/>
      </c>
      <c r="I25" s="197" t="str">
        <f>IF(AP!$G25="","",IF(OR(COUNT(I25:K25)=0,O25=""),"",IF(diNo!N21="BOS", ROUNDUP((IF((M25*2+I$5)/3&lt;1, 0, ROUNDUP((M25*2+I$5)/3,2))*2+SUM(AP!I25:K25))/(2+COUNT(AP!I25:K25)),2),ROUNDUP((IF((M25*2+I$5)/3&lt;1, 0, ROUNDUP((M25*2+I$5)/3,2))*3+SUM(AP!I25:K25))/(3+COUNT(AP!I25:K25)),2))))</f>
        <v/>
      </c>
      <c r="J25" s="197" t="str">
        <f>IF(AP!$G25="","",IF(OR(COUNT(J25:L25)=0,P25=""),"",IF(diNo!O21="BOS", ROUNDUP((IF((N25*2+J$5)/3&lt;1, 0, ROUNDUP((N25*2+J$5)/3,2))*2+SUM(AP!J25:L25))/(2+COUNT(AP!J25:L25)),2),ROUNDUP((IF((N25*2+J$5)/3&lt;1, 0, ROUNDUP((N25*2+J$5)/3,2))*3+SUM(AP!J25:L25))/(3+COUNT(AP!J25:L25)),2))))</f>
        <v/>
      </c>
      <c r="K25" s="197" t="str">
        <f>IF(AP!$G25="","",IF(OR(COUNT(K25:M25)=0,Q25=""),"",IF(diNo!P21="BOS", ROUNDUP((IF((O25*2+K$5)/3&lt;1, 0, ROUNDUP((O25*2+K$5)/3,2))*2+SUM(AP!K25:M25))/(2+COUNT(AP!K25:M25)),2),ROUNDUP((IF((O25*2+K$5)/3&lt;1, 0, ROUNDUP((O25*2+K$5)/3,2))*3+SUM(AP!K25:M25))/(3+COUNT(AP!K25:M25)),2))))</f>
        <v/>
      </c>
      <c r="L25" s="512" t="str">
        <f>IF(AP!$G25="","",IF(OR(COUNT(L25:N25)=0,R25=""),"",IF(diNo!Q21="BOS", ROUNDUP((IF((P25*2+L$5)/3&lt;1, 0, ROUNDUP((P25*2+L$5)/3,2))*2+SUM(AP!L25:N25))/(2+COUNT(AP!L25:N25)),2),ROUNDUP((IF((P25*2+L$5)/3&lt;1, 0, ROUNDUP((P25*2+L$5)/3,2))*3+SUM(AP!L25:N25))/(3+COUNT(AP!L25:N25)),2))))</f>
        <v/>
      </c>
      <c r="M25" s="512" t="str">
        <f>IF(AP!$G25="","",IF(OR(COUNT(M25:O25)=0,S25=""),"",IF(diNo!R21="BOS", ROUNDUP((IF((Q25*2+M$5)/3&lt;1, 0, ROUNDUP((Q25*2+M$5)/3,2))*2+SUM(AP!M25:O25))/(2+COUNT(AP!M25:O25)),2),ROUNDUP((IF((Q25*2+M$5)/3&lt;1, 0, ROUNDUP((Q25*2+M$5)/3,2))*3+SUM(AP!M25:O25))/(3+COUNT(AP!M25:O25)),2))))</f>
        <v/>
      </c>
      <c r="N25" s="512" t="str">
        <f>IF(AP!$G25="","",IF(OR(COUNT(N25:P25)=0,T25=""),"",IF(diNo!S21="BOS", ROUNDUP((IF((R25*2+N$5)/3&lt;1, 0, ROUNDUP((R25*2+N$5)/3,2))*2+SUM(AP!N25:P25))/(2+COUNT(AP!N25:P25)),2),ROUNDUP((IF((R25*2+N$5)/3&lt;1, 0, ROUNDUP((R25*2+N$5)/3,2))*3+SUM(AP!N25:P25))/(3+COUNT(AP!N25:P25)),2))))</f>
        <v/>
      </c>
      <c r="O25" s="513" t="str">
        <f>IF(AP!$G25="","",IF(OR(COUNT(O25:Q25)=0,U25=""),"",IF(diNo!T21="BOS", ROUNDUP((IF((S25*2+O$5)/3&lt;1, 0, ROUNDUP((S25*2+O$5)/3,2))*2+SUM(AP!O25:Q25))/(2+COUNT(AP!O25:Q25)),2),ROUNDUP((IF((S25*2+O$5)/3&lt;1, 0, ROUNDUP((S25*2+O$5)/3,2))*3+SUM(AP!O25:Q25))/(3+COUNT(AP!O25:Q25)),2))))</f>
        <v/>
      </c>
      <c r="P25" s="513" t="str">
        <f>IF(AP!$G25="","",IF(OR(COUNT(P25:R25)=0,V25=""),"",IF(diNo!U21="BOS", ROUNDUP((IF((T25*2+P$5)/3&lt;1, 0, ROUNDUP((T25*2+P$5)/3,2))*2+SUM(AP!P25:R25))/(2+COUNT(AP!P25:R25)),2),ROUNDUP((IF((T25*2+P$5)/3&lt;1, 0, ROUNDUP((T25*2+P$5)/3,2))*3+SUM(AP!P25:R25))/(3+COUNT(AP!P25:R25)),2))))</f>
        <v/>
      </c>
      <c r="Q25" s="513" t="str">
        <f>IF(AP!$G25="","",IF(OR(COUNT(Q25:S25)=0,W25=""),"",IF(diNo!V21="BOS", ROUNDUP((IF((U25*2+Q$5)/3&lt;1, 0, ROUNDUP((U25*2+Q$5)/3,2))*2+SUM(AP!Q25:S25))/(2+COUNT(AP!Q25:S25)),2),ROUNDUP((IF((U25*2+Q$5)/3&lt;1, 0, ROUNDUP((U25*2+Q$5)/3,2))*3+SUM(AP!Q25:S25))/(3+COUNT(AP!Q25:S25)),2))))</f>
        <v/>
      </c>
      <c r="R25" s="512" t="str">
        <f>IF(AP!$G25="","",IF(OR(COUNT(R25:T25)=0,X25=""),"",IF(diNo!W21="BOS", ROUNDUP((IF((V25*2+R$5)/3&lt;1, 0, ROUNDUP((V25*2+R$5)/3,2))*2+SUM(AP!R25:T25))/(2+COUNT(AP!R25:T25)),2),ROUNDUP((IF((V25*2+R$5)/3&lt;1, 0, ROUNDUP((V25*2+R$5)/3,2))*3+SUM(AP!R25:T25))/(3+COUNT(AP!R25:T25)),2))))</f>
        <v/>
      </c>
    </row>
    <row r="26" spans="1:18" x14ac:dyDescent="0.2">
      <c r="A26" s="2" t="str">
        <f>IF(+AP!B26="","",AP!B26)</f>
        <v/>
      </c>
      <c r="B26" s="196" t="str">
        <f>IF(AP!G26="","",IF(ROUNDUP((AP!G26+AP!E26)/2,2)&lt;1,0,ROUNDUP((AP!G26+AP!E26)/2,2)))</f>
        <v/>
      </c>
      <c r="C26" s="197" t="str">
        <f>IF(AP!$G26="","",IF(OR(COUNT(C26:E26)=0,I26=""),"",IF(diNo!H22="BOS", ROUNDUP((IF((G26*2+C$5)/3&lt;1, 0, ROUNDUP((G26*2+C$5)/3,2))*2+SUM(AP!C26:E26))/(2+COUNT(AP!C26:E26)),2),ROUNDUP((IF((G26*2+C$5)/3&lt;1, 0, ROUNDUP((G26*2+C$5)/3,2))*3+SUM(AP!C26:E26))/(3+COUNT(AP!C26:E26)),2))))</f>
        <v/>
      </c>
      <c r="D26" s="197" t="str">
        <f>IF(AP!$G26="","",IF(OR(COUNT(D26:F26)=0,J26=""),"",IF(diNo!I22="BOS", ROUNDUP((IF((H26*2+D$5)/3&lt;1, 0, ROUNDUP((H26*2+D$5)/3,2))*2+SUM(AP!D26:F26))/(2+COUNT(AP!D26:F26)),2),ROUNDUP((IF((H26*2+D$5)/3&lt;1, 0, ROUNDUP((H26*2+D$5)/3,2))*3+SUM(AP!D26:F26))/(3+COUNT(AP!D26:F26)),2))))</f>
        <v/>
      </c>
      <c r="E26" s="197" t="str">
        <f>IF(AP!$G26="","",IF(OR(COUNT(E26:G26)=0,K26=""),"",IF(diNo!J22="BOS", ROUNDUP((IF((I26*2+E$5)/3&lt;1, 0, ROUNDUP((I26*2+E$5)/3,2))*2+SUM(AP!E26:G26))/(2+COUNT(AP!E26:G26)),2),ROUNDUP((IF((I26*2+E$5)/3&lt;1, 0, ROUNDUP((I26*2+E$5)/3,2))*3+SUM(AP!E26:G26))/(3+COUNT(AP!E26:G26)),2))))</f>
        <v/>
      </c>
      <c r="F26" s="512" t="str">
        <f>IF(AP!$G26="","",IF(OR(COUNT(F26:H26)=0,L26=""),"",IF(diNo!K22="BOS", ROUNDUP((IF((J26*2+F$5)/3&lt;1, 0, ROUNDUP((J26*2+F$5)/3,2))*2+SUM(AP!F26:H26))/(2+COUNT(AP!F26:H26)),2),ROUNDUP((IF((J26*2+F$5)/3&lt;1, 0, ROUNDUP((J26*2+F$5)/3,2))*3+SUM(AP!F26:H26))/(3+COUNT(AP!F26:H26)),2))))</f>
        <v/>
      </c>
      <c r="G26" s="512" t="str">
        <f>IF(AP!$G26="","",IF(OR(COUNT(G26:I26)=0,M26=""),"",IF(diNo!L22="BOS", ROUNDUP((IF((K26*2+G$5)/3&lt;1, 0, ROUNDUP((K26*2+G$5)/3,2))*2+SUM(AP!G26:I26))/(2+COUNT(AP!G26:I26)),2),ROUNDUP((IF((K26*2+G$5)/3&lt;1, 0, ROUNDUP((K26*2+G$5)/3,2))*3+SUM(AP!G26:I26))/(3+COUNT(AP!G26:I26)),2))))</f>
        <v/>
      </c>
      <c r="H26" s="512" t="str">
        <f>IF(AP!$G26="","",IF(OR(COUNT(H26:J26)=0,N26=""),"",IF(diNo!M22="BOS", ROUNDUP((IF((L26*2+H$5)/3&lt;1, 0, ROUNDUP((L26*2+H$5)/3,2))*2+SUM(AP!H26:J26))/(2+COUNT(AP!H26:J26)),2),ROUNDUP((IF((L26*2+H$5)/3&lt;1, 0, ROUNDUP((L26*2+H$5)/3,2))*3+SUM(AP!H26:J26))/(3+COUNT(AP!H26:J26)),2))))</f>
        <v/>
      </c>
      <c r="I26" s="197" t="str">
        <f>IF(AP!$G26="","",IF(OR(COUNT(I26:K26)=0,O26=""),"",IF(diNo!N22="BOS", ROUNDUP((IF((M26*2+I$5)/3&lt;1, 0, ROUNDUP((M26*2+I$5)/3,2))*2+SUM(AP!I26:K26))/(2+COUNT(AP!I26:K26)),2),ROUNDUP((IF((M26*2+I$5)/3&lt;1, 0, ROUNDUP((M26*2+I$5)/3,2))*3+SUM(AP!I26:K26))/(3+COUNT(AP!I26:K26)),2))))</f>
        <v/>
      </c>
      <c r="J26" s="197" t="str">
        <f>IF(AP!$G26="","",IF(OR(COUNT(J26:L26)=0,P26=""),"",IF(diNo!O22="BOS", ROUNDUP((IF((N26*2+J$5)/3&lt;1, 0, ROUNDUP((N26*2+J$5)/3,2))*2+SUM(AP!J26:L26))/(2+COUNT(AP!J26:L26)),2),ROUNDUP((IF((N26*2+J$5)/3&lt;1, 0, ROUNDUP((N26*2+J$5)/3,2))*3+SUM(AP!J26:L26))/(3+COUNT(AP!J26:L26)),2))))</f>
        <v/>
      </c>
      <c r="K26" s="197" t="str">
        <f>IF(AP!$G26="","",IF(OR(COUNT(K26:M26)=0,Q26=""),"",IF(diNo!P22="BOS", ROUNDUP((IF((O26*2+K$5)/3&lt;1, 0, ROUNDUP((O26*2+K$5)/3,2))*2+SUM(AP!K26:M26))/(2+COUNT(AP!K26:M26)),2),ROUNDUP((IF((O26*2+K$5)/3&lt;1, 0, ROUNDUP((O26*2+K$5)/3,2))*3+SUM(AP!K26:M26))/(3+COUNT(AP!K26:M26)),2))))</f>
        <v/>
      </c>
      <c r="L26" s="512" t="str">
        <f>IF(AP!$G26="","",IF(OR(COUNT(L26:N26)=0,R26=""),"",IF(diNo!Q22="BOS", ROUNDUP((IF((P26*2+L$5)/3&lt;1, 0, ROUNDUP((P26*2+L$5)/3,2))*2+SUM(AP!L26:N26))/(2+COUNT(AP!L26:N26)),2),ROUNDUP((IF((P26*2+L$5)/3&lt;1, 0, ROUNDUP((P26*2+L$5)/3,2))*3+SUM(AP!L26:N26))/(3+COUNT(AP!L26:N26)),2))))</f>
        <v/>
      </c>
      <c r="M26" s="512" t="str">
        <f>IF(AP!$G26="","",IF(OR(COUNT(M26:O26)=0,S26=""),"",IF(diNo!R22="BOS", ROUNDUP((IF((Q26*2+M$5)/3&lt;1, 0, ROUNDUP((Q26*2+M$5)/3,2))*2+SUM(AP!M26:O26))/(2+COUNT(AP!M26:O26)),2),ROUNDUP((IF((Q26*2+M$5)/3&lt;1, 0, ROUNDUP((Q26*2+M$5)/3,2))*3+SUM(AP!M26:O26))/(3+COUNT(AP!M26:O26)),2))))</f>
        <v/>
      </c>
      <c r="N26" s="512" t="str">
        <f>IF(AP!$G26="","",IF(OR(COUNT(N26:P26)=0,T26=""),"",IF(diNo!S22="BOS", ROUNDUP((IF((R26*2+N$5)/3&lt;1, 0, ROUNDUP((R26*2+N$5)/3,2))*2+SUM(AP!N26:P26))/(2+COUNT(AP!N26:P26)),2),ROUNDUP((IF((R26*2+N$5)/3&lt;1, 0, ROUNDUP((R26*2+N$5)/3,2))*3+SUM(AP!N26:P26))/(3+COUNT(AP!N26:P26)),2))))</f>
        <v/>
      </c>
      <c r="O26" s="513" t="str">
        <f>IF(AP!$G26="","",IF(OR(COUNT(O26:Q26)=0,U26=""),"",IF(diNo!T22="BOS", ROUNDUP((IF((S26*2+O$5)/3&lt;1, 0, ROUNDUP((S26*2+O$5)/3,2))*2+SUM(AP!O26:Q26))/(2+COUNT(AP!O26:Q26)),2),ROUNDUP((IF((S26*2+O$5)/3&lt;1, 0, ROUNDUP((S26*2+O$5)/3,2))*3+SUM(AP!O26:Q26))/(3+COUNT(AP!O26:Q26)),2))))</f>
        <v/>
      </c>
      <c r="P26" s="513" t="str">
        <f>IF(AP!$G26="","",IF(OR(COUNT(P26:R26)=0,V26=""),"",IF(diNo!U22="BOS", ROUNDUP((IF((T26*2+P$5)/3&lt;1, 0, ROUNDUP((T26*2+P$5)/3,2))*2+SUM(AP!P26:R26))/(2+COUNT(AP!P26:R26)),2),ROUNDUP((IF((T26*2+P$5)/3&lt;1, 0, ROUNDUP((T26*2+P$5)/3,2))*3+SUM(AP!P26:R26))/(3+COUNT(AP!P26:R26)),2))))</f>
        <v/>
      </c>
      <c r="Q26" s="513" t="str">
        <f>IF(AP!$G26="","",IF(OR(COUNT(Q26:S26)=0,W26=""),"",IF(diNo!V22="BOS", ROUNDUP((IF((U26*2+Q$5)/3&lt;1, 0, ROUNDUP((U26*2+Q$5)/3,2))*2+SUM(AP!Q26:S26))/(2+COUNT(AP!Q26:S26)),2),ROUNDUP((IF((U26*2+Q$5)/3&lt;1, 0, ROUNDUP((U26*2+Q$5)/3,2))*3+SUM(AP!Q26:S26))/(3+COUNT(AP!Q26:S26)),2))))</f>
        <v/>
      </c>
      <c r="R26" s="512" t="str">
        <f>IF(AP!$G26="","",IF(OR(COUNT(R26:T26)=0,X26=""),"",IF(diNo!W22="BOS", ROUNDUP((IF((V26*2+R$5)/3&lt;1, 0, ROUNDUP((V26*2+R$5)/3,2))*2+SUM(AP!R26:T26))/(2+COUNT(AP!R26:T26)),2),ROUNDUP((IF((V26*2+R$5)/3&lt;1, 0, ROUNDUP((V26*2+R$5)/3,2))*3+SUM(AP!R26:T26))/(3+COUNT(AP!R26:T26)),2))))</f>
        <v/>
      </c>
    </row>
    <row r="27" spans="1:18" x14ac:dyDescent="0.2">
      <c r="A27" s="2" t="str">
        <f>IF(+AP!B27="","",AP!B27)</f>
        <v/>
      </c>
      <c r="B27" s="196" t="str">
        <f>IF(AP!G27="","",IF(ROUNDUP((AP!G27+AP!E27)/2,2)&lt;1,0,ROUNDUP((AP!G27+AP!E27)/2,2)))</f>
        <v/>
      </c>
      <c r="C27" s="197" t="str">
        <f>IF(AP!$G27="","",IF(OR(COUNT(C27:E27)=0,I27=""),"",IF(diNo!H23="BOS", ROUNDUP((IF((G27*2+C$5)/3&lt;1, 0, ROUNDUP((G27*2+C$5)/3,2))*2+SUM(AP!C27:E27))/(2+COUNT(AP!C27:E27)),2),ROUNDUP((IF((G27*2+C$5)/3&lt;1, 0, ROUNDUP((G27*2+C$5)/3,2))*3+SUM(AP!C27:E27))/(3+COUNT(AP!C27:E27)),2))))</f>
        <v/>
      </c>
      <c r="D27" s="197" t="str">
        <f>IF(AP!$G27="","",IF(OR(COUNT(D27:F27)=0,J27=""),"",IF(diNo!I23="BOS", ROUNDUP((IF((H27*2+D$5)/3&lt;1, 0, ROUNDUP((H27*2+D$5)/3,2))*2+SUM(AP!D27:F27))/(2+COUNT(AP!D27:F27)),2),ROUNDUP((IF((H27*2+D$5)/3&lt;1, 0, ROUNDUP((H27*2+D$5)/3,2))*3+SUM(AP!D27:F27))/(3+COUNT(AP!D27:F27)),2))))</f>
        <v/>
      </c>
      <c r="E27" s="197" t="str">
        <f>IF(AP!$G27="","",IF(OR(COUNT(E27:G27)=0,K27=""),"",IF(diNo!J23="BOS", ROUNDUP((IF((I27*2+E$5)/3&lt;1, 0, ROUNDUP((I27*2+E$5)/3,2))*2+SUM(AP!E27:G27))/(2+COUNT(AP!E27:G27)),2),ROUNDUP((IF((I27*2+E$5)/3&lt;1, 0, ROUNDUP((I27*2+E$5)/3,2))*3+SUM(AP!E27:G27))/(3+COUNT(AP!E27:G27)),2))))</f>
        <v/>
      </c>
      <c r="F27" s="512" t="str">
        <f>IF(AP!$G27="","",IF(OR(COUNT(F27:H27)=0,L27=""),"",IF(diNo!K23="BOS", ROUNDUP((IF((J27*2+F$5)/3&lt;1, 0, ROUNDUP((J27*2+F$5)/3,2))*2+SUM(AP!F27:H27))/(2+COUNT(AP!F27:H27)),2),ROUNDUP((IF((J27*2+F$5)/3&lt;1, 0, ROUNDUP((J27*2+F$5)/3,2))*3+SUM(AP!F27:H27))/(3+COUNT(AP!F27:H27)),2))))</f>
        <v/>
      </c>
      <c r="G27" s="512" t="str">
        <f>IF(AP!$G27="","",IF(OR(COUNT(G27:I27)=0,M27=""),"",IF(diNo!L23="BOS", ROUNDUP((IF((K27*2+G$5)/3&lt;1, 0, ROUNDUP((K27*2+G$5)/3,2))*2+SUM(AP!G27:I27))/(2+COUNT(AP!G27:I27)),2),ROUNDUP((IF((K27*2+G$5)/3&lt;1, 0, ROUNDUP((K27*2+G$5)/3,2))*3+SUM(AP!G27:I27))/(3+COUNT(AP!G27:I27)),2))))</f>
        <v/>
      </c>
      <c r="H27" s="512" t="str">
        <f>IF(AP!$G27="","",IF(OR(COUNT(H27:J27)=0,N27=""),"",IF(diNo!M23="BOS", ROUNDUP((IF((L27*2+H$5)/3&lt;1, 0, ROUNDUP((L27*2+H$5)/3,2))*2+SUM(AP!H27:J27))/(2+COUNT(AP!H27:J27)),2),ROUNDUP((IF((L27*2+H$5)/3&lt;1, 0, ROUNDUP((L27*2+H$5)/3,2))*3+SUM(AP!H27:J27))/(3+COUNT(AP!H27:J27)),2))))</f>
        <v/>
      </c>
      <c r="I27" s="197" t="str">
        <f>IF(AP!$G27="","",IF(OR(COUNT(I27:K27)=0,O27=""),"",IF(diNo!N23="BOS", ROUNDUP((IF((M27*2+I$5)/3&lt;1, 0, ROUNDUP((M27*2+I$5)/3,2))*2+SUM(AP!I27:K27))/(2+COUNT(AP!I27:K27)),2),ROUNDUP((IF((M27*2+I$5)/3&lt;1, 0, ROUNDUP((M27*2+I$5)/3,2))*3+SUM(AP!I27:K27))/(3+COUNT(AP!I27:K27)),2))))</f>
        <v/>
      </c>
      <c r="J27" s="197" t="str">
        <f>IF(AP!$G27="","",IF(OR(COUNT(J27:L27)=0,P27=""),"",IF(diNo!O23="BOS", ROUNDUP((IF((N27*2+J$5)/3&lt;1, 0, ROUNDUP((N27*2+J$5)/3,2))*2+SUM(AP!J27:L27))/(2+COUNT(AP!J27:L27)),2),ROUNDUP((IF((N27*2+J$5)/3&lt;1, 0, ROUNDUP((N27*2+J$5)/3,2))*3+SUM(AP!J27:L27))/(3+COUNT(AP!J27:L27)),2))))</f>
        <v/>
      </c>
      <c r="K27" s="197" t="str">
        <f>IF(AP!$G27="","",IF(OR(COUNT(K27:M27)=0,Q27=""),"",IF(diNo!P23="BOS", ROUNDUP((IF((O27*2+K$5)/3&lt;1, 0, ROUNDUP((O27*2+K$5)/3,2))*2+SUM(AP!K27:M27))/(2+COUNT(AP!K27:M27)),2),ROUNDUP((IF((O27*2+K$5)/3&lt;1, 0, ROUNDUP((O27*2+K$5)/3,2))*3+SUM(AP!K27:M27))/(3+COUNT(AP!K27:M27)),2))))</f>
        <v/>
      </c>
      <c r="L27" s="512" t="str">
        <f>IF(AP!$G27="","",IF(OR(COUNT(L27:N27)=0,R27=""),"",IF(diNo!Q23="BOS", ROUNDUP((IF((P27*2+L$5)/3&lt;1, 0, ROUNDUP((P27*2+L$5)/3,2))*2+SUM(AP!L27:N27))/(2+COUNT(AP!L27:N27)),2),ROUNDUP((IF((P27*2+L$5)/3&lt;1, 0, ROUNDUP((P27*2+L$5)/3,2))*3+SUM(AP!L27:N27))/(3+COUNT(AP!L27:N27)),2))))</f>
        <v/>
      </c>
      <c r="M27" s="512" t="str">
        <f>IF(AP!$G27="","",IF(OR(COUNT(M27:O27)=0,S27=""),"",IF(diNo!R23="BOS", ROUNDUP((IF((Q27*2+M$5)/3&lt;1, 0, ROUNDUP((Q27*2+M$5)/3,2))*2+SUM(AP!M27:O27))/(2+COUNT(AP!M27:O27)),2),ROUNDUP((IF((Q27*2+M$5)/3&lt;1, 0, ROUNDUP((Q27*2+M$5)/3,2))*3+SUM(AP!M27:O27))/(3+COUNT(AP!M27:O27)),2))))</f>
        <v/>
      </c>
      <c r="N27" s="512" t="str">
        <f>IF(AP!$G27="","",IF(OR(COUNT(N27:P27)=0,T27=""),"",IF(diNo!S23="BOS", ROUNDUP((IF((R27*2+N$5)/3&lt;1, 0, ROUNDUP((R27*2+N$5)/3,2))*2+SUM(AP!N27:P27))/(2+COUNT(AP!N27:P27)),2),ROUNDUP((IF((R27*2+N$5)/3&lt;1, 0, ROUNDUP((R27*2+N$5)/3,2))*3+SUM(AP!N27:P27))/(3+COUNT(AP!N27:P27)),2))))</f>
        <v/>
      </c>
      <c r="O27" s="513" t="str">
        <f>IF(AP!$G27="","",IF(OR(COUNT(O27:Q27)=0,U27=""),"",IF(diNo!T23="BOS", ROUNDUP((IF((S27*2+O$5)/3&lt;1, 0, ROUNDUP((S27*2+O$5)/3,2))*2+SUM(AP!O27:Q27))/(2+COUNT(AP!O27:Q27)),2),ROUNDUP((IF((S27*2+O$5)/3&lt;1, 0, ROUNDUP((S27*2+O$5)/3,2))*3+SUM(AP!O27:Q27))/(3+COUNT(AP!O27:Q27)),2))))</f>
        <v/>
      </c>
      <c r="P27" s="513" t="str">
        <f>IF(AP!$G27="","",IF(OR(COUNT(P27:R27)=0,V27=""),"",IF(diNo!U23="BOS", ROUNDUP((IF((T27*2+P$5)/3&lt;1, 0, ROUNDUP((T27*2+P$5)/3,2))*2+SUM(AP!P27:R27))/(2+COUNT(AP!P27:R27)),2),ROUNDUP((IF((T27*2+P$5)/3&lt;1, 0, ROUNDUP((T27*2+P$5)/3,2))*3+SUM(AP!P27:R27))/(3+COUNT(AP!P27:R27)),2))))</f>
        <v/>
      </c>
      <c r="Q27" s="513" t="str">
        <f>IF(AP!$G27="","",IF(OR(COUNT(Q27:S27)=0,W27=""),"",IF(diNo!V23="BOS", ROUNDUP((IF((U27*2+Q$5)/3&lt;1, 0, ROUNDUP((U27*2+Q$5)/3,2))*2+SUM(AP!Q27:S27))/(2+COUNT(AP!Q27:S27)),2),ROUNDUP((IF((U27*2+Q$5)/3&lt;1, 0, ROUNDUP((U27*2+Q$5)/3,2))*3+SUM(AP!Q27:S27))/(3+COUNT(AP!Q27:S27)),2))))</f>
        <v/>
      </c>
      <c r="R27" s="512" t="str">
        <f>IF(AP!$G27="","",IF(OR(COUNT(R27:T27)=0,X27=""),"",IF(diNo!W23="BOS", ROUNDUP((IF((V27*2+R$5)/3&lt;1, 0, ROUNDUP((V27*2+R$5)/3,2))*2+SUM(AP!R27:T27))/(2+COUNT(AP!R27:T27)),2),ROUNDUP((IF((V27*2+R$5)/3&lt;1, 0, ROUNDUP((V27*2+R$5)/3,2))*3+SUM(AP!R27:T27))/(3+COUNT(AP!R27:T27)),2))))</f>
        <v/>
      </c>
    </row>
    <row r="28" spans="1:18" x14ac:dyDescent="0.2">
      <c r="A28" s="2" t="str">
        <f>IF(+AP!B28="","",AP!B28)</f>
        <v/>
      </c>
      <c r="B28" s="196" t="str">
        <f>IF(AP!G28="","",IF(ROUNDUP((AP!G28+AP!E28)/2,2)&lt;1,0,ROUNDUP((AP!G28+AP!E28)/2,2)))</f>
        <v/>
      </c>
      <c r="C28" s="197" t="str">
        <f>IF(AP!$G28="","",IF(OR(COUNT(C28:E28)=0,I28=""),"",IF(diNo!H24="BOS", ROUNDUP((IF((G28*2+C$5)/3&lt;1, 0, ROUNDUP((G28*2+C$5)/3,2))*2+SUM(AP!C28:E28))/(2+COUNT(AP!C28:E28)),2),ROUNDUP((IF((G28*2+C$5)/3&lt;1, 0, ROUNDUP((G28*2+C$5)/3,2))*3+SUM(AP!C28:E28))/(3+COUNT(AP!C28:E28)),2))))</f>
        <v/>
      </c>
      <c r="D28" s="197" t="str">
        <f>IF(AP!$G28="","",IF(OR(COUNT(D28:F28)=0,J28=""),"",IF(diNo!I24="BOS", ROUNDUP((IF((H28*2+D$5)/3&lt;1, 0, ROUNDUP((H28*2+D$5)/3,2))*2+SUM(AP!D28:F28))/(2+COUNT(AP!D28:F28)),2),ROUNDUP((IF((H28*2+D$5)/3&lt;1, 0, ROUNDUP((H28*2+D$5)/3,2))*3+SUM(AP!D28:F28))/(3+COUNT(AP!D28:F28)),2))))</f>
        <v/>
      </c>
      <c r="E28" s="197" t="str">
        <f>IF(AP!$G28="","",IF(OR(COUNT(E28:G28)=0,K28=""),"",IF(diNo!J24="BOS", ROUNDUP((IF((I28*2+E$5)/3&lt;1, 0, ROUNDUP((I28*2+E$5)/3,2))*2+SUM(AP!E28:G28))/(2+COUNT(AP!E28:G28)),2),ROUNDUP((IF((I28*2+E$5)/3&lt;1, 0, ROUNDUP((I28*2+E$5)/3,2))*3+SUM(AP!E28:G28))/(3+COUNT(AP!E28:G28)),2))))</f>
        <v/>
      </c>
      <c r="F28" s="512" t="str">
        <f>IF(AP!$G28="","",IF(OR(COUNT(F28:H28)=0,L28=""),"",IF(diNo!K24="BOS", ROUNDUP((IF((J28*2+F$5)/3&lt;1, 0, ROUNDUP((J28*2+F$5)/3,2))*2+SUM(AP!F28:H28))/(2+COUNT(AP!F28:H28)),2),ROUNDUP((IF((J28*2+F$5)/3&lt;1, 0, ROUNDUP((J28*2+F$5)/3,2))*3+SUM(AP!F28:H28))/(3+COUNT(AP!F28:H28)),2))))</f>
        <v/>
      </c>
      <c r="G28" s="512" t="str">
        <f>IF(AP!$G28="","",IF(OR(COUNT(G28:I28)=0,M28=""),"",IF(diNo!L24="BOS", ROUNDUP((IF((K28*2+G$5)/3&lt;1, 0, ROUNDUP((K28*2+G$5)/3,2))*2+SUM(AP!G28:I28))/(2+COUNT(AP!G28:I28)),2),ROUNDUP((IF((K28*2+G$5)/3&lt;1, 0, ROUNDUP((K28*2+G$5)/3,2))*3+SUM(AP!G28:I28))/(3+COUNT(AP!G28:I28)),2))))</f>
        <v/>
      </c>
      <c r="H28" s="512" t="str">
        <f>IF(AP!$G28="","",IF(OR(COUNT(H28:J28)=0,N28=""),"",IF(diNo!M24="BOS", ROUNDUP((IF((L28*2+H$5)/3&lt;1, 0, ROUNDUP((L28*2+H$5)/3,2))*2+SUM(AP!H28:J28))/(2+COUNT(AP!H28:J28)),2),ROUNDUP((IF((L28*2+H$5)/3&lt;1, 0, ROUNDUP((L28*2+H$5)/3,2))*3+SUM(AP!H28:J28))/(3+COUNT(AP!H28:J28)),2))))</f>
        <v/>
      </c>
      <c r="I28" s="197" t="str">
        <f>IF(AP!$G28="","",IF(OR(COUNT(I28:K28)=0,O28=""),"",IF(diNo!N24="BOS", ROUNDUP((IF((M28*2+I$5)/3&lt;1, 0, ROUNDUP((M28*2+I$5)/3,2))*2+SUM(AP!I28:K28))/(2+COUNT(AP!I28:K28)),2),ROUNDUP((IF((M28*2+I$5)/3&lt;1, 0, ROUNDUP((M28*2+I$5)/3,2))*3+SUM(AP!I28:K28))/(3+COUNT(AP!I28:K28)),2))))</f>
        <v/>
      </c>
      <c r="J28" s="197" t="str">
        <f>IF(AP!$G28="","",IF(OR(COUNT(J28:L28)=0,P28=""),"",IF(diNo!O24="BOS", ROUNDUP((IF((N28*2+J$5)/3&lt;1, 0, ROUNDUP((N28*2+J$5)/3,2))*2+SUM(AP!J28:L28))/(2+COUNT(AP!J28:L28)),2),ROUNDUP((IF((N28*2+J$5)/3&lt;1, 0, ROUNDUP((N28*2+J$5)/3,2))*3+SUM(AP!J28:L28))/(3+COUNT(AP!J28:L28)),2))))</f>
        <v/>
      </c>
      <c r="K28" s="197" t="str">
        <f>IF(AP!$G28="","",IF(OR(COUNT(K28:M28)=0,Q28=""),"",IF(diNo!P24="BOS", ROUNDUP((IF((O28*2+K$5)/3&lt;1, 0, ROUNDUP((O28*2+K$5)/3,2))*2+SUM(AP!K28:M28))/(2+COUNT(AP!K28:M28)),2),ROUNDUP((IF((O28*2+K$5)/3&lt;1, 0, ROUNDUP((O28*2+K$5)/3,2))*3+SUM(AP!K28:M28))/(3+COUNT(AP!K28:M28)),2))))</f>
        <v/>
      </c>
      <c r="L28" s="512" t="str">
        <f>IF(AP!$G28="","",IF(OR(COUNT(L28:N28)=0,R28=""),"",IF(diNo!Q24="BOS", ROUNDUP((IF((P28*2+L$5)/3&lt;1, 0, ROUNDUP((P28*2+L$5)/3,2))*2+SUM(AP!L28:N28))/(2+COUNT(AP!L28:N28)),2),ROUNDUP((IF((P28*2+L$5)/3&lt;1, 0, ROUNDUP((P28*2+L$5)/3,2))*3+SUM(AP!L28:N28))/(3+COUNT(AP!L28:N28)),2))))</f>
        <v/>
      </c>
      <c r="M28" s="512" t="str">
        <f>IF(AP!$G28="","",IF(OR(COUNT(M28:O28)=0,S28=""),"",IF(diNo!R24="BOS", ROUNDUP((IF((Q28*2+M$5)/3&lt;1, 0, ROUNDUP((Q28*2+M$5)/3,2))*2+SUM(AP!M28:O28))/(2+COUNT(AP!M28:O28)),2),ROUNDUP((IF((Q28*2+M$5)/3&lt;1, 0, ROUNDUP((Q28*2+M$5)/3,2))*3+SUM(AP!M28:O28))/(3+COUNT(AP!M28:O28)),2))))</f>
        <v/>
      </c>
      <c r="N28" s="512" t="str">
        <f>IF(AP!$G28="","",IF(OR(COUNT(N28:P28)=0,T28=""),"",IF(diNo!S24="BOS", ROUNDUP((IF((R28*2+N$5)/3&lt;1, 0, ROUNDUP((R28*2+N$5)/3,2))*2+SUM(AP!N28:P28))/(2+COUNT(AP!N28:P28)),2),ROUNDUP((IF((R28*2+N$5)/3&lt;1, 0, ROUNDUP((R28*2+N$5)/3,2))*3+SUM(AP!N28:P28))/(3+COUNT(AP!N28:P28)),2))))</f>
        <v/>
      </c>
      <c r="O28" s="513" t="str">
        <f>IF(AP!$G28="","",IF(OR(COUNT(O28:Q28)=0,U28=""),"",IF(diNo!T24="BOS", ROUNDUP((IF((S28*2+O$5)/3&lt;1, 0, ROUNDUP((S28*2+O$5)/3,2))*2+SUM(AP!O28:Q28))/(2+COUNT(AP!O28:Q28)),2),ROUNDUP((IF((S28*2+O$5)/3&lt;1, 0, ROUNDUP((S28*2+O$5)/3,2))*3+SUM(AP!O28:Q28))/(3+COUNT(AP!O28:Q28)),2))))</f>
        <v/>
      </c>
      <c r="P28" s="513" t="str">
        <f>IF(AP!$G28="","",IF(OR(COUNT(P28:R28)=0,V28=""),"",IF(diNo!U24="BOS", ROUNDUP((IF((T28*2+P$5)/3&lt;1, 0, ROUNDUP((T28*2+P$5)/3,2))*2+SUM(AP!P28:R28))/(2+COUNT(AP!P28:R28)),2),ROUNDUP((IF((T28*2+P$5)/3&lt;1, 0, ROUNDUP((T28*2+P$5)/3,2))*3+SUM(AP!P28:R28))/(3+COUNT(AP!P28:R28)),2))))</f>
        <v/>
      </c>
      <c r="Q28" s="513" t="str">
        <f>IF(AP!$G28="","",IF(OR(COUNT(Q28:S28)=0,W28=""),"",IF(diNo!V24="BOS", ROUNDUP((IF((U28*2+Q$5)/3&lt;1, 0, ROUNDUP((U28*2+Q$5)/3,2))*2+SUM(AP!Q28:S28))/(2+COUNT(AP!Q28:S28)),2),ROUNDUP((IF((U28*2+Q$5)/3&lt;1, 0, ROUNDUP((U28*2+Q$5)/3,2))*3+SUM(AP!Q28:S28))/(3+COUNT(AP!Q28:S28)),2))))</f>
        <v/>
      </c>
      <c r="R28" s="512" t="str">
        <f>IF(AP!$G28="","",IF(OR(COUNT(R28:T28)=0,X28=""),"",IF(diNo!W24="BOS", ROUNDUP((IF((V28*2+R$5)/3&lt;1, 0, ROUNDUP((V28*2+R$5)/3,2))*2+SUM(AP!R28:T28))/(2+COUNT(AP!R28:T28)),2),ROUNDUP((IF((V28*2+R$5)/3&lt;1, 0, ROUNDUP((V28*2+R$5)/3,2))*3+SUM(AP!R28:T28))/(3+COUNT(AP!R28:T28)),2))))</f>
        <v/>
      </c>
    </row>
    <row r="29" spans="1:18" x14ac:dyDescent="0.2">
      <c r="A29" s="2" t="str">
        <f>IF(+AP!B29="","",AP!B29)</f>
        <v/>
      </c>
      <c r="B29" s="196" t="str">
        <f>IF(AP!G29="","",IF(ROUNDUP((AP!G29+AP!E29)/2,2)&lt;1,0,ROUNDUP((AP!G29+AP!E29)/2,2)))</f>
        <v/>
      </c>
      <c r="C29" s="197" t="str">
        <f>IF(AP!$G29="","",IF(OR(COUNT(C29:E29)=0,I29=""),"",IF(diNo!H25="BOS", ROUNDUP((IF((G29*2+C$5)/3&lt;1, 0, ROUNDUP((G29*2+C$5)/3,2))*2+SUM(AP!C29:E29))/(2+COUNT(AP!C29:E29)),2),ROUNDUP((IF((G29*2+C$5)/3&lt;1, 0, ROUNDUP((G29*2+C$5)/3,2))*3+SUM(AP!C29:E29))/(3+COUNT(AP!C29:E29)),2))))</f>
        <v/>
      </c>
      <c r="D29" s="197" t="str">
        <f>IF(AP!$G29="","",IF(OR(COUNT(D29:F29)=0,J29=""),"",IF(diNo!I25="BOS", ROUNDUP((IF((H29*2+D$5)/3&lt;1, 0, ROUNDUP((H29*2+D$5)/3,2))*2+SUM(AP!D29:F29))/(2+COUNT(AP!D29:F29)),2),ROUNDUP((IF((H29*2+D$5)/3&lt;1, 0, ROUNDUP((H29*2+D$5)/3,2))*3+SUM(AP!D29:F29))/(3+COUNT(AP!D29:F29)),2))))</f>
        <v/>
      </c>
      <c r="E29" s="197" t="str">
        <f>IF(AP!$G29="","",IF(OR(COUNT(E29:G29)=0,K29=""),"",IF(diNo!J25="BOS", ROUNDUP((IF((I29*2+E$5)/3&lt;1, 0, ROUNDUP((I29*2+E$5)/3,2))*2+SUM(AP!E29:G29))/(2+COUNT(AP!E29:G29)),2),ROUNDUP((IF((I29*2+E$5)/3&lt;1, 0, ROUNDUP((I29*2+E$5)/3,2))*3+SUM(AP!E29:G29))/(3+COUNT(AP!E29:G29)),2))))</f>
        <v/>
      </c>
      <c r="F29" s="512" t="str">
        <f>IF(AP!$G29="","",IF(OR(COUNT(F29:H29)=0,L29=""),"",IF(diNo!K25="BOS", ROUNDUP((IF((J29*2+F$5)/3&lt;1, 0, ROUNDUP((J29*2+F$5)/3,2))*2+SUM(AP!F29:H29))/(2+COUNT(AP!F29:H29)),2),ROUNDUP((IF((J29*2+F$5)/3&lt;1, 0, ROUNDUP((J29*2+F$5)/3,2))*3+SUM(AP!F29:H29))/(3+COUNT(AP!F29:H29)),2))))</f>
        <v/>
      </c>
      <c r="G29" s="512" t="str">
        <f>IF(AP!$G29="","",IF(OR(COUNT(G29:I29)=0,M29=""),"",IF(diNo!L25="BOS", ROUNDUP((IF((K29*2+G$5)/3&lt;1, 0, ROUNDUP((K29*2+G$5)/3,2))*2+SUM(AP!G29:I29))/(2+COUNT(AP!G29:I29)),2),ROUNDUP((IF((K29*2+G$5)/3&lt;1, 0, ROUNDUP((K29*2+G$5)/3,2))*3+SUM(AP!G29:I29))/(3+COUNT(AP!G29:I29)),2))))</f>
        <v/>
      </c>
      <c r="H29" s="512" t="str">
        <f>IF(AP!$G29="","",IF(OR(COUNT(H29:J29)=0,N29=""),"",IF(diNo!M25="BOS", ROUNDUP((IF((L29*2+H$5)/3&lt;1, 0, ROUNDUP((L29*2+H$5)/3,2))*2+SUM(AP!H29:J29))/(2+COUNT(AP!H29:J29)),2),ROUNDUP((IF((L29*2+H$5)/3&lt;1, 0, ROUNDUP((L29*2+H$5)/3,2))*3+SUM(AP!H29:J29))/(3+COUNT(AP!H29:J29)),2))))</f>
        <v/>
      </c>
      <c r="I29" s="197" t="str">
        <f>IF(AP!$G29="","",IF(OR(COUNT(I29:K29)=0,O29=""),"",IF(diNo!N25="BOS", ROUNDUP((IF((M29*2+I$5)/3&lt;1, 0, ROUNDUP((M29*2+I$5)/3,2))*2+SUM(AP!I29:K29))/(2+COUNT(AP!I29:K29)),2),ROUNDUP((IF((M29*2+I$5)/3&lt;1, 0, ROUNDUP((M29*2+I$5)/3,2))*3+SUM(AP!I29:K29))/(3+COUNT(AP!I29:K29)),2))))</f>
        <v/>
      </c>
      <c r="J29" s="197" t="str">
        <f>IF(AP!$G29="","",IF(OR(COUNT(J29:L29)=0,P29=""),"",IF(diNo!O25="BOS", ROUNDUP((IF((N29*2+J$5)/3&lt;1, 0, ROUNDUP((N29*2+J$5)/3,2))*2+SUM(AP!J29:L29))/(2+COUNT(AP!J29:L29)),2),ROUNDUP((IF((N29*2+J$5)/3&lt;1, 0, ROUNDUP((N29*2+J$5)/3,2))*3+SUM(AP!J29:L29))/(3+COUNT(AP!J29:L29)),2))))</f>
        <v/>
      </c>
      <c r="K29" s="197" t="str">
        <f>IF(AP!$G29="","",IF(OR(COUNT(K29:M29)=0,Q29=""),"",IF(diNo!P25="BOS", ROUNDUP((IF((O29*2+K$5)/3&lt;1, 0, ROUNDUP((O29*2+K$5)/3,2))*2+SUM(AP!K29:M29))/(2+COUNT(AP!K29:M29)),2),ROUNDUP((IF((O29*2+K$5)/3&lt;1, 0, ROUNDUP((O29*2+K$5)/3,2))*3+SUM(AP!K29:M29))/(3+COUNT(AP!K29:M29)),2))))</f>
        <v/>
      </c>
      <c r="L29" s="512" t="str">
        <f>IF(AP!$G29="","",IF(OR(COUNT(L29:N29)=0,R29=""),"",IF(diNo!Q25="BOS", ROUNDUP((IF((P29*2+L$5)/3&lt;1, 0, ROUNDUP((P29*2+L$5)/3,2))*2+SUM(AP!L29:N29))/(2+COUNT(AP!L29:N29)),2),ROUNDUP((IF((P29*2+L$5)/3&lt;1, 0, ROUNDUP((P29*2+L$5)/3,2))*3+SUM(AP!L29:N29))/(3+COUNT(AP!L29:N29)),2))))</f>
        <v/>
      </c>
      <c r="M29" s="512" t="str">
        <f>IF(AP!$G29="","",IF(OR(COUNT(M29:O29)=0,S29=""),"",IF(diNo!R25="BOS", ROUNDUP((IF((Q29*2+M$5)/3&lt;1, 0, ROUNDUP((Q29*2+M$5)/3,2))*2+SUM(AP!M29:O29))/(2+COUNT(AP!M29:O29)),2),ROUNDUP((IF((Q29*2+M$5)/3&lt;1, 0, ROUNDUP((Q29*2+M$5)/3,2))*3+SUM(AP!M29:O29))/(3+COUNT(AP!M29:O29)),2))))</f>
        <v/>
      </c>
      <c r="N29" s="512" t="str">
        <f>IF(AP!$G29="","",IF(OR(COUNT(N29:P29)=0,T29=""),"",IF(diNo!S25="BOS", ROUNDUP((IF((R29*2+N$5)/3&lt;1, 0, ROUNDUP((R29*2+N$5)/3,2))*2+SUM(AP!N29:P29))/(2+COUNT(AP!N29:P29)),2),ROUNDUP((IF((R29*2+N$5)/3&lt;1, 0, ROUNDUP((R29*2+N$5)/3,2))*3+SUM(AP!N29:P29))/(3+COUNT(AP!N29:P29)),2))))</f>
        <v/>
      </c>
      <c r="O29" s="513" t="str">
        <f>IF(AP!$G29="","",IF(OR(COUNT(O29:Q29)=0,U29=""),"",IF(diNo!T25="BOS", ROUNDUP((IF((S29*2+O$5)/3&lt;1, 0, ROUNDUP((S29*2+O$5)/3,2))*2+SUM(AP!O29:Q29))/(2+COUNT(AP!O29:Q29)),2),ROUNDUP((IF((S29*2+O$5)/3&lt;1, 0, ROUNDUP((S29*2+O$5)/3,2))*3+SUM(AP!O29:Q29))/(3+COUNT(AP!O29:Q29)),2))))</f>
        <v/>
      </c>
      <c r="P29" s="513" t="str">
        <f>IF(AP!$G29="","",IF(OR(COUNT(P29:R29)=0,V29=""),"",IF(diNo!U25="BOS", ROUNDUP((IF((T29*2+P$5)/3&lt;1, 0, ROUNDUP((T29*2+P$5)/3,2))*2+SUM(AP!P29:R29))/(2+COUNT(AP!P29:R29)),2),ROUNDUP((IF((T29*2+P$5)/3&lt;1, 0, ROUNDUP((T29*2+P$5)/3,2))*3+SUM(AP!P29:R29))/(3+COUNT(AP!P29:R29)),2))))</f>
        <v/>
      </c>
      <c r="Q29" s="513" t="str">
        <f>IF(AP!$G29="","",IF(OR(COUNT(Q29:S29)=0,W29=""),"",IF(diNo!V25="BOS", ROUNDUP((IF((U29*2+Q$5)/3&lt;1, 0, ROUNDUP((U29*2+Q$5)/3,2))*2+SUM(AP!Q29:S29))/(2+COUNT(AP!Q29:S29)),2),ROUNDUP((IF((U29*2+Q$5)/3&lt;1, 0, ROUNDUP((U29*2+Q$5)/3,2))*3+SUM(AP!Q29:S29))/(3+COUNT(AP!Q29:S29)),2))))</f>
        <v/>
      </c>
      <c r="R29" s="512" t="str">
        <f>IF(AP!$G29="","",IF(OR(COUNT(R29:T29)=0,X29=""),"",IF(diNo!W25="BOS", ROUNDUP((IF((V29*2+R$5)/3&lt;1, 0, ROUNDUP((V29*2+R$5)/3,2))*2+SUM(AP!R29:T29))/(2+COUNT(AP!R29:T29)),2),ROUNDUP((IF((V29*2+R$5)/3&lt;1, 0, ROUNDUP((V29*2+R$5)/3,2))*3+SUM(AP!R29:T29))/(3+COUNT(AP!R29:T29)),2))))</f>
        <v/>
      </c>
    </row>
    <row r="30" spans="1:18" x14ac:dyDescent="0.2">
      <c r="A30" s="2" t="str">
        <f>IF(+AP!B30="","",AP!B30)</f>
        <v/>
      </c>
      <c r="B30" s="196" t="str">
        <f>IF(AP!G30="","",IF(ROUNDUP((AP!G30+AP!E30)/2,2)&lt;1,0,ROUNDUP((AP!G30+AP!E30)/2,2)))</f>
        <v/>
      </c>
      <c r="C30" s="197" t="str">
        <f>IF(AP!$G30="","",IF(OR(COUNT(C30:E30)=0,I30=""),"",IF(diNo!H26="BOS", ROUNDUP((IF((G30*2+C$5)/3&lt;1, 0, ROUNDUP((G30*2+C$5)/3,2))*2+SUM(AP!C30:E30))/(2+COUNT(AP!C30:E30)),2),ROUNDUP((IF((G30*2+C$5)/3&lt;1, 0, ROUNDUP((G30*2+C$5)/3,2))*3+SUM(AP!C30:E30))/(3+COUNT(AP!C30:E30)),2))))</f>
        <v/>
      </c>
      <c r="D30" s="197" t="str">
        <f>IF(AP!$G30="","",IF(OR(COUNT(D30:F30)=0,J30=""),"",IF(diNo!I26="BOS", ROUNDUP((IF((H30*2+D$5)/3&lt;1, 0, ROUNDUP((H30*2+D$5)/3,2))*2+SUM(AP!D30:F30))/(2+COUNT(AP!D30:F30)),2),ROUNDUP((IF((H30*2+D$5)/3&lt;1, 0, ROUNDUP((H30*2+D$5)/3,2))*3+SUM(AP!D30:F30))/(3+COUNT(AP!D30:F30)),2))))</f>
        <v/>
      </c>
      <c r="E30" s="197" t="str">
        <f>IF(AP!$G30="","",IF(OR(COUNT(E30:G30)=0,K30=""),"",IF(diNo!J26="BOS", ROUNDUP((IF((I30*2+E$5)/3&lt;1, 0, ROUNDUP((I30*2+E$5)/3,2))*2+SUM(AP!E30:G30))/(2+COUNT(AP!E30:G30)),2),ROUNDUP((IF((I30*2+E$5)/3&lt;1, 0, ROUNDUP((I30*2+E$5)/3,2))*3+SUM(AP!E30:G30))/(3+COUNT(AP!E30:G30)),2))))</f>
        <v/>
      </c>
      <c r="F30" s="512" t="str">
        <f>IF(AP!$G30="","",IF(OR(COUNT(F30:H30)=0,L30=""),"",IF(diNo!K26="BOS", ROUNDUP((IF((J30*2+F$5)/3&lt;1, 0, ROUNDUP((J30*2+F$5)/3,2))*2+SUM(AP!F30:H30))/(2+COUNT(AP!F30:H30)),2),ROUNDUP((IF((J30*2+F$5)/3&lt;1, 0, ROUNDUP((J30*2+F$5)/3,2))*3+SUM(AP!F30:H30))/(3+COUNT(AP!F30:H30)),2))))</f>
        <v/>
      </c>
      <c r="G30" s="512" t="str">
        <f>IF(AP!$G30="","",IF(OR(COUNT(G30:I30)=0,M30=""),"",IF(diNo!L26="BOS", ROUNDUP((IF((K30*2+G$5)/3&lt;1, 0, ROUNDUP((K30*2+G$5)/3,2))*2+SUM(AP!G30:I30))/(2+COUNT(AP!G30:I30)),2),ROUNDUP((IF((K30*2+G$5)/3&lt;1, 0, ROUNDUP((K30*2+G$5)/3,2))*3+SUM(AP!G30:I30))/(3+COUNT(AP!G30:I30)),2))))</f>
        <v/>
      </c>
      <c r="H30" s="512" t="str">
        <f>IF(AP!$G30="","",IF(OR(COUNT(H30:J30)=0,N30=""),"",IF(diNo!M26="BOS", ROUNDUP((IF((L30*2+H$5)/3&lt;1, 0, ROUNDUP((L30*2+H$5)/3,2))*2+SUM(AP!H30:J30))/(2+COUNT(AP!H30:J30)),2),ROUNDUP((IF((L30*2+H$5)/3&lt;1, 0, ROUNDUP((L30*2+H$5)/3,2))*3+SUM(AP!H30:J30))/(3+COUNT(AP!H30:J30)),2))))</f>
        <v/>
      </c>
      <c r="I30" s="197" t="str">
        <f>IF(AP!$G30="","",IF(OR(COUNT(I30:K30)=0,O30=""),"",IF(diNo!N26="BOS", ROUNDUP((IF((M30*2+I$5)/3&lt;1, 0, ROUNDUP((M30*2+I$5)/3,2))*2+SUM(AP!I30:K30))/(2+COUNT(AP!I30:K30)),2),ROUNDUP((IF((M30*2+I$5)/3&lt;1, 0, ROUNDUP((M30*2+I$5)/3,2))*3+SUM(AP!I30:K30))/(3+COUNT(AP!I30:K30)),2))))</f>
        <v/>
      </c>
      <c r="J30" s="197" t="str">
        <f>IF(AP!$G30="","",IF(OR(COUNT(J30:L30)=0,P30=""),"",IF(diNo!O26="BOS", ROUNDUP((IF((N30*2+J$5)/3&lt;1, 0, ROUNDUP((N30*2+J$5)/3,2))*2+SUM(AP!J30:L30))/(2+COUNT(AP!J30:L30)),2),ROUNDUP((IF((N30*2+J$5)/3&lt;1, 0, ROUNDUP((N30*2+J$5)/3,2))*3+SUM(AP!J30:L30))/(3+COUNT(AP!J30:L30)),2))))</f>
        <v/>
      </c>
      <c r="K30" s="197" t="str">
        <f>IF(AP!$G30="","",IF(OR(COUNT(K30:M30)=0,Q30=""),"",IF(diNo!P26="BOS", ROUNDUP((IF((O30*2+K$5)/3&lt;1, 0, ROUNDUP((O30*2+K$5)/3,2))*2+SUM(AP!K30:M30))/(2+COUNT(AP!K30:M30)),2),ROUNDUP((IF((O30*2+K$5)/3&lt;1, 0, ROUNDUP((O30*2+K$5)/3,2))*3+SUM(AP!K30:M30))/(3+COUNT(AP!K30:M30)),2))))</f>
        <v/>
      </c>
      <c r="L30" s="512" t="str">
        <f>IF(AP!$G30="","",IF(OR(COUNT(L30:N30)=0,R30=""),"",IF(diNo!Q26="BOS", ROUNDUP((IF((P30*2+L$5)/3&lt;1, 0, ROUNDUP((P30*2+L$5)/3,2))*2+SUM(AP!L30:N30))/(2+COUNT(AP!L30:N30)),2),ROUNDUP((IF((P30*2+L$5)/3&lt;1, 0, ROUNDUP((P30*2+L$5)/3,2))*3+SUM(AP!L30:N30))/(3+COUNT(AP!L30:N30)),2))))</f>
        <v/>
      </c>
      <c r="M30" s="512" t="str">
        <f>IF(AP!$G30="","",IF(OR(COUNT(M30:O30)=0,S30=""),"",IF(diNo!R26="BOS", ROUNDUP((IF((Q30*2+M$5)/3&lt;1, 0, ROUNDUP((Q30*2+M$5)/3,2))*2+SUM(AP!M30:O30))/(2+COUNT(AP!M30:O30)),2),ROUNDUP((IF((Q30*2+M$5)/3&lt;1, 0, ROUNDUP((Q30*2+M$5)/3,2))*3+SUM(AP!M30:O30))/(3+COUNT(AP!M30:O30)),2))))</f>
        <v/>
      </c>
      <c r="N30" s="512" t="str">
        <f>IF(AP!$G30="","",IF(OR(COUNT(N30:P30)=0,T30=""),"",IF(diNo!S26="BOS", ROUNDUP((IF((R30*2+N$5)/3&lt;1, 0, ROUNDUP((R30*2+N$5)/3,2))*2+SUM(AP!N30:P30))/(2+COUNT(AP!N30:P30)),2),ROUNDUP((IF((R30*2+N$5)/3&lt;1, 0, ROUNDUP((R30*2+N$5)/3,2))*3+SUM(AP!N30:P30))/(3+COUNT(AP!N30:P30)),2))))</f>
        <v/>
      </c>
      <c r="O30" s="513" t="str">
        <f>IF(AP!$G30="","",IF(OR(COUNT(O30:Q30)=0,U30=""),"",IF(diNo!T26="BOS", ROUNDUP((IF((S30*2+O$5)/3&lt;1, 0, ROUNDUP((S30*2+O$5)/3,2))*2+SUM(AP!O30:Q30))/(2+COUNT(AP!O30:Q30)),2),ROUNDUP((IF((S30*2+O$5)/3&lt;1, 0, ROUNDUP((S30*2+O$5)/3,2))*3+SUM(AP!O30:Q30))/(3+COUNT(AP!O30:Q30)),2))))</f>
        <v/>
      </c>
      <c r="P30" s="513" t="str">
        <f>IF(AP!$G30="","",IF(OR(COUNT(P30:R30)=0,V30=""),"",IF(diNo!U26="BOS", ROUNDUP((IF((T30*2+P$5)/3&lt;1, 0, ROUNDUP((T30*2+P$5)/3,2))*2+SUM(AP!P30:R30))/(2+COUNT(AP!P30:R30)),2),ROUNDUP((IF((T30*2+P$5)/3&lt;1, 0, ROUNDUP((T30*2+P$5)/3,2))*3+SUM(AP!P30:R30))/(3+COUNT(AP!P30:R30)),2))))</f>
        <v/>
      </c>
      <c r="Q30" s="513" t="str">
        <f>IF(AP!$G30="","",IF(OR(COUNT(Q30:S30)=0,W30=""),"",IF(diNo!V26="BOS", ROUNDUP((IF((U30*2+Q$5)/3&lt;1, 0, ROUNDUP((U30*2+Q$5)/3,2))*2+SUM(AP!Q30:S30))/(2+COUNT(AP!Q30:S30)),2),ROUNDUP((IF((U30*2+Q$5)/3&lt;1, 0, ROUNDUP((U30*2+Q$5)/3,2))*3+SUM(AP!Q30:S30))/(3+COUNT(AP!Q30:S30)),2))))</f>
        <v/>
      </c>
      <c r="R30" s="512" t="str">
        <f>IF(AP!$G30="","",IF(OR(COUNT(R30:T30)=0,X30=""),"",IF(diNo!W26="BOS", ROUNDUP((IF((V30*2+R$5)/3&lt;1, 0, ROUNDUP((V30*2+R$5)/3,2))*2+SUM(AP!R30:T30))/(2+COUNT(AP!R30:T30)),2),ROUNDUP((IF((V30*2+R$5)/3&lt;1, 0, ROUNDUP((V30*2+R$5)/3,2))*3+SUM(AP!R30:T30))/(3+COUNT(AP!R30:T30)),2))))</f>
        <v/>
      </c>
    </row>
    <row r="31" spans="1:18" x14ac:dyDescent="0.2">
      <c r="A31" s="2" t="str">
        <f>IF(+AP!B31="","",AP!B31)</f>
        <v/>
      </c>
      <c r="B31" s="196" t="str">
        <f>IF(AP!G31="","",IF(ROUNDUP((AP!G31+AP!E31)/2,2)&lt;1,0,ROUNDUP((AP!G31+AP!E31)/2,2)))</f>
        <v/>
      </c>
      <c r="C31" s="197" t="str">
        <f>IF(AP!$G31="","",IF(OR(COUNT(C31:E31)=0,I31=""),"",IF(diNo!H27="BOS", ROUNDUP((IF((G31*2+C$5)/3&lt;1, 0, ROUNDUP((G31*2+C$5)/3,2))*2+SUM(AP!C31:E31))/(2+COUNT(AP!C31:E31)),2),ROUNDUP((IF((G31*2+C$5)/3&lt;1, 0, ROUNDUP((G31*2+C$5)/3,2))*3+SUM(AP!C31:E31))/(3+COUNT(AP!C31:E31)),2))))</f>
        <v/>
      </c>
      <c r="D31" s="197" t="str">
        <f>IF(AP!$G31="","",IF(OR(COUNT(D31:F31)=0,J31=""),"",IF(diNo!I27="BOS", ROUNDUP((IF((H31*2+D$5)/3&lt;1, 0, ROUNDUP((H31*2+D$5)/3,2))*2+SUM(AP!D31:F31))/(2+COUNT(AP!D31:F31)),2),ROUNDUP((IF((H31*2+D$5)/3&lt;1, 0, ROUNDUP((H31*2+D$5)/3,2))*3+SUM(AP!D31:F31))/(3+COUNT(AP!D31:F31)),2))))</f>
        <v/>
      </c>
      <c r="E31" s="197" t="str">
        <f>IF(AP!$G31="","",IF(OR(COUNT(E31:G31)=0,K31=""),"",IF(diNo!J27="BOS", ROUNDUP((IF((I31*2+E$5)/3&lt;1, 0, ROUNDUP((I31*2+E$5)/3,2))*2+SUM(AP!E31:G31))/(2+COUNT(AP!E31:G31)),2),ROUNDUP((IF((I31*2+E$5)/3&lt;1, 0, ROUNDUP((I31*2+E$5)/3,2))*3+SUM(AP!E31:G31))/(3+COUNT(AP!E31:G31)),2))))</f>
        <v/>
      </c>
      <c r="F31" s="512" t="str">
        <f>IF(AP!$G31="","",IF(OR(COUNT(F31:H31)=0,L31=""),"",IF(diNo!K27="BOS", ROUNDUP((IF((J31*2+F$5)/3&lt;1, 0, ROUNDUP((J31*2+F$5)/3,2))*2+SUM(AP!F31:H31))/(2+COUNT(AP!F31:H31)),2),ROUNDUP((IF((J31*2+F$5)/3&lt;1, 0, ROUNDUP((J31*2+F$5)/3,2))*3+SUM(AP!F31:H31))/(3+COUNT(AP!F31:H31)),2))))</f>
        <v/>
      </c>
      <c r="G31" s="512" t="str">
        <f>IF(AP!$G31="","",IF(OR(COUNT(G31:I31)=0,M31=""),"",IF(diNo!L27="BOS", ROUNDUP((IF((K31*2+G$5)/3&lt;1, 0, ROUNDUP((K31*2+G$5)/3,2))*2+SUM(AP!G31:I31))/(2+COUNT(AP!G31:I31)),2),ROUNDUP((IF((K31*2+G$5)/3&lt;1, 0, ROUNDUP((K31*2+G$5)/3,2))*3+SUM(AP!G31:I31))/(3+COUNT(AP!G31:I31)),2))))</f>
        <v/>
      </c>
      <c r="H31" s="512" t="str">
        <f>IF(AP!$G31="","",IF(OR(COUNT(H31:J31)=0,N31=""),"",IF(diNo!M27="BOS", ROUNDUP((IF((L31*2+H$5)/3&lt;1, 0, ROUNDUP((L31*2+H$5)/3,2))*2+SUM(AP!H31:J31))/(2+COUNT(AP!H31:J31)),2),ROUNDUP((IF((L31*2+H$5)/3&lt;1, 0, ROUNDUP((L31*2+H$5)/3,2))*3+SUM(AP!H31:J31))/(3+COUNT(AP!H31:J31)),2))))</f>
        <v/>
      </c>
      <c r="I31" s="197" t="str">
        <f>IF(AP!$G31="","",IF(OR(COUNT(I31:K31)=0,O31=""),"",IF(diNo!N27="BOS", ROUNDUP((IF((M31*2+I$5)/3&lt;1, 0, ROUNDUP((M31*2+I$5)/3,2))*2+SUM(AP!I31:K31))/(2+COUNT(AP!I31:K31)),2),ROUNDUP((IF((M31*2+I$5)/3&lt;1, 0, ROUNDUP((M31*2+I$5)/3,2))*3+SUM(AP!I31:K31))/(3+COUNT(AP!I31:K31)),2))))</f>
        <v/>
      </c>
      <c r="J31" s="197" t="str">
        <f>IF(AP!$G31="","",IF(OR(COUNT(J31:L31)=0,P31=""),"",IF(diNo!O27="BOS", ROUNDUP((IF((N31*2+J$5)/3&lt;1, 0, ROUNDUP((N31*2+J$5)/3,2))*2+SUM(AP!J31:L31))/(2+COUNT(AP!J31:L31)),2),ROUNDUP((IF((N31*2+J$5)/3&lt;1, 0, ROUNDUP((N31*2+J$5)/3,2))*3+SUM(AP!J31:L31))/(3+COUNT(AP!J31:L31)),2))))</f>
        <v/>
      </c>
      <c r="K31" s="197" t="str">
        <f>IF(AP!$G31="","",IF(OR(COUNT(K31:M31)=0,Q31=""),"",IF(diNo!P27="BOS", ROUNDUP((IF((O31*2+K$5)/3&lt;1, 0, ROUNDUP((O31*2+K$5)/3,2))*2+SUM(AP!K31:M31))/(2+COUNT(AP!K31:M31)),2),ROUNDUP((IF((O31*2+K$5)/3&lt;1, 0, ROUNDUP((O31*2+K$5)/3,2))*3+SUM(AP!K31:M31))/(3+COUNT(AP!K31:M31)),2))))</f>
        <v/>
      </c>
      <c r="L31" s="512" t="str">
        <f>IF(AP!$G31="","",IF(OR(COUNT(L31:N31)=0,R31=""),"",IF(diNo!Q27="BOS", ROUNDUP((IF((P31*2+L$5)/3&lt;1, 0, ROUNDUP((P31*2+L$5)/3,2))*2+SUM(AP!L31:N31))/(2+COUNT(AP!L31:N31)),2),ROUNDUP((IF((P31*2+L$5)/3&lt;1, 0, ROUNDUP((P31*2+L$5)/3,2))*3+SUM(AP!L31:N31))/(3+COUNT(AP!L31:N31)),2))))</f>
        <v/>
      </c>
      <c r="M31" s="512" t="str">
        <f>IF(AP!$G31="","",IF(OR(COUNT(M31:O31)=0,S31=""),"",IF(diNo!R27="BOS", ROUNDUP((IF((Q31*2+M$5)/3&lt;1, 0, ROUNDUP((Q31*2+M$5)/3,2))*2+SUM(AP!M31:O31))/(2+COUNT(AP!M31:O31)),2),ROUNDUP((IF((Q31*2+M$5)/3&lt;1, 0, ROUNDUP((Q31*2+M$5)/3,2))*3+SUM(AP!M31:O31))/(3+COUNT(AP!M31:O31)),2))))</f>
        <v/>
      </c>
      <c r="N31" s="512" t="str">
        <f>IF(AP!$G31="","",IF(OR(COUNT(N31:P31)=0,T31=""),"",IF(diNo!S27="BOS", ROUNDUP((IF((R31*2+N$5)/3&lt;1, 0, ROUNDUP((R31*2+N$5)/3,2))*2+SUM(AP!N31:P31))/(2+COUNT(AP!N31:P31)),2),ROUNDUP((IF((R31*2+N$5)/3&lt;1, 0, ROUNDUP((R31*2+N$5)/3,2))*3+SUM(AP!N31:P31))/(3+COUNT(AP!N31:P31)),2))))</f>
        <v/>
      </c>
      <c r="O31" s="513" t="str">
        <f>IF(AP!$G31="","",IF(OR(COUNT(O31:Q31)=0,U31=""),"",IF(diNo!T27="BOS", ROUNDUP((IF((S31*2+O$5)/3&lt;1, 0, ROUNDUP((S31*2+O$5)/3,2))*2+SUM(AP!O31:Q31))/(2+COUNT(AP!O31:Q31)),2),ROUNDUP((IF((S31*2+O$5)/3&lt;1, 0, ROUNDUP((S31*2+O$5)/3,2))*3+SUM(AP!O31:Q31))/(3+COUNT(AP!O31:Q31)),2))))</f>
        <v/>
      </c>
      <c r="P31" s="513" t="str">
        <f>IF(AP!$G31="","",IF(OR(COUNT(P31:R31)=0,V31=""),"",IF(diNo!U27="BOS", ROUNDUP((IF((T31*2+P$5)/3&lt;1, 0, ROUNDUP((T31*2+P$5)/3,2))*2+SUM(AP!P31:R31))/(2+COUNT(AP!P31:R31)),2),ROUNDUP((IF((T31*2+P$5)/3&lt;1, 0, ROUNDUP((T31*2+P$5)/3,2))*3+SUM(AP!P31:R31))/(3+COUNT(AP!P31:R31)),2))))</f>
        <v/>
      </c>
      <c r="Q31" s="513" t="str">
        <f>IF(AP!$G31="","",IF(OR(COUNT(Q31:S31)=0,W31=""),"",IF(diNo!V27="BOS", ROUNDUP((IF((U31*2+Q$5)/3&lt;1, 0, ROUNDUP((U31*2+Q$5)/3,2))*2+SUM(AP!Q31:S31))/(2+COUNT(AP!Q31:S31)),2),ROUNDUP((IF((U31*2+Q$5)/3&lt;1, 0, ROUNDUP((U31*2+Q$5)/3,2))*3+SUM(AP!Q31:S31))/(3+COUNT(AP!Q31:S31)),2))))</f>
        <v/>
      </c>
      <c r="R31" s="512" t="str">
        <f>IF(AP!$G31="","",IF(OR(COUNT(R31:T31)=0,X31=""),"",IF(diNo!W27="BOS", ROUNDUP((IF((V31*2+R$5)/3&lt;1, 0, ROUNDUP((V31*2+R$5)/3,2))*2+SUM(AP!R31:T31))/(2+COUNT(AP!R31:T31)),2),ROUNDUP((IF((V31*2+R$5)/3&lt;1, 0, ROUNDUP((V31*2+R$5)/3,2))*3+SUM(AP!R31:T31))/(3+COUNT(AP!R31:T31)),2))))</f>
        <v/>
      </c>
    </row>
    <row r="32" spans="1:18" x14ac:dyDescent="0.2">
      <c r="A32" s="2" t="str">
        <f>IF(+AP!B32="","",AP!B32)</f>
        <v/>
      </c>
      <c r="B32" s="196" t="str">
        <f>IF(AP!G32="","",IF(ROUNDUP((AP!G32+AP!E32)/2,2)&lt;1,0,ROUNDUP((AP!G32+AP!E32)/2,2)))</f>
        <v/>
      </c>
      <c r="C32" s="197" t="str">
        <f>IF(AP!$G32="","",IF(OR(COUNT(C32:E32)=0,I32=""),"",IF(diNo!H28="BOS", ROUNDUP((IF((G32*2+C$5)/3&lt;1, 0, ROUNDUP((G32*2+C$5)/3,2))*2+SUM(AP!C32:E32))/(2+COUNT(AP!C32:E32)),2),ROUNDUP((IF((G32*2+C$5)/3&lt;1, 0, ROUNDUP((G32*2+C$5)/3,2))*3+SUM(AP!C32:E32))/(3+COUNT(AP!C32:E32)),2))))</f>
        <v/>
      </c>
      <c r="D32" s="197" t="str">
        <f>IF(AP!$G32="","",IF(OR(COUNT(D32:F32)=0,J32=""),"",IF(diNo!I28="BOS", ROUNDUP((IF((H32*2+D$5)/3&lt;1, 0, ROUNDUP((H32*2+D$5)/3,2))*2+SUM(AP!D32:F32))/(2+COUNT(AP!D32:F32)),2),ROUNDUP((IF((H32*2+D$5)/3&lt;1, 0, ROUNDUP((H32*2+D$5)/3,2))*3+SUM(AP!D32:F32))/(3+COUNT(AP!D32:F32)),2))))</f>
        <v/>
      </c>
      <c r="E32" s="197" t="str">
        <f>IF(AP!$G32="","",IF(OR(COUNT(E32:G32)=0,K32=""),"",IF(diNo!J28="BOS", ROUNDUP((IF((I32*2+E$5)/3&lt;1, 0, ROUNDUP((I32*2+E$5)/3,2))*2+SUM(AP!E32:G32))/(2+COUNT(AP!E32:G32)),2),ROUNDUP((IF((I32*2+E$5)/3&lt;1, 0, ROUNDUP((I32*2+E$5)/3,2))*3+SUM(AP!E32:G32))/(3+COUNT(AP!E32:G32)),2))))</f>
        <v/>
      </c>
      <c r="F32" s="512" t="str">
        <f>IF(AP!$G32="","",IF(OR(COUNT(F32:H32)=0,L32=""),"",IF(diNo!K28="BOS", ROUNDUP((IF((J32*2+F$5)/3&lt;1, 0, ROUNDUP((J32*2+F$5)/3,2))*2+SUM(AP!F32:H32))/(2+COUNT(AP!F32:H32)),2),ROUNDUP((IF((J32*2+F$5)/3&lt;1, 0, ROUNDUP((J32*2+F$5)/3,2))*3+SUM(AP!F32:H32))/(3+COUNT(AP!F32:H32)),2))))</f>
        <v/>
      </c>
      <c r="G32" s="512" t="str">
        <f>IF(AP!$G32="","",IF(OR(COUNT(G32:I32)=0,M32=""),"",IF(diNo!L28="BOS", ROUNDUP((IF((K32*2+G$5)/3&lt;1, 0, ROUNDUP((K32*2+G$5)/3,2))*2+SUM(AP!G32:I32))/(2+COUNT(AP!G32:I32)),2),ROUNDUP((IF((K32*2+G$5)/3&lt;1, 0, ROUNDUP((K32*2+G$5)/3,2))*3+SUM(AP!G32:I32))/(3+COUNT(AP!G32:I32)),2))))</f>
        <v/>
      </c>
      <c r="H32" s="512" t="str">
        <f>IF(AP!$G32="","",IF(OR(COUNT(H32:J32)=0,N32=""),"",IF(diNo!M28="BOS", ROUNDUP((IF((L32*2+H$5)/3&lt;1, 0, ROUNDUP((L32*2+H$5)/3,2))*2+SUM(AP!H32:J32))/(2+COUNT(AP!H32:J32)),2),ROUNDUP((IF((L32*2+H$5)/3&lt;1, 0, ROUNDUP((L32*2+H$5)/3,2))*3+SUM(AP!H32:J32))/(3+COUNT(AP!H32:J32)),2))))</f>
        <v/>
      </c>
      <c r="I32" s="197" t="str">
        <f>IF(AP!$G32="","",IF(OR(COUNT(I32:K32)=0,O32=""),"",IF(diNo!N28="BOS", ROUNDUP((IF((M32*2+I$5)/3&lt;1, 0, ROUNDUP((M32*2+I$5)/3,2))*2+SUM(AP!I32:K32))/(2+COUNT(AP!I32:K32)),2),ROUNDUP((IF((M32*2+I$5)/3&lt;1, 0, ROUNDUP((M32*2+I$5)/3,2))*3+SUM(AP!I32:K32))/(3+COUNT(AP!I32:K32)),2))))</f>
        <v/>
      </c>
      <c r="J32" s="197" t="str">
        <f>IF(AP!$G32="","",IF(OR(COUNT(J32:L32)=0,P32=""),"",IF(diNo!O28="BOS", ROUNDUP((IF((N32*2+J$5)/3&lt;1, 0, ROUNDUP((N32*2+J$5)/3,2))*2+SUM(AP!J32:L32))/(2+COUNT(AP!J32:L32)),2),ROUNDUP((IF((N32*2+J$5)/3&lt;1, 0, ROUNDUP((N32*2+J$5)/3,2))*3+SUM(AP!J32:L32))/(3+COUNT(AP!J32:L32)),2))))</f>
        <v/>
      </c>
      <c r="K32" s="197" t="str">
        <f>IF(AP!$G32="","",IF(OR(COUNT(K32:M32)=0,Q32=""),"",IF(diNo!P28="BOS", ROUNDUP((IF((O32*2+K$5)/3&lt;1, 0, ROUNDUP((O32*2+K$5)/3,2))*2+SUM(AP!K32:M32))/(2+COUNT(AP!K32:M32)),2),ROUNDUP((IF((O32*2+K$5)/3&lt;1, 0, ROUNDUP((O32*2+K$5)/3,2))*3+SUM(AP!K32:M32))/(3+COUNT(AP!K32:M32)),2))))</f>
        <v/>
      </c>
      <c r="L32" s="512" t="str">
        <f>IF(AP!$G32="","",IF(OR(COUNT(L32:N32)=0,R32=""),"",IF(diNo!Q28="BOS", ROUNDUP((IF((P32*2+L$5)/3&lt;1, 0, ROUNDUP((P32*2+L$5)/3,2))*2+SUM(AP!L32:N32))/(2+COUNT(AP!L32:N32)),2),ROUNDUP((IF((P32*2+L$5)/3&lt;1, 0, ROUNDUP((P32*2+L$5)/3,2))*3+SUM(AP!L32:N32))/(3+COUNT(AP!L32:N32)),2))))</f>
        <v/>
      </c>
      <c r="M32" s="512" t="str">
        <f>IF(AP!$G32="","",IF(OR(COUNT(M32:O32)=0,S32=""),"",IF(diNo!R28="BOS", ROUNDUP((IF((Q32*2+M$5)/3&lt;1, 0, ROUNDUP((Q32*2+M$5)/3,2))*2+SUM(AP!M32:O32))/(2+COUNT(AP!M32:O32)),2),ROUNDUP((IF((Q32*2+M$5)/3&lt;1, 0, ROUNDUP((Q32*2+M$5)/3,2))*3+SUM(AP!M32:O32))/(3+COUNT(AP!M32:O32)),2))))</f>
        <v/>
      </c>
      <c r="N32" s="512" t="str">
        <f>IF(AP!$G32="","",IF(OR(COUNT(N32:P32)=0,T32=""),"",IF(diNo!S28="BOS", ROUNDUP((IF((R32*2+N$5)/3&lt;1, 0, ROUNDUP((R32*2+N$5)/3,2))*2+SUM(AP!N32:P32))/(2+COUNT(AP!N32:P32)),2),ROUNDUP((IF((R32*2+N$5)/3&lt;1, 0, ROUNDUP((R32*2+N$5)/3,2))*3+SUM(AP!N32:P32))/(3+COUNT(AP!N32:P32)),2))))</f>
        <v/>
      </c>
      <c r="O32" s="513" t="str">
        <f>IF(AP!$G32="","",IF(OR(COUNT(O32:Q32)=0,U32=""),"",IF(diNo!T28="BOS", ROUNDUP((IF((S32*2+O$5)/3&lt;1, 0, ROUNDUP((S32*2+O$5)/3,2))*2+SUM(AP!O32:Q32))/(2+COUNT(AP!O32:Q32)),2),ROUNDUP((IF((S32*2+O$5)/3&lt;1, 0, ROUNDUP((S32*2+O$5)/3,2))*3+SUM(AP!O32:Q32))/(3+COUNT(AP!O32:Q32)),2))))</f>
        <v/>
      </c>
      <c r="P32" s="513" t="str">
        <f>IF(AP!$G32="","",IF(OR(COUNT(P32:R32)=0,V32=""),"",IF(diNo!U28="BOS", ROUNDUP((IF((T32*2+P$5)/3&lt;1, 0, ROUNDUP((T32*2+P$5)/3,2))*2+SUM(AP!P32:R32))/(2+COUNT(AP!P32:R32)),2),ROUNDUP((IF((T32*2+P$5)/3&lt;1, 0, ROUNDUP((T32*2+P$5)/3,2))*3+SUM(AP!P32:R32))/(3+COUNT(AP!P32:R32)),2))))</f>
        <v/>
      </c>
      <c r="Q32" s="513" t="str">
        <f>IF(AP!$G32="","",IF(OR(COUNT(Q32:S32)=0,W32=""),"",IF(diNo!V28="BOS", ROUNDUP((IF((U32*2+Q$5)/3&lt;1, 0, ROUNDUP((U32*2+Q$5)/3,2))*2+SUM(AP!Q32:S32))/(2+COUNT(AP!Q32:S32)),2),ROUNDUP((IF((U32*2+Q$5)/3&lt;1, 0, ROUNDUP((U32*2+Q$5)/3,2))*3+SUM(AP!Q32:S32))/(3+COUNT(AP!Q32:S32)),2))))</f>
        <v/>
      </c>
      <c r="R32" s="512" t="str">
        <f>IF(AP!$G32="","",IF(OR(COUNT(R32:T32)=0,X32=""),"",IF(diNo!W28="BOS", ROUNDUP((IF((V32*2+R$5)/3&lt;1, 0, ROUNDUP((V32*2+R$5)/3,2))*2+SUM(AP!R32:T32))/(2+COUNT(AP!R32:T32)),2),ROUNDUP((IF((V32*2+R$5)/3&lt;1, 0, ROUNDUP((V32*2+R$5)/3,2))*3+SUM(AP!R32:T32))/(3+COUNT(AP!R32:T32)),2))))</f>
        <v/>
      </c>
    </row>
    <row r="33" spans="1:18" x14ac:dyDescent="0.2">
      <c r="A33" s="2" t="str">
        <f>IF(+AP!B33="","",AP!B33)</f>
        <v/>
      </c>
      <c r="B33" s="196" t="str">
        <f>IF(AP!G33="","",IF(ROUNDUP((AP!G33+AP!E33)/2,2)&lt;1,0,ROUNDUP((AP!G33+AP!E33)/2,2)))</f>
        <v/>
      </c>
      <c r="C33" s="197" t="str">
        <f>IF(AP!$G33="","",IF(OR(COUNT(C33:E33)=0,I33=""),"",IF(diNo!H29="BOS", ROUNDUP((IF((G33*2+C$5)/3&lt;1, 0, ROUNDUP((G33*2+C$5)/3,2))*2+SUM(AP!C33:E33))/(2+COUNT(AP!C33:E33)),2),ROUNDUP((IF((G33*2+C$5)/3&lt;1, 0, ROUNDUP((G33*2+C$5)/3,2))*3+SUM(AP!C33:E33))/(3+COUNT(AP!C33:E33)),2))))</f>
        <v/>
      </c>
      <c r="D33" s="197" t="str">
        <f>IF(AP!$G33="","",IF(OR(COUNT(D33:F33)=0,J33=""),"",IF(diNo!I29="BOS", ROUNDUP((IF((H33*2+D$5)/3&lt;1, 0, ROUNDUP((H33*2+D$5)/3,2))*2+SUM(AP!D33:F33))/(2+COUNT(AP!D33:F33)),2),ROUNDUP((IF((H33*2+D$5)/3&lt;1, 0, ROUNDUP((H33*2+D$5)/3,2))*3+SUM(AP!D33:F33))/(3+COUNT(AP!D33:F33)),2))))</f>
        <v/>
      </c>
      <c r="E33" s="197" t="str">
        <f>IF(AP!$G33="","",IF(OR(COUNT(E33:G33)=0,K33=""),"",IF(diNo!J29="BOS", ROUNDUP((IF((I33*2+E$5)/3&lt;1, 0, ROUNDUP((I33*2+E$5)/3,2))*2+SUM(AP!E33:G33))/(2+COUNT(AP!E33:G33)),2),ROUNDUP((IF((I33*2+E$5)/3&lt;1, 0, ROUNDUP((I33*2+E$5)/3,2))*3+SUM(AP!E33:G33))/(3+COUNT(AP!E33:G33)),2))))</f>
        <v/>
      </c>
      <c r="F33" s="512" t="str">
        <f>IF(AP!$G33="","",IF(OR(COUNT(F33:H33)=0,L33=""),"",IF(diNo!K29="BOS", ROUNDUP((IF((J33*2+F$5)/3&lt;1, 0, ROUNDUP((J33*2+F$5)/3,2))*2+SUM(AP!F33:H33))/(2+COUNT(AP!F33:H33)),2),ROUNDUP((IF((J33*2+F$5)/3&lt;1, 0, ROUNDUP((J33*2+F$5)/3,2))*3+SUM(AP!F33:H33))/(3+COUNT(AP!F33:H33)),2))))</f>
        <v/>
      </c>
      <c r="G33" s="512" t="str">
        <f>IF(AP!$G33="","",IF(OR(COUNT(G33:I33)=0,M33=""),"",IF(diNo!L29="BOS", ROUNDUP((IF((K33*2+G$5)/3&lt;1, 0, ROUNDUP((K33*2+G$5)/3,2))*2+SUM(AP!G33:I33))/(2+COUNT(AP!G33:I33)),2),ROUNDUP((IF((K33*2+G$5)/3&lt;1, 0, ROUNDUP((K33*2+G$5)/3,2))*3+SUM(AP!G33:I33))/(3+COUNT(AP!G33:I33)),2))))</f>
        <v/>
      </c>
      <c r="H33" s="512" t="str">
        <f>IF(AP!$G33="","",IF(OR(COUNT(H33:J33)=0,N33=""),"",IF(diNo!M29="BOS", ROUNDUP((IF((L33*2+H$5)/3&lt;1, 0, ROUNDUP((L33*2+H$5)/3,2))*2+SUM(AP!H33:J33))/(2+COUNT(AP!H33:J33)),2),ROUNDUP((IF((L33*2+H$5)/3&lt;1, 0, ROUNDUP((L33*2+H$5)/3,2))*3+SUM(AP!H33:J33))/(3+COUNT(AP!H33:J33)),2))))</f>
        <v/>
      </c>
      <c r="I33" s="197" t="str">
        <f>IF(AP!$G33="","",IF(OR(COUNT(I33:K33)=0,O33=""),"",IF(diNo!N29="BOS", ROUNDUP((IF((M33*2+I$5)/3&lt;1, 0, ROUNDUP((M33*2+I$5)/3,2))*2+SUM(AP!I33:K33))/(2+COUNT(AP!I33:K33)),2),ROUNDUP((IF((M33*2+I$5)/3&lt;1, 0, ROUNDUP((M33*2+I$5)/3,2))*3+SUM(AP!I33:K33))/(3+COUNT(AP!I33:K33)),2))))</f>
        <v/>
      </c>
      <c r="J33" s="197" t="str">
        <f>IF(AP!$G33="","",IF(OR(COUNT(J33:L33)=0,P33=""),"",IF(diNo!O29="BOS", ROUNDUP((IF((N33*2+J$5)/3&lt;1, 0, ROUNDUP((N33*2+J$5)/3,2))*2+SUM(AP!J33:L33))/(2+COUNT(AP!J33:L33)),2),ROUNDUP((IF((N33*2+J$5)/3&lt;1, 0, ROUNDUP((N33*2+J$5)/3,2))*3+SUM(AP!J33:L33))/(3+COUNT(AP!J33:L33)),2))))</f>
        <v/>
      </c>
      <c r="K33" s="197" t="str">
        <f>IF(AP!$G33="","",IF(OR(COUNT(K33:M33)=0,Q33=""),"",IF(diNo!P29="BOS", ROUNDUP((IF((O33*2+K$5)/3&lt;1, 0, ROUNDUP((O33*2+K$5)/3,2))*2+SUM(AP!K33:M33))/(2+COUNT(AP!K33:M33)),2),ROUNDUP((IF((O33*2+K$5)/3&lt;1, 0, ROUNDUP((O33*2+K$5)/3,2))*3+SUM(AP!K33:M33))/(3+COUNT(AP!K33:M33)),2))))</f>
        <v/>
      </c>
      <c r="L33" s="512" t="str">
        <f>IF(AP!$G33="","",IF(OR(COUNT(L33:N33)=0,R33=""),"",IF(diNo!Q29="BOS", ROUNDUP((IF((P33*2+L$5)/3&lt;1, 0, ROUNDUP((P33*2+L$5)/3,2))*2+SUM(AP!L33:N33))/(2+COUNT(AP!L33:N33)),2),ROUNDUP((IF((P33*2+L$5)/3&lt;1, 0, ROUNDUP((P33*2+L$5)/3,2))*3+SUM(AP!L33:N33))/(3+COUNT(AP!L33:N33)),2))))</f>
        <v/>
      </c>
      <c r="M33" s="512" t="str">
        <f>IF(AP!$G33="","",IF(OR(COUNT(M33:O33)=0,S33=""),"",IF(diNo!R29="BOS", ROUNDUP((IF((Q33*2+M$5)/3&lt;1, 0, ROUNDUP((Q33*2+M$5)/3,2))*2+SUM(AP!M33:O33))/(2+COUNT(AP!M33:O33)),2),ROUNDUP((IF((Q33*2+M$5)/3&lt;1, 0, ROUNDUP((Q33*2+M$5)/3,2))*3+SUM(AP!M33:O33))/(3+COUNT(AP!M33:O33)),2))))</f>
        <v/>
      </c>
      <c r="N33" s="512" t="str">
        <f>IF(AP!$G33="","",IF(OR(COUNT(N33:P33)=0,T33=""),"",IF(diNo!S29="BOS", ROUNDUP((IF((R33*2+N$5)/3&lt;1, 0, ROUNDUP((R33*2+N$5)/3,2))*2+SUM(AP!N33:P33))/(2+COUNT(AP!N33:P33)),2),ROUNDUP((IF((R33*2+N$5)/3&lt;1, 0, ROUNDUP((R33*2+N$5)/3,2))*3+SUM(AP!N33:P33))/(3+COUNT(AP!N33:P33)),2))))</f>
        <v/>
      </c>
      <c r="O33" s="513" t="str">
        <f>IF(AP!$G33="","",IF(OR(COUNT(O33:Q33)=0,U33=""),"",IF(diNo!T29="BOS", ROUNDUP((IF((S33*2+O$5)/3&lt;1, 0, ROUNDUP((S33*2+O$5)/3,2))*2+SUM(AP!O33:Q33))/(2+COUNT(AP!O33:Q33)),2),ROUNDUP((IF((S33*2+O$5)/3&lt;1, 0, ROUNDUP((S33*2+O$5)/3,2))*3+SUM(AP!O33:Q33))/(3+COUNT(AP!O33:Q33)),2))))</f>
        <v/>
      </c>
      <c r="P33" s="513" t="str">
        <f>IF(AP!$G33="","",IF(OR(COUNT(P33:R33)=0,V33=""),"",IF(diNo!U29="BOS", ROUNDUP((IF((T33*2+P$5)/3&lt;1, 0, ROUNDUP((T33*2+P$5)/3,2))*2+SUM(AP!P33:R33))/(2+COUNT(AP!P33:R33)),2),ROUNDUP((IF((T33*2+P$5)/3&lt;1, 0, ROUNDUP((T33*2+P$5)/3,2))*3+SUM(AP!P33:R33))/(3+COUNT(AP!P33:R33)),2))))</f>
        <v/>
      </c>
      <c r="Q33" s="513" t="str">
        <f>IF(AP!$G33="","",IF(OR(COUNT(Q33:S33)=0,W33=""),"",IF(diNo!V29="BOS", ROUNDUP((IF((U33*2+Q$5)/3&lt;1, 0, ROUNDUP((U33*2+Q$5)/3,2))*2+SUM(AP!Q33:S33))/(2+COUNT(AP!Q33:S33)),2),ROUNDUP((IF((U33*2+Q$5)/3&lt;1, 0, ROUNDUP((U33*2+Q$5)/3,2))*3+SUM(AP!Q33:S33))/(3+COUNT(AP!Q33:S33)),2))))</f>
        <v/>
      </c>
      <c r="R33" s="512" t="str">
        <f>IF(AP!$G33="","",IF(OR(COUNT(R33:T33)=0,X33=""),"",IF(diNo!W29="BOS", ROUNDUP((IF((V33*2+R$5)/3&lt;1, 0, ROUNDUP((V33*2+R$5)/3,2))*2+SUM(AP!R33:T33))/(2+COUNT(AP!R33:T33)),2),ROUNDUP((IF((V33*2+R$5)/3&lt;1, 0, ROUNDUP((V33*2+R$5)/3,2))*3+SUM(AP!R33:T33))/(3+COUNT(AP!R33:T33)),2))))</f>
        <v/>
      </c>
    </row>
    <row r="34" spans="1:18" x14ac:dyDescent="0.2">
      <c r="A34" s="2" t="str">
        <f>IF(+AP!B34="","",AP!B34)</f>
        <v/>
      </c>
      <c r="B34" s="196" t="str">
        <f>IF(AP!G34="","",IF(ROUNDUP((AP!G34+AP!E34)/2,2)&lt;1,0,ROUNDUP((AP!G34+AP!E34)/2,2)))</f>
        <v/>
      </c>
      <c r="C34" s="197" t="str">
        <f>IF(AP!$G34="","",IF(OR(COUNT(C34:E34)=0,I34=""),"",IF(diNo!H30="BOS", ROUNDUP((IF((G34*2+C$5)/3&lt;1, 0, ROUNDUP((G34*2+C$5)/3,2))*2+SUM(AP!C34:E34))/(2+COUNT(AP!C34:E34)),2),ROUNDUP((IF((G34*2+C$5)/3&lt;1, 0, ROUNDUP((G34*2+C$5)/3,2))*3+SUM(AP!C34:E34))/(3+COUNT(AP!C34:E34)),2))))</f>
        <v/>
      </c>
      <c r="D34" s="197" t="str">
        <f>IF(AP!$G34="","",IF(OR(COUNT(D34:F34)=0,J34=""),"",IF(diNo!I30="BOS", ROUNDUP((IF((H34*2+D$5)/3&lt;1, 0, ROUNDUP((H34*2+D$5)/3,2))*2+SUM(AP!D34:F34))/(2+COUNT(AP!D34:F34)),2),ROUNDUP((IF((H34*2+D$5)/3&lt;1, 0, ROUNDUP((H34*2+D$5)/3,2))*3+SUM(AP!D34:F34))/(3+COUNT(AP!D34:F34)),2))))</f>
        <v/>
      </c>
      <c r="E34" s="197" t="str">
        <f>IF(AP!$G34="","",IF(OR(COUNT(E34:G34)=0,K34=""),"",IF(diNo!J30="BOS", ROUNDUP((IF((I34*2+E$5)/3&lt;1, 0, ROUNDUP((I34*2+E$5)/3,2))*2+SUM(AP!E34:G34))/(2+COUNT(AP!E34:G34)),2),ROUNDUP((IF((I34*2+E$5)/3&lt;1, 0, ROUNDUP((I34*2+E$5)/3,2))*3+SUM(AP!E34:G34))/(3+COUNT(AP!E34:G34)),2))))</f>
        <v/>
      </c>
      <c r="F34" s="512" t="str">
        <f>IF(AP!$G34="","",IF(OR(COUNT(F34:H34)=0,L34=""),"",IF(diNo!K30="BOS", ROUNDUP((IF((J34*2+F$5)/3&lt;1, 0, ROUNDUP((J34*2+F$5)/3,2))*2+SUM(AP!F34:H34))/(2+COUNT(AP!F34:H34)),2),ROUNDUP((IF((J34*2+F$5)/3&lt;1, 0, ROUNDUP((J34*2+F$5)/3,2))*3+SUM(AP!F34:H34))/(3+COUNT(AP!F34:H34)),2))))</f>
        <v/>
      </c>
      <c r="G34" s="512" t="str">
        <f>IF(AP!$G34="","",IF(OR(COUNT(G34:I34)=0,M34=""),"",IF(diNo!L30="BOS", ROUNDUP((IF((K34*2+G$5)/3&lt;1, 0, ROUNDUP((K34*2+G$5)/3,2))*2+SUM(AP!G34:I34))/(2+COUNT(AP!G34:I34)),2),ROUNDUP((IF((K34*2+G$5)/3&lt;1, 0, ROUNDUP((K34*2+G$5)/3,2))*3+SUM(AP!G34:I34))/(3+COUNT(AP!G34:I34)),2))))</f>
        <v/>
      </c>
      <c r="H34" s="512" t="str">
        <f>IF(AP!$G34="","",IF(OR(COUNT(H34:J34)=0,N34=""),"",IF(diNo!M30="BOS", ROUNDUP((IF((L34*2+H$5)/3&lt;1, 0, ROUNDUP((L34*2+H$5)/3,2))*2+SUM(AP!H34:J34))/(2+COUNT(AP!H34:J34)),2),ROUNDUP((IF((L34*2+H$5)/3&lt;1, 0, ROUNDUP((L34*2+H$5)/3,2))*3+SUM(AP!H34:J34))/(3+COUNT(AP!H34:J34)),2))))</f>
        <v/>
      </c>
      <c r="I34" s="197" t="str">
        <f>IF(AP!$G34="","",IF(OR(COUNT(I34:K34)=0,O34=""),"",IF(diNo!N30="BOS", ROUNDUP((IF((M34*2+I$5)/3&lt;1, 0, ROUNDUP((M34*2+I$5)/3,2))*2+SUM(AP!I34:K34))/(2+COUNT(AP!I34:K34)),2),ROUNDUP((IF((M34*2+I$5)/3&lt;1, 0, ROUNDUP((M34*2+I$5)/3,2))*3+SUM(AP!I34:K34))/(3+COUNT(AP!I34:K34)),2))))</f>
        <v/>
      </c>
      <c r="J34" s="197" t="str">
        <f>IF(AP!$G34="","",IF(OR(COUNT(J34:L34)=0,P34=""),"",IF(diNo!O30="BOS", ROUNDUP((IF((N34*2+J$5)/3&lt;1, 0, ROUNDUP((N34*2+J$5)/3,2))*2+SUM(AP!J34:L34))/(2+COUNT(AP!J34:L34)),2),ROUNDUP((IF((N34*2+J$5)/3&lt;1, 0, ROUNDUP((N34*2+J$5)/3,2))*3+SUM(AP!J34:L34))/(3+COUNT(AP!J34:L34)),2))))</f>
        <v/>
      </c>
      <c r="K34" s="197" t="str">
        <f>IF(AP!$G34="","",IF(OR(COUNT(K34:M34)=0,Q34=""),"",IF(diNo!P30="BOS", ROUNDUP((IF((O34*2+K$5)/3&lt;1, 0, ROUNDUP((O34*2+K$5)/3,2))*2+SUM(AP!K34:M34))/(2+COUNT(AP!K34:M34)),2),ROUNDUP((IF((O34*2+K$5)/3&lt;1, 0, ROUNDUP((O34*2+K$5)/3,2))*3+SUM(AP!K34:M34))/(3+COUNT(AP!K34:M34)),2))))</f>
        <v/>
      </c>
      <c r="L34" s="512" t="str">
        <f>IF(AP!$G34="","",IF(OR(COUNT(L34:N34)=0,R34=""),"",IF(diNo!Q30="BOS", ROUNDUP((IF((P34*2+L$5)/3&lt;1, 0, ROUNDUP((P34*2+L$5)/3,2))*2+SUM(AP!L34:N34))/(2+COUNT(AP!L34:N34)),2),ROUNDUP((IF((P34*2+L$5)/3&lt;1, 0, ROUNDUP((P34*2+L$5)/3,2))*3+SUM(AP!L34:N34))/(3+COUNT(AP!L34:N34)),2))))</f>
        <v/>
      </c>
      <c r="M34" s="512" t="str">
        <f>IF(AP!$G34="","",IF(OR(COUNT(M34:O34)=0,S34=""),"",IF(diNo!R30="BOS", ROUNDUP((IF((Q34*2+M$5)/3&lt;1, 0, ROUNDUP((Q34*2+M$5)/3,2))*2+SUM(AP!M34:O34))/(2+COUNT(AP!M34:O34)),2),ROUNDUP((IF((Q34*2+M$5)/3&lt;1, 0, ROUNDUP((Q34*2+M$5)/3,2))*3+SUM(AP!M34:O34))/(3+COUNT(AP!M34:O34)),2))))</f>
        <v/>
      </c>
      <c r="N34" s="512" t="str">
        <f>IF(AP!$G34="","",IF(OR(COUNT(N34:P34)=0,T34=""),"",IF(diNo!S30="BOS", ROUNDUP((IF((R34*2+N$5)/3&lt;1, 0, ROUNDUP((R34*2+N$5)/3,2))*2+SUM(AP!N34:P34))/(2+COUNT(AP!N34:P34)),2),ROUNDUP((IF((R34*2+N$5)/3&lt;1, 0, ROUNDUP((R34*2+N$5)/3,2))*3+SUM(AP!N34:P34))/(3+COUNT(AP!N34:P34)),2))))</f>
        <v/>
      </c>
      <c r="O34" s="513" t="str">
        <f>IF(AP!$G34="","",IF(OR(COUNT(O34:Q34)=0,U34=""),"",IF(diNo!T30="BOS", ROUNDUP((IF((S34*2+O$5)/3&lt;1, 0, ROUNDUP((S34*2+O$5)/3,2))*2+SUM(AP!O34:Q34))/(2+COUNT(AP!O34:Q34)),2),ROUNDUP((IF((S34*2+O$5)/3&lt;1, 0, ROUNDUP((S34*2+O$5)/3,2))*3+SUM(AP!O34:Q34))/(3+COUNT(AP!O34:Q34)),2))))</f>
        <v/>
      </c>
      <c r="P34" s="513" t="str">
        <f>IF(AP!$G34="","",IF(OR(COUNT(P34:R34)=0,V34=""),"",IF(diNo!U30="BOS", ROUNDUP((IF((T34*2+P$5)/3&lt;1, 0, ROUNDUP((T34*2+P$5)/3,2))*2+SUM(AP!P34:R34))/(2+COUNT(AP!P34:R34)),2),ROUNDUP((IF((T34*2+P$5)/3&lt;1, 0, ROUNDUP((T34*2+P$5)/3,2))*3+SUM(AP!P34:R34))/(3+COUNT(AP!P34:R34)),2))))</f>
        <v/>
      </c>
      <c r="Q34" s="513" t="str">
        <f>IF(AP!$G34="","",IF(OR(COUNT(Q34:S34)=0,W34=""),"",IF(diNo!V30="BOS", ROUNDUP((IF((U34*2+Q$5)/3&lt;1, 0, ROUNDUP((U34*2+Q$5)/3,2))*2+SUM(AP!Q34:S34))/(2+COUNT(AP!Q34:S34)),2),ROUNDUP((IF((U34*2+Q$5)/3&lt;1, 0, ROUNDUP((U34*2+Q$5)/3,2))*3+SUM(AP!Q34:S34))/(3+COUNT(AP!Q34:S34)),2))))</f>
        <v/>
      </c>
      <c r="R34" s="512" t="str">
        <f>IF(AP!$G34="","",IF(OR(COUNT(R34:T34)=0,X34=""),"",IF(diNo!W30="BOS", ROUNDUP((IF((V34*2+R$5)/3&lt;1, 0, ROUNDUP((V34*2+R$5)/3,2))*2+SUM(AP!R34:T34))/(2+COUNT(AP!R34:T34)),2),ROUNDUP((IF((V34*2+R$5)/3&lt;1, 0, ROUNDUP((V34*2+R$5)/3,2))*3+SUM(AP!R34:T34))/(3+COUNT(AP!R34:T34)),2))))</f>
        <v/>
      </c>
    </row>
    <row r="35" spans="1:18" x14ac:dyDescent="0.2">
      <c r="A35" s="2" t="str">
        <f>IF(+AP!B35="","",AP!B35)</f>
        <v/>
      </c>
      <c r="B35" s="196" t="str">
        <f>IF(AP!G35="","",IF(ROUNDUP((AP!G35+AP!E35)/2,2)&lt;1,0,ROUNDUP((AP!G35+AP!E35)/2,2)))</f>
        <v/>
      </c>
      <c r="C35" s="197" t="str">
        <f>IF(AP!$G35="","",IF(OR(COUNT(C35:E35)=0,I35=""),"",IF(diNo!H31="BOS", ROUNDUP((IF((G35*2+C$5)/3&lt;1, 0, ROUNDUP((G35*2+C$5)/3,2))*2+SUM(AP!C35:E35))/(2+COUNT(AP!C35:E35)),2),ROUNDUP((IF((G35*2+C$5)/3&lt;1, 0, ROUNDUP((G35*2+C$5)/3,2))*3+SUM(AP!C35:E35))/(3+COUNT(AP!C35:E35)),2))))</f>
        <v/>
      </c>
      <c r="D35" s="197" t="str">
        <f>IF(AP!$G35="","",IF(OR(COUNT(D35:F35)=0,J35=""),"",IF(diNo!I31="BOS", ROUNDUP((IF((H35*2+D$5)/3&lt;1, 0, ROUNDUP((H35*2+D$5)/3,2))*2+SUM(AP!D35:F35))/(2+COUNT(AP!D35:F35)),2),ROUNDUP((IF((H35*2+D$5)/3&lt;1, 0, ROUNDUP((H35*2+D$5)/3,2))*3+SUM(AP!D35:F35))/(3+COUNT(AP!D35:F35)),2))))</f>
        <v/>
      </c>
      <c r="E35" s="197" t="str">
        <f>IF(AP!$G35="","",IF(OR(COUNT(E35:G35)=0,K35=""),"",IF(diNo!J31="BOS", ROUNDUP((IF((I35*2+E$5)/3&lt;1, 0, ROUNDUP((I35*2+E$5)/3,2))*2+SUM(AP!E35:G35))/(2+COUNT(AP!E35:G35)),2),ROUNDUP((IF((I35*2+E$5)/3&lt;1, 0, ROUNDUP((I35*2+E$5)/3,2))*3+SUM(AP!E35:G35))/(3+COUNT(AP!E35:G35)),2))))</f>
        <v/>
      </c>
      <c r="F35" s="512" t="str">
        <f>IF(AP!$G35="","",IF(OR(COUNT(F35:H35)=0,L35=""),"",IF(diNo!K31="BOS", ROUNDUP((IF((J35*2+F$5)/3&lt;1, 0, ROUNDUP((J35*2+F$5)/3,2))*2+SUM(AP!F35:H35))/(2+COUNT(AP!F35:H35)),2),ROUNDUP((IF((J35*2+F$5)/3&lt;1, 0, ROUNDUP((J35*2+F$5)/3,2))*3+SUM(AP!F35:H35))/(3+COUNT(AP!F35:H35)),2))))</f>
        <v/>
      </c>
      <c r="G35" s="512" t="str">
        <f>IF(AP!$G35="","",IF(OR(COUNT(G35:I35)=0,M35=""),"",IF(diNo!L31="BOS", ROUNDUP((IF((K35*2+G$5)/3&lt;1, 0, ROUNDUP((K35*2+G$5)/3,2))*2+SUM(AP!G35:I35))/(2+COUNT(AP!G35:I35)),2),ROUNDUP((IF((K35*2+G$5)/3&lt;1, 0, ROUNDUP((K35*2+G$5)/3,2))*3+SUM(AP!G35:I35))/(3+COUNT(AP!G35:I35)),2))))</f>
        <v/>
      </c>
      <c r="H35" s="512" t="str">
        <f>IF(AP!$G35="","",IF(OR(COUNT(H35:J35)=0,N35=""),"",IF(diNo!M31="BOS", ROUNDUP((IF((L35*2+H$5)/3&lt;1, 0, ROUNDUP((L35*2+H$5)/3,2))*2+SUM(AP!H35:J35))/(2+COUNT(AP!H35:J35)),2),ROUNDUP((IF((L35*2+H$5)/3&lt;1, 0, ROUNDUP((L35*2+H$5)/3,2))*3+SUM(AP!H35:J35))/(3+COUNT(AP!H35:J35)),2))))</f>
        <v/>
      </c>
      <c r="I35" s="197" t="str">
        <f>IF(AP!$G35="","",IF(OR(COUNT(I35:K35)=0,O35=""),"",IF(diNo!N31="BOS", ROUNDUP((IF((M35*2+I$5)/3&lt;1, 0, ROUNDUP((M35*2+I$5)/3,2))*2+SUM(AP!I35:K35))/(2+COUNT(AP!I35:K35)),2),ROUNDUP((IF((M35*2+I$5)/3&lt;1, 0, ROUNDUP((M35*2+I$5)/3,2))*3+SUM(AP!I35:K35))/(3+COUNT(AP!I35:K35)),2))))</f>
        <v/>
      </c>
      <c r="J35" s="197" t="str">
        <f>IF(AP!$G35="","",IF(OR(COUNT(J35:L35)=0,P35=""),"",IF(diNo!O31="BOS", ROUNDUP((IF((N35*2+J$5)/3&lt;1, 0, ROUNDUP((N35*2+J$5)/3,2))*2+SUM(AP!J35:L35))/(2+COUNT(AP!J35:L35)),2),ROUNDUP((IF((N35*2+J$5)/3&lt;1, 0, ROUNDUP((N35*2+J$5)/3,2))*3+SUM(AP!J35:L35))/(3+COUNT(AP!J35:L35)),2))))</f>
        <v/>
      </c>
      <c r="K35" s="197" t="str">
        <f>IF(AP!$G35="","",IF(OR(COUNT(K35:M35)=0,Q35=""),"",IF(diNo!P31="BOS", ROUNDUP((IF((O35*2+K$5)/3&lt;1, 0, ROUNDUP((O35*2+K$5)/3,2))*2+SUM(AP!K35:M35))/(2+COUNT(AP!K35:M35)),2),ROUNDUP((IF((O35*2+K$5)/3&lt;1, 0, ROUNDUP((O35*2+K$5)/3,2))*3+SUM(AP!K35:M35))/(3+COUNT(AP!K35:M35)),2))))</f>
        <v/>
      </c>
      <c r="L35" s="512" t="str">
        <f>IF(AP!$G35="","",IF(OR(COUNT(L35:N35)=0,R35=""),"",IF(diNo!Q31="BOS", ROUNDUP((IF((P35*2+L$5)/3&lt;1, 0, ROUNDUP((P35*2+L$5)/3,2))*2+SUM(AP!L35:N35))/(2+COUNT(AP!L35:N35)),2),ROUNDUP((IF((P35*2+L$5)/3&lt;1, 0, ROUNDUP((P35*2+L$5)/3,2))*3+SUM(AP!L35:N35))/(3+COUNT(AP!L35:N35)),2))))</f>
        <v/>
      </c>
      <c r="M35" s="512" t="str">
        <f>IF(AP!$G35="","",IF(OR(COUNT(M35:O35)=0,S35=""),"",IF(diNo!R31="BOS", ROUNDUP((IF((Q35*2+M$5)/3&lt;1, 0, ROUNDUP((Q35*2+M$5)/3,2))*2+SUM(AP!M35:O35))/(2+COUNT(AP!M35:O35)),2),ROUNDUP((IF((Q35*2+M$5)/3&lt;1, 0, ROUNDUP((Q35*2+M$5)/3,2))*3+SUM(AP!M35:O35))/(3+COUNT(AP!M35:O35)),2))))</f>
        <v/>
      </c>
      <c r="N35" s="512" t="str">
        <f>IF(AP!$G35="","",IF(OR(COUNT(N35:P35)=0,T35=""),"",IF(diNo!S31="BOS", ROUNDUP((IF((R35*2+N$5)/3&lt;1, 0, ROUNDUP((R35*2+N$5)/3,2))*2+SUM(AP!N35:P35))/(2+COUNT(AP!N35:P35)),2),ROUNDUP((IF((R35*2+N$5)/3&lt;1, 0, ROUNDUP((R35*2+N$5)/3,2))*3+SUM(AP!N35:P35))/(3+COUNT(AP!N35:P35)),2))))</f>
        <v/>
      </c>
      <c r="O35" s="513" t="str">
        <f>IF(AP!$G35="","",IF(OR(COUNT(O35:Q35)=0,U35=""),"",IF(diNo!T31="BOS", ROUNDUP((IF((S35*2+O$5)/3&lt;1, 0, ROUNDUP((S35*2+O$5)/3,2))*2+SUM(AP!O35:Q35))/(2+COUNT(AP!O35:Q35)),2),ROUNDUP((IF((S35*2+O$5)/3&lt;1, 0, ROUNDUP((S35*2+O$5)/3,2))*3+SUM(AP!O35:Q35))/(3+COUNT(AP!O35:Q35)),2))))</f>
        <v/>
      </c>
      <c r="P35" s="513" t="str">
        <f>IF(AP!$G35="","",IF(OR(COUNT(P35:R35)=0,V35=""),"",IF(diNo!U31="BOS", ROUNDUP((IF((T35*2+P$5)/3&lt;1, 0, ROUNDUP((T35*2+P$5)/3,2))*2+SUM(AP!P35:R35))/(2+COUNT(AP!P35:R35)),2),ROUNDUP((IF((T35*2+P$5)/3&lt;1, 0, ROUNDUP((T35*2+P$5)/3,2))*3+SUM(AP!P35:R35))/(3+COUNT(AP!P35:R35)),2))))</f>
        <v/>
      </c>
      <c r="Q35" s="513" t="str">
        <f>IF(AP!$G35="","",IF(OR(COUNT(Q35:S35)=0,W35=""),"",IF(diNo!V31="BOS", ROUNDUP((IF((U35*2+Q$5)/3&lt;1, 0, ROUNDUP((U35*2+Q$5)/3,2))*2+SUM(AP!Q35:S35))/(2+COUNT(AP!Q35:S35)),2),ROUNDUP((IF((U35*2+Q$5)/3&lt;1, 0, ROUNDUP((U35*2+Q$5)/3,2))*3+SUM(AP!Q35:S35))/(3+COUNT(AP!Q35:S35)),2))))</f>
        <v/>
      </c>
      <c r="R35" s="512" t="str">
        <f>IF(AP!$G35="","",IF(OR(COUNT(R35:T35)=0,X35=""),"",IF(diNo!W31="BOS", ROUNDUP((IF((V35*2+R$5)/3&lt;1, 0, ROUNDUP((V35*2+R$5)/3,2))*2+SUM(AP!R35:T35))/(2+COUNT(AP!R35:T35)),2),ROUNDUP((IF((V35*2+R$5)/3&lt;1, 0, ROUNDUP((V35*2+R$5)/3,2))*3+SUM(AP!R35:T35))/(3+COUNT(AP!R35:T35)),2))))</f>
        <v/>
      </c>
    </row>
    <row r="36" spans="1:18" x14ac:dyDescent="0.2">
      <c r="A36" s="2" t="str">
        <f>IF(+AP!B36="","",AP!B36)</f>
        <v/>
      </c>
      <c r="B36" s="196" t="str">
        <f>IF(AP!G36="","",IF(ROUNDUP((AP!G36+AP!E36)/2,2)&lt;1,0,ROUNDUP((AP!G36+AP!E36)/2,2)))</f>
        <v/>
      </c>
      <c r="C36" s="197" t="str">
        <f>IF(AP!$G36="","",IF(OR(COUNT(C36:E36)=0,I36=""),"",IF(diNo!H32="BOS", ROUNDUP((IF((G36*2+C$5)/3&lt;1, 0, ROUNDUP((G36*2+C$5)/3,2))*2+SUM(AP!C36:E36))/(2+COUNT(AP!C36:E36)),2),ROUNDUP((IF((G36*2+C$5)/3&lt;1, 0, ROUNDUP((G36*2+C$5)/3,2))*3+SUM(AP!C36:E36))/(3+COUNT(AP!C36:E36)),2))))</f>
        <v/>
      </c>
      <c r="D36" s="197" t="str">
        <f>IF(AP!$G36="","",IF(OR(COUNT(D36:F36)=0,J36=""),"",IF(diNo!I32="BOS", ROUNDUP((IF((H36*2+D$5)/3&lt;1, 0, ROUNDUP((H36*2+D$5)/3,2))*2+SUM(AP!D36:F36))/(2+COUNT(AP!D36:F36)),2),ROUNDUP((IF((H36*2+D$5)/3&lt;1, 0, ROUNDUP((H36*2+D$5)/3,2))*3+SUM(AP!D36:F36))/(3+COUNT(AP!D36:F36)),2))))</f>
        <v/>
      </c>
      <c r="E36" s="197" t="str">
        <f>IF(AP!$G36="","",IF(OR(COUNT(E36:G36)=0,K36=""),"",IF(diNo!J32="BOS", ROUNDUP((IF((I36*2+E$5)/3&lt;1, 0, ROUNDUP((I36*2+E$5)/3,2))*2+SUM(AP!E36:G36))/(2+COUNT(AP!E36:G36)),2),ROUNDUP((IF((I36*2+E$5)/3&lt;1, 0, ROUNDUP((I36*2+E$5)/3,2))*3+SUM(AP!E36:G36))/(3+COUNT(AP!E36:G36)),2))))</f>
        <v/>
      </c>
      <c r="F36" s="512" t="str">
        <f>IF(AP!$G36="","",IF(OR(COUNT(F36:H36)=0,L36=""),"",IF(diNo!K32="BOS", ROUNDUP((IF((J36*2+F$5)/3&lt;1, 0, ROUNDUP((J36*2+F$5)/3,2))*2+SUM(AP!F36:H36))/(2+COUNT(AP!F36:H36)),2),ROUNDUP((IF((J36*2+F$5)/3&lt;1, 0, ROUNDUP((J36*2+F$5)/3,2))*3+SUM(AP!F36:H36))/(3+COUNT(AP!F36:H36)),2))))</f>
        <v/>
      </c>
      <c r="G36" s="512" t="str">
        <f>IF(AP!$G36="","",IF(OR(COUNT(G36:I36)=0,M36=""),"",IF(diNo!L32="BOS", ROUNDUP((IF((K36*2+G$5)/3&lt;1, 0, ROUNDUP((K36*2+G$5)/3,2))*2+SUM(AP!G36:I36))/(2+COUNT(AP!G36:I36)),2),ROUNDUP((IF((K36*2+G$5)/3&lt;1, 0, ROUNDUP((K36*2+G$5)/3,2))*3+SUM(AP!G36:I36))/(3+COUNT(AP!G36:I36)),2))))</f>
        <v/>
      </c>
      <c r="H36" s="512" t="str">
        <f>IF(AP!$G36="","",IF(OR(COUNT(H36:J36)=0,N36=""),"",IF(diNo!M32="BOS", ROUNDUP((IF((L36*2+H$5)/3&lt;1, 0, ROUNDUP((L36*2+H$5)/3,2))*2+SUM(AP!H36:J36))/(2+COUNT(AP!H36:J36)),2),ROUNDUP((IF((L36*2+H$5)/3&lt;1, 0, ROUNDUP((L36*2+H$5)/3,2))*3+SUM(AP!H36:J36))/(3+COUNT(AP!H36:J36)),2))))</f>
        <v/>
      </c>
      <c r="I36" s="197" t="str">
        <f>IF(AP!$G36="","",IF(OR(COUNT(I36:K36)=0,O36=""),"",IF(diNo!N32="BOS", ROUNDUP((IF((M36*2+I$5)/3&lt;1, 0, ROUNDUP((M36*2+I$5)/3,2))*2+SUM(AP!I36:K36))/(2+COUNT(AP!I36:K36)),2),ROUNDUP((IF((M36*2+I$5)/3&lt;1, 0, ROUNDUP((M36*2+I$5)/3,2))*3+SUM(AP!I36:K36))/(3+COUNT(AP!I36:K36)),2))))</f>
        <v/>
      </c>
      <c r="J36" s="197" t="str">
        <f>IF(AP!$G36="","",IF(OR(COUNT(J36:L36)=0,P36=""),"",IF(diNo!O32="BOS", ROUNDUP((IF((N36*2+J$5)/3&lt;1, 0, ROUNDUP((N36*2+J$5)/3,2))*2+SUM(AP!J36:L36))/(2+COUNT(AP!J36:L36)),2),ROUNDUP((IF((N36*2+J$5)/3&lt;1, 0, ROUNDUP((N36*2+J$5)/3,2))*3+SUM(AP!J36:L36))/(3+COUNT(AP!J36:L36)),2))))</f>
        <v/>
      </c>
      <c r="K36" s="197" t="str">
        <f>IF(AP!$G36="","",IF(OR(COUNT(K36:M36)=0,Q36=""),"",IF(diNo!P32="BOS", ROUNDUP((IF((O36*2+K$5)/3&lt;1, 0, ROUNDUP((O36*2+K$5)/3,2))*2+SUM(AP!K36:M36))/(2+COUNT(AP!K36:M36)),2),ROUNDUP((IF((O36*2+K$5)/3&lt;1, 0, ROUNDUP((O36*2+K$5)/3,2))*3+SUM(AP!K36:M36))/(3+COUNT(AP!K36:M36)),2))))</f>
        <v/>
      </c>
      <c r="L36" s="512" t="str">
        <f>IF(AP!$G36="","",IF(OR(COUNT(L36:N36)=0,R36=""),"",IF(diNo!Q32="BOS", ROUNDUP((IF((P36*2+L$5)/3&lt;1, 0, ROUNDUP((P36*2+L$5)/3,2))*2+SUM(AP!L36:N36))/(2+COUNT(AP!L36:N36)),2),ROUNDUP((IF((P36*2+L$5)/3&lt;1, 0, ROUNDUP((P36*2+L$5)/3,2))*3+SUM(AP!L36:N36))/(3+COUNT(AP!L36:N36)),2))))</f>
        <v/>
      </c>
      <c r="M36" s="512" t="str">
        <f>IF(AP!$G36="","",IF(OR(COUNT(M36:O36)=0,S36=""),"",IF(diNo!R32="BOS", ROUNDUP((IF((Q36*2+M$5)/3&lt;1, 0, ROUNDUP((Q36*2+M$5)/3,2))*2+SUM(AP!M36:O36))/(2+COUNT(AP!M36:O36)),2),ROUNDUP((IF((Q36*2+M$5)/3&lt;1, 0, ROUNDUP((Q36*2+M$5)/3,2))*3+SUM(AP!M36:O36))/(3+COUNT(AP!M36:O36)),2))))</f>
        <v/>
      </c>
      <c r="N36" s="512" t="str">
        <f>IF(AP!$G36="","",IF(OR(COUNT(N36:P36)=0,T36=""),"",IF(diNo!S32="BOS", ROUNDUP((IF((R36*2+N$5)/3&lt;1, 0, ROUNDUP((R36*2+N$5)/3,2))*2+SUM(AP!N36:P36))/(2+COUNT(AP!N36:P36)),2),ROUNDUP((IF((R36*2+N$5)/3&lt;1, 0, ROUNDUP((R36*2+N$5)/3,2))*3+SUM(AP!N36:P36))/(3+COUNT(AP!N36:P36)),2))))</f>
        <v/>
      </c>
      <c r="O36" s="513" t="str">
        <f>IF(AP!$G36="","",IF(OR(COUNT(O36:Q36)=0,U36=""),"",IF(diNo!T32="BOS", ROUNDUP((IF((S36*2+O$5)/3&lt;1, 0, ROUNDUP((S36*2+O$5)/3,2))*2+SUM(AP!O36:Q36))/(2+COUNT(AP!O36:Q36)),2),ROUNDUP((IF((S36*2+O$5)/3&lt;1, 0, ROUNDUP((S36*2+O$5)/3,2))*3+SUM(AP!O36:Q36))/(3+COUNT(AP!O36:Q36)),2))))</f>
        <v/>
      </c>
      <c r="P36" s="513" t="str">
        <f>IF(AP!$G36="","",IF(OR(COUNT(P36:R36)=0,V36=""),"",IF(diNo!U32="BOS", ROUNDUP((IF((T36*2+P$5)/3&lt;1, 0, ROUNDUP((T36*2+P$5)/3,2))*2+SUM(AP!P36:R36))/(2+COUNT(AP!P36:R36)),2),ROUNDUP((IF((T36*2+P$5)/3&lt;1, 0, ROUNDUP((T36*2+P$5)/3,2))*3+SUM(AP!P36:R36))/(3+COUNT(AP!P36:R36)),2))))</f>
        <v/>
      </c>
      <c r="Q36" s="513" t="str">
        <f>IF(AP!$G36="","",IF(OR(COUNT(Q36:S36)=0,W36=""),"",IF(diNo!V32="BOS", ROUNDUP((IF((U36*2+Q$5)/3&lt;1, 0, ROUNDUP((U36*2+Q$5)/3,2))*2+SUM(AP!Q36:S36))/(2+COUNT(AP!Q36:S36)),2),ROUNDUP((IF((U36*2+Q$5)/3&lt;1, 0, ROUNDUP((U36*2+Q$5)/3,2))*3+SUM(AP!Q36:S36))/(3+COUNT(AP!Q36:S36)),2))))</f>
        <v/>
      </c>
      <c r="R36" s="512" t="str">
        <f>IF(AP!$G36="","",IF(OR(COUNT(R36:T36)=0,X36=""),"",IF(diNo!W32="BOS", ROUNDUP((IF((V36*2+R$5)/3&lt;1, 0, ROUNDUP((V36*2+R$5)/3,2))*2+SUM(AP!R36:T36))/(2+COUNT(AP!R36:T36)),2),ROUNDUP((IF((V36*2+R$5)/3&lt;1, 0, ROUNDUP((V36*2+R$5)/3,2))*3+SUM(AP!R36:T36))/(3+COUNT(AP!R36:T36)),2))))</f>
        <v/>
      </c>
    </row>
    <row r="37" spans="1:18" x14ac:dyDescent="0.2">
      <c r="A37" s="2" t="str">
        <f>IF(+AP!B37="","",AP!B37)</f>
        <v/>
      </c>
      <c r="B37" s="196" t="str">
        <f>IF(AP!G37="","",IF(ROUNDUP((AP!G37+AP!E37)/2,2)&lt;1,0,ROUNDUP((AP!G37+AP!E37)/2,2)))</f>
        <v/>
      </c>
      <c r="C37" s="197" t="str">
        <f>IF(AP!$G37="","",IF(OR(COUNT(C37:E37)=0,I37=""),"",IF(diNo!H33="BOS", ROUNDUP((IF((G37*2+C$5)/3&lt;1, 0, ROUNDUP((G37*2+C$5)/3,2))*2+SUM(AP!C37:E37))/(2+COUNT(AP!C37:E37)),2),ROUNDUP((IF((G37*2+C$5)/3&lt;1, 0, ROUNDUP((G37*2+C$5)/3,2))*3+SUM(AP!C37:E37))/(3+COUNT(AP!C37:E37)),2))))</f>
        <v/>
      </c>
      <c r="D37" s="197" t="str">
        <f>IF(AP!$G37="","",IF(OR(COUNT(D37:F37)=0,J37=""),"",IF(diNo!I33="BOS", ROUNDUP((IF((H37*2+D$5)/3&lt;1, 0, ROUNDUP((H37*2+D$5)/3,2))*2+SUM(AP!D37:F37))/(2+COUNT(AP!D37:F37)),2),ROUNDUP((IF((H37*2+D$5)/3&lt;1, 0, ROUNDUP((H37*2+D$5)/3,2))*3+SUM(AP!D37:F37))/(3+COUNT(AP!D37:F37)),2))))</f>
        <v/>
      </c>
      <c r="E37" s="197" t="str">
        <f>IF(AP!$G37="","",IF(OR(COUNT(E37:G37)=0,K37=""),"",IF(diNo!J33="BOS", ROUNDUP((IF((I37*2+E$5)/3&lt;1, 0, ROUNDUP((I37*2+E$5)/3,2))*2+SUM(AP!E37:G37))/(2+COUNT(AP!E37:G37)),2),ROUNDUP((IF((I37*2+E$5)/3&lt;1, 0, ROUNDUP((I37*2+E$5)/3,2))*3+SUM(AP!E37:G37))/(3+COUNT(AP!E37:G37)),2))))</f>
        <v/>
      </c>
      <c r="F37" s="512" t="str">
        <f>IF(AP!$G37="","",IF(OR(COUNT(F37:H37)=0,L37=""),"",IF(diNo!K33="BOS", ROUNDUP((IF((J37*2+F$5)/3&lt;1, 0, ROUNDUP((J37*2+F$5)/3,2))*2+SUM(AP!F37:H37))/(2+COUNT(AP!F37:H37)),2),ROUNDUP((IF((J37*2+F$5)/3&lt;1, 0, ROUNDUP((J37*2+F$5)/3,2))*3+SUM(AP!F37:H37))/(3+COUNT(AP!F37:H37)),2))))</f>
        <v/>
      </c>
      <c r="G37" s="512" t="str">
        <f>IF(AP!$G37="","",IF(OR(COUNT(G37:I37)=0,M37=""),"",IF(diNo!L33="BOS", ROUNDUP((IF((K37*2+G$5)/3&lt;1, 0, ROUNDUP((K37*2+G$5)/3,2))*2+SUM(AP!G37:I37))/(2+COUNT(AP!G37:I37)),2),ROUNDUP((IF((K37*2+G$5)/3&lt;1, 0, ROUNDUP((K37*2+G$5)/3,2))*3+SUM(AP!G37:I37))/(3+COUNT(AP!G37:I37)),2))))</f>
        <v/>
      </c>
      <c r="H37" s="512" t="str">
        <f>IF(AP!$G37="","",IF(OR(COUNT(H37:J37)=0,N37=""),"",IF(diNo!M33="BOS", ROUNDUP((IF((L37*2+H$5)/3&lt;1, 0, ROUNDUP((L37*2+H$5)/3,2))*2+SUM(AP!H37:J37))/(2+COUNT(AP!H37:J37)),2),ROUNDUP((IF((L37*2+H$5)/3&lt;1, 0, ROUNDUP((L37*2+H$5)/3,2))*3+SUM(AP!H37:J37))/(3+COUNT(AP!H37:J37)),2))))</f>
        <v/>
      </c>
      <c r="I37" s="197" t="str">
        <f>IF(AP!$G37="","",IF(OR(COUNT(I37:K37)=0,O37=""),"",IF(diNo!N33="BOS", ROUNDUP((IF((M37*2+I$5)/3&lt;1, 0, ROUNDUP((M37*2+I$5)/3,2))*2+SUM(AP!I37:K37))/(2+COUNT(AP!I37:K37)),2),ROUNDUP((IF((M37*2+I$5)/3&lt;1, 0, ROUNDUP((M37*2+I$5)/3,2))*3+SUM(AP!I37:K37))/(3+COUNT(AP!I37:K37)),2))))</f>
        <v/>
      </c>
      <c r="J37" s="197" t="str">
        <f>IF(AP!$G37="","",IF(OR(COUNT(J37:L37)=0,P37=""),"",IF(diNo!O33="BOS", ROUNDUP((IF((N37*2+J$5)/3&lt;1, 0, ROUNDUP((N37*2+J$5)/3,2))*2+SUM(AP!J37:L37))/(2+COUNT(AP!J37:L37)),2),ROUNDUP((IF((N37*2+J$5)/3&lt;1, 0, ROUNDUP((N37*2+J$5)/3,2))*3+SUM(AP!J37:L37))/(3+COUNT(AP!J37:L37)),2))))</f>
        <v/>
      </c>
      <c r="K37" s="197" t="str">
        <f>IF(AP!$G37="","",IF(OR(COUNT(K37:M37)=0,Q37=""),"",IF(diNo!P33="BOS", ROUNDUP((IF((O37*2+K$5)/3&lt;1, 0, ROUNDUP((O37*2+K$5)/3,2))*2+SUM(AP!K37:M37))/(2+COUNT(AP!K37:M37)),2),ROUNDUP((IF((O37*2+K$5)/3&lt;1, 0, ROUNDUP((O37*2+K$5)/3,2))*3+SUM(AP!K37:M37))/(3+COUNT(AP!K37:M37)),2))))</f>
        <v/>
      </c>
      <c r="L37" s="512" t="str">
        <f>IF(AP!$G37="","",IF(OR(COUNT(L37:N37)=0,R37=""),"",IF(diNo!Q33="BOS", ROUNDUP((IF((P37*2+L$5)/3&lt;1, 0, ROUNDUP((P37*2+L$5)/3,2))*2+SUM(AP!L37:N37))/(2+COUNT(AP!L37:N37)),2),ROUNDUP((IF((P37*2+L$5)/3&lt;1, 0, ROUNDUP((P37*2+L$5)/3,2))*3+SUM(AP!L37:N37))/(3+COUNT(AP!L37:N37)),2))))</f>
        <v/>
      </c>
      <c r="M37" s="512" t="str">
        <f>IF(AP!$G37="","",IF(OR(COUNT(M37:O37)=0,S37=""),"",IF(diNo!R33="BOS", ROUNDUP((IF((Q37*2+M$5)/3&lt;1, 0, ROUNDUP((Q37*2+M$5)/3,2))*2+SUM(AP!M37:O37))/(2+COUNT(AP!M37:O37)),2),ROUNDUP((IF((Q37*2+M$5)/3&lt;1, 0, ROUNDUP((Q37*2+M$5)/3,2))*3+SUM(AP!M37:O37))/(3+COUNT(AP!M37:O37)),2))))</f>
        <v/>
      </c>
      <c r="N37" s="512" t="str">
        <f>IF(AP!$G37="","",IF(OR(COUNT(N37:P37)=0,T37=""),"",IF(diNo!S33="BOS", ROUNDUP((IF((R37*2+N$5)/3&lt;1, 0, ROUNDUP((R37*2+N$5)/3,2))*2+SUM(AP!N37:P37))/(2+COUNT(AP!N37:P37)),2),ROUNDUP((IF((R37*2+N$5)/3&lt;1, 0, ROUNDUP((R37*2+N$5)/3,2))*3+SUM(AP!N37:P37))/(3+COUNT(AP!N37:P37)),2))))</f>
        <v/>
      </c>
      <c r="O37" s="513" t="str">
        <f>IF(AP!$G37="","",IF(OR(COUNT(O37:Q37)=0,U37=""),"",IF(diNo!T33="BOS", ROUNDUP((IF((S37*2+O$5)/3&lt;1, 0, ROUNDUP((S37*2+O$5)/3,2))*2+SUM(AP!O37:Q37))/(2+COUNT(AP!O37:Q37)),2),ROUNDUP((IF((S37*2+O$5)/3&lt;1, 0, ROUNDUP((S37*2+O$5)/3,2))*3+SUM(AP!O37:Q37))/(3+COUNT(AP!O37:Q37)),2))))</f>
        <v/>
      </c>
      <c r="P37" s="513" t="str">
        <f>IF(AP!$G37="","",IF(OR(COUNT(P37:R37)=0,V37=""),"",IF(diNo!U33="BOS", ROUNDUP((IF((T37*2+P$5)/3&lt;1, 0, ROUNDUP((T37*2+P$5)/3,2))*2+SUM(AP!P37:R37))/(2+COUNT(AP!P37:R37)),2),ROUNDUP((IF((T37*2+P$5)/3&lt;1, 0, ROUNDUP((T37*2+P$5)/3,2))*3+SUM(AP!P37:R37))/(3+COUNT(AP!P37:R37)),2))))</f>
        <v/>
      </c>
      <c r="Q37" s="513" t="str">
        <f>IF(AP!$G37="","",IF(OR(COUNT(Q37:S37)=0,W37=""),"",IF(diNo!V33="BOS", ROUNDUP((IF((U37*2+Q$5)/3&lt;1, 0, ROUNDUP((U37*2+Q$5)/3,2))*2+SUM(AP!Q37:S37))/(2+COUNT(AP!Q37:S37)),2),ROUNDUP((IF((U37*2+Q$5)/3&lt;1, 0, ROUNDUP((U37*2+Q$5)/3,2))*3+SUM(AP!Q37:S37))/(3+COUNT(AP!Q37:S37)),2))))</f>
        <v/>
      </c>
      <c r="R37" s="512" t="str">
        <f>IF(AP!$G37="","",IF(OR(COUNT(R37:T37)=0,X37=""),"",IF(diNo!W33="BOS", ROUNDUP((IF((V37*2+R$5)/3&lt;1, 0, ROUNDUP((V37*2+R$5)/3,2))*2+SUM(AP!R37:T37))/(2+COUNT(AP!R37:T37)),2),ROUNDUP((IF((V37*2+R$5)/3&lt;1, 0, ROUNDUP((V37*2+R$5)/3,2))*3+SUM(AP!R37:T37))/(3+COUNT(AP!R37:T37)),2))))</f>
        <v/>
      </c>
    </row>
    <row r="38" spans="1:18" x14ac:dyDescent="0.2">
      <c r="A38" s="2" t="str">
        <f>IF(+AP!B38="","",AP!B38)</f>
        <v/>
      </c>
      <c r="B38" s="196" t="str">
        <f>IF(AP!G38="","",IF(ROUNDUP((AP!G38+AP!E38)/2,2)&lt;1,0,ROUNDUP((AP!G38+AP!E38)/2,2)))</f>
        <v/>
      </c>
      <c r="C38" s="197" t="str">
        <f>IF(AP!$G38="","",IF(OR(COUNT(C38:E38)=0,I38=""),"",IF(diNo!H34="BOS", ROUNDUP((IF((G38*2+C$5)/3&lt;1, 0, ROUNDUP((G38*2+C$5)/3,2))*2+SUM(AP!C38:E38))/(2+COUNT(AP!C38:E38)),2),ROUNDUP((IF((G38*2+C$5)/3&lt;1, 0, ROUNDUP((G38*2+C$5)/3,2))*3+SUM(AP!C38:E38))/(3+COUNT(AP!C38:E38)),2))))</f>
        <v/>
      </c>
      <c r="D38" s="197" t="str">
        <f>IF(AP!$G38="","",IF(OR(COUNT(D38:F38)=0,J38=""),"",IF(diNo!I34="BOS", ROUNDUP((IF((H38*2+D$5)/3&lt;1, 0, ROUNDUP((H38*2+D$5)/3,2))*2+SUM(AP!D38:F38))/(2+COUNT(AP!D38:F38)),2),ROUNDUP((IF((H38*2+D$5)/3&lt;1, 0, ROUNDUP((H38*2+D$5)/3,2))*3+SUM(AP!D38:F38))/(3+COUNT(AP!D38:F38)),2))))</f>
        <v/>
      </c>
      <c r="E38" s="197" t="str">
        <f>IF(AP!$G38="","",IF(OR(COUNT(E38:G38)=0,K38=""),"",IF(diNo!J34="BOS", ROUNDUP((IF((I38*2+E$5)/3&lt;1, 0, ROUNDUP((I38*2+E$5)/3,2))*2+SUM(AP!E38:G38))/(2+COUNT(AP!E38:G38)),2),ROUNDUP((IF((I38*2+E$5)/3&lt;1, 0, ROUNDUP((I38*2+E$5)/3,2))*3+SUM(AP!E38:G38))/(3+COUNT(AP!E38:G38)),2))))</f>
        <v/>
      </c>
      <c r="F38" s="512" t="str">
        <f>IF(AP!$G38="","",IF(OR(COUNT(F38:H38)=0,L38=""),"",IF(diNo!K34="BOS", ROUNDUP((IF((J38*2+F$5)/3&lt;1, 0, ROUNDUP((J38*2+F$5)/3,2))*2+SUM(AP!F38:H38))/(2+COUNT(AP!F38:H38)),2),ROUNDUP((IF((J38*2+F$5)/3&lt;1, 0, ROUNDUP((J38*2+F$5)/3,2))*3+SUM(AP!F38:H38))/(3+COUNT(AP!F38:H38)),2))))</f>
        <v/>
      </c>
      <c r="G38" s="512" t="str">
        <f>IF(AP!$G38="","",IF(OR(COUNT(G38:I38)=0,M38=""),"",IF(diNo!L34="BOS", ROUNDUP((IF((K38*2+G$5)/3&lt;1, 0, ROUNDUP((K38*2+G$5)/3,2))*2+SUM(AP!G38:I38))/(2+COUNT(AP!G38:I38)),2),ROUNDUP((IF((K38*2+G$5)/3&lt;1, 0, ROUNDUP((K38*2+G$5)/3,2))*3+SUM(AP!G38:I38))/(3+COUNT(AP!G38:I38)),2))))</f>
        <v/>
      </c>
      <c r="H38" s="512" t="str">
        <f>IF(AP!$G38="","",IF(OR(COUNT(H38:J38)=0,N38=""),"",IF(diNo!M34="BOS", ROUNDUP((IF((L38*2+H$5)/3&lt;1, 0, ROUNDUP((L38*2+H$5)/3,2))*2+SUM(AP!H38:J38))/(2+COUNT(AP!H38:J38)),2),ROUNDUP((IF((L38*2+H$5)/3&lt;1, 0, ROUNDUP((L38*2+H$5)/3,2))*3+SUM(AP!H38:J38))/(3+COUNT(AP!H38:J38)),2))))</f>
        <v/>
      </c>
      <c r="I38" s="197" t="str">
        <f>IF(AP!$G38="","",IF(OR(COUNT(I38:K38)=0,O38=""),"",IF(diNo!N34="BOS", ROUNDUP((IF((M38*2+I$5)/3&lt;1, 0, ROUNDUP((M38*2+I$5)/3,2))*2+SUM(AP!I38:K38))/(2+COUNT(AP!I38:K38)),2),ROUNDUP((IF((M38*2+I$5)/3&lt;1, 0, ROUNDUP((M38*2+I$5)/3,2))*3+SUM(AP!I38:K38))/(3+COUNT(AP!I38:K38)),2))))</f>
        <v/>
      </c>
      <c r="J38" s="197" t="str">
        <f>IF(AP!$G38="","",IF(OR(COUNT(J38:L38)=0,P38=""),"",IF(diNo!O34="BOS", ROUNDUP((IF((N38*2+J$5)/3&lt;1, 0, ROUNDUP((N38*2+J$5)/3,2))*2+SUM(AP!J38:L38))/(2+COUNT(AP!J38:L38)),2),ROUNDUP((IF((N38*2+J$5)/3&lt;1, 0, ROUNDUP((N38*2+J$5)/3,2))*3+SUM(AP!J38:L38))/(3+COUNT(AP!J38:L38)),2))))</f>
        <v/>
      </c>
      <c r="K38" s="197" t="str">
        <f>IF(AP!$G38="","",IF(OR(COUNT(K38:M38)=0,Q38=""),"",IF(diNo!P34="BOS", ROUNDUP((IF((O38*2+K$5)/3&lt;1, 0, ROUNDUP((O38*2+K$5)/3,2))*2+SUM(AP!K38:M38))/(2+COUNT(AP!K38:M38)),2),ROUNDUP((IF((O38*2+K$5)/3&lt;1, 0, ROUNDUP((O38*2+K$5)/3,2))*3+SUM(AP!K38:M38))/(3+COUNT(AP!K38:M38)),2))))</f>
        <v/>
      </c>
      <c r="L38" s="512" t="str">
        <f>IF(AP!$G38="","",IF(OR(COUNT(L38:N38)=0,R38=""),"",IF(diNo!Q34="BOS", ROUNDUP((IF((P38*2+L$5)/3&lt;1, 0, ROUNDUP((P38*2+L$5)/3,2))*2+SUM(AP!L38:N38))/(2+COUNT(AP!L38:N38)),2),ROUNDUP((IF((P38*2+L$5)/3&lt;1, 0, ROUNDUP((P38*2+L$5)/3,2))*3+SUM(AP!L38:N38))/(3+COUNT(AP!L38:N38)),2))))</f>
        <v/>
      </c>
      <c r="M38" s="512" t="str">
        <f>IF(AP!$G38="","",IF(OR(COUNT(M38:O38)=0,S38=""),"",IF(diNo!R34="BOS", ROUNDUP((IF((Q38*2+M$5)/3&lt;1, 0, ROUNDUP((Q38*2+M$5)/3,2))*2+SUM(AP!M38:O38))/(2+COUNT(AP!M38:O38)),2),ROUNDUP((IF((Q38*2+M$5)/3&lt;1, 0, ROUNDUP((Q38*2+M$5)/3,2))*3+SUM(AP!M38:O38))/(3+COUNT(AP!M38:O38)),2))))</f>
        <v/>
      </c>
      <c r="N38" s="512" t="str">
        <f>IF(AP!$G38="","",IF(OR(COUNT(N38:P38)=0,T38=""),"",IF(diNo!S34="BOS", ROUNDUP((IF((R38*2+N$5)/3&lt;1, 0, ROUNDUP((R38*2+N$5)/3,2))*2+SUM(AP!N38:P38))/(2+COUNT(AP!N38:P38)),2),ROUNDUP((IF((R38*2+N$5)/3&lt;1, 0, ROUNDUP((R38*2+N$5)/3,2))*3+SUM(AP!N38:P38))/(3+COUNT(AP!N38:P38)),2))))</f>
        <v/>
      </c>
      <c r="O38" s="513" t="str">
        <f>IF(AP!$G38="","",IF(OR(COUNT(O38:Q38)=0,U38=""),"",IF(diNo!T34="BOS", ROUNDUP((IF((S38*2+O$5)/3&lt;1, 0, ROUNDUP((S38*2+O$5)/3,2))*2+SUM(AP!O38:Q38))/(2+COUNT(AP!O38:Q38)),2),ROUNDUP((IF((S38*2+O$5)/3&lt;1, 0, ROUNDUP((S38*2+O$5)/3,2))*3+SUM(AP!O38:Q38))/(3+COUNT(AP!O38:Q38)),2))))</f>
        <v/>
      </c>
      <c r="P38" s="513" t="str">
        <f>IF(AP!$G38="","",IF(OR(COUNT(P38:R38)=0,V38=""),"",IF(diNo!U34="BOS", ROUNDUP((IF((T38*2+P$5)/3&lt;1, 0, ROUNDUP((T38*2+P$5)/3,2))*2+SUM(AP!P38:R38))/(2+COUNT(AP!P38:R38)),2),ROUNDUP((IF((T38*2+P$5)/3&lt;1, 0, ROUNDUP((T38*2+P$5)/3,2))*3+SUM(AP!P38:R38))/(3+COUNT(AP!P38:R38)),2))))</f>
        <v/>
      </c>
      <c r="Q38" s="513" t="str">
        <f>IF(AP!$G38="","",IF(OR(COUNT(Q38:S38)=0,W38=""),"",IF(diNo!V34="BOS", ROUNDUP((IF((U38*2+Q$5)/3&lt;1, 0, ROUNDUP((U38*2+Q$5)/3,2))*2+SUM(AP!Q38:S38))/(2+COUNT(AP!Q38:S38)),2),ROUNDUP((IF((U38*2+Q$5)/3&lt;1, 0, ROUNDUP((U38*2+Q$5)/3,2))*3+SUM(AP!Q38:S38))/(3+COUNT(AP!Q38:S38)),2))))</f>
        <v/>
      </c>
      <c r="R38" s="512" t="str">
        <f>IF(AP!$G38="","",IF(OR(COUNT(R38:T38)=0,X38=""),"",IF(diNo!W34="BOS", ROUNDUP((IF((V38*2+R$5)/3&lt;1, 0, ROUNDUP((V38*2+R$5)/3,2))*2+SUM(AP!R38:T38))/(2+COUNT(AP!R38:T38)),2),ROUNDUP((IF((V38*2+R$5)/3&lt;1, 0, ROUNDUP((V38*2+R$5)/3,2))*3+SUM(AP!R38:T38))/(3+COUNT(AP!R38:T38)),2))))</f>
        <v/>
      </c>
    </row>
    <row r="39" spans="1:18" x14ac:dyDescent="0.2">
      <c r="A39" s="2" t="str">
        <f>IF(+AP!B39="","",AP!B39)</f>
        <v/>
      </c>
      <c r="B39" s="196" t="str">
        <f>IF(AP!G39="","",IF(ROUNDUP((AP!G39+AP!E39)/2,2)&lt;1,0,ROUNDUP((AP!G39+AP!E39)/2,2)))</f>
        <v/>
      </c>
      <c r="C39" s="197" t="str">
        <f>IF(AP!$G39="","",IF(OR(COUNT(C39:E39)=0,I39=""),"",IF(diNo!H35="BOS", ROUNDUP((IF((G39*2+C$5)/3&lt;1, 0, ROUNDUP((G39*2+C$5)/3,2))*2+SUM(AP!C39:E39))/(2+COUNT(AP!C39:E39)),2),ROUNDUP((IF((G39*2+C$5)/3&lt;1, 0, ROUNDUP((G39*2+C$5)/3,2))*3+SUM(AP!C39:E39))/(3+COUNT(AP!C39:E39)),2))))</f>
        <v/>
      </c>
      <c r="D39" s="197" t="str">
        <f>IF(AP!$G39="","",IF(OR(COUNT(D39:F39)=0,J39=""),"",IF(diNo!I35="BOS", ROUNDUP((IF((H39*2+D$5)/3&lt;1, 0, ROUNDUP((H39*2+D$5)/3,2))*2+SUM(AP!D39:F39))/(2+COUNT(AP!D39:F39)),2),ROUNDUP((IF((H39*2+D$5)/3&lt;1, 0, ROUNDUP((H39*2+D$5)/3,2))*3+SUM(AP!D39:F39))/(3+COUNT(AP!D39:F39)),2))))</f>
        <v/>
      </c>
      <c r="E39" s="197" t="str">
        <f>IF(AP!$G39="","",IF(OR(COUNT(E39:G39)=0,K39=""),"",IF(diNo!J35="BOS", ROUNDUP((IF((I39*2+E$5)/3&lt;1, 0, ROUNDUP((I39*2+E$5)/3,2))*2+SUM(AP!E39:G39))/(2+COUNT(AP!E39:G39)),2),ROUNDUP((IF((I39*2+E$5)/3&lt;1, 0, ROUNDUP((I39*2+E$5)/3,2))*3+SUM(AP!E39:G39))/(3+COUNT(AP!E39:G39)),2))))</f>
        <v/>
      </c>
      <c r="F39" s="512" t="str">
        <f>IF(AP!$G39="","",IF(OR(COUNT(F39:H39)=0,L39=""),"",IF(diNo!K35="BOS", ROUNDUP((IF((J39*2+F$5)/3&lt;1, 0, ROUNDUP((J39*2+F$5)/3,2))*2+SUM(AP!F39:H39))/(2+COUNT(AP!F39:H39)),2),ROUNDUP((IF((J39*2+F$5)/3&lt;1, 0, ROUNDUP((J39*2+F$5)/3,2))*3+SUM(AP!F39:H39))/(3+COUNT(AP!F39:H39)),2))))</f>
        <v/>
      </c>
      <c r="G39" s="512" t="str">
        <f>IF(AP!$G39="","",IF(OR(COUNT(G39:I39)=0,M39=""),"",IF(diNo!L35="BOS", ROUNDUP((IF((K39*2+G$5)/3&lt;1, 0, ROUNDUP((K39*2+G$5)/3,2))*2+SUM(AP!G39:I39))/(2+COUNT(AP!G39:I39)),2),ROUNDUP((IF((K39*2+G$5)/3&lt;1, 0, ROUNDUP((K39*2+G$5)/3,2))*3+SUM(AP!G39:I39))/(3+COUNT(AP!G39:I39)),2))))</f>
        <v/>
      </c>
      <c r="H39" s="512" t="str">
        <f>IF(AP!$G39="","",IF(OR(COUNT(H39:J39)=0,N39=""),"",IF(diNo!M35="BOS", ROUNDUP((IF((L39*2+H$5)/3&lt;1, 0, ROUNDUP((L39*2+H$5)/3,2))*2+SUM(AP!H39:J39))/(2+COUNT(AP!H39:J39)),2),ROUNDUP((IF((L39*2+H$5)/3&lt;1, 0, ROUNDUP((L39*2+H$5)/3,2))*3+SUM(AP!H39:J39))/(3+COUNT(AP!H39:J39)),2))))</f>
        <v/>
      </c>
      <c r="I39" s="197" t="str">
        <f>IF(AP!$G39="","",IF(OR(COUNT(I39:K39)=0,O39=""),"",IF(diNo!N35="BOS", ROUNDUP((IF((M39*2+I$5)/3&lt;1, 0, ROUNDUP((M39*2+I$5)/3,2))*2+SUM(AP!I39:K39))/(2+COUNT(AP!I39:K39)),2),ROUNDUP((IF((M39*2+I$5)/3&lt;1, 0, ROUNDUP((M39*2+I$5)/3,2))*3+SUM(AP!I39:K39))/(3+COUNT(AP!I39:K39)),2))))</f>
        <v/>
      </c>
      <c r="J39" s="197" t="str">
        <f>IF(AP!$G39="","",IF(OR(COUNT(J39:L39)=0,P39=""),"",IF(diNo!O35="BOS", ROUNDUP((IF((N39*2+J$5)/3&lt;1, 0, ROUNDUP((N39*2+J$5)/3,2))*2+SUM(AP!J39:L39))/(2+COUNT(AP!J39:L39)),2),ROUNDUP((IF((N39*2+J$5)/3&lt;1, 0, ROUNDUP((N39*2+J$5)/3,2))*3+SUM(AP!J39:L39))/(3+COUNT(AP!J39:L39)),2))))</f>
        <v/>
      </c>
      <c r="K39" s="197" t="str">
        <f>IF(AP!$G39="","",IF(OR(COUNT(K39:M39)=0,Q39=""),"",IF(diNo!P35="BOS", ROUNDUP((IF((O39*2+K$5)/3&lt;1, 0, ROUNDUP((O39*2+K$5)/3,2))*2+SUM(AP!K39:M39))/(2+COUNT(AP!K39:M39)),2),ROUNDUP((IF((O39*2+K$5)/3&lt;1, 0, ROUNDUP((O39*2+K$5)/3,2))*3+SUM(AP!K39:M39))/(3+COUNT(AP!K39:M39)),2))))</f>
        <v/>
      </c>
      <c r="L39" s="512" t="str">
        <f>IF(AP!$G39="","",IF(OR(COUNT(L39:N39)=0,R39=""),"",IF(diNo!Q35="BOS", ROUNDUP((IF((P39*2+L$5)/3&lt;1, 0, ROUNDUP((P39*2+L$5)/3,2))*2+SUM(AP!L39:N39))/(2+COUNT(AP!L39:N39)),2),ROUNDUP((IF((P39*2+L$5)/3&lt;1, 0, ROUNDUP((P39*2+L$5)/3,2))*3+SUM(AP!L39:N39))/(3+COUNT(AP!L39:N39)),2))))</f>
        <v/>
      </c>
      <c r="M39" s="512" t="str">
        <f>IF(AP!$G39="","",IF(OR(COUNT(M39:O39)=0,S39=""),"",IF(diNo!R35="BOS", ROUNDUP((IF((Q39*2+M$5)/3&lt;1, 0, ROUNDUP((Q39*2+M$5)/3,2))*2+SUM(AP!M39:O39))/(2+COUNT(AP!M39:O39)),2),ROUNDUP((IF((Q39*2+M$5)/3&lt;1, 0, ROUNDUP((Q39*2+M$5)/3,2))*3+SUM(AP!M39:O39))/(3+COUNT(AP!M39:O39)),2))))</f>
        <v/>
      </c>
      <c r="N39" s="512" t="str">
        <f>IF(AP!$G39="","",IF(OR(COUNT(N39:P39)=0,T39=""),"",IF(diNo!S35="BOS", ROUNDUP((IF((R39*2+N$5)/3&lt;1, 0, ROUNDUP((R39*2+N$5)/3,2))*2+SUM(AP!N39:P39))/(2+COUNT(AP!N39:P39)),2),ROUNDUP((IF((R39*2+N$5)/3&lt;1, 0, ROUNDUP((R39*2+N$5)/3,2))*3+SUM(AP!N39:P39))/(3+COUNT(AP!N39:P39)),2))))</f>
        <v/>
      </c>
      <c r="O39" s="513" t="str">
        <f>IF(AP!$G39="","",IF(OR(COUNT(O39:Q39)=0,U39=""),"",IF(diNo!T35="BOS", ROUNDUP((IF((S39*2+O$5)/3&lt;1, 0, ROUNDUP((S39*2+O$5)/3,2))*2+SUM(AP!O39:Q39))/(2+COUNT(AP!O39:Q39)),2),ROUNDUP((IF((S39*2+O$5)/3&lt;1, 0, ROUNDUP((S39*2+O$5)/3,2))*3+SUM(AP!O39:Q39))/(3+COUNT(AP!O39:Q39)),2))))</f>
        <v/>
      </c>
      <c r="P39" s="513" t="str">
        <f>IF(AP!$G39="","",IF(OR(COUNT(P39:R39)=0,V39=""),"",IF(diNo!U35="BOS", ROUNDUP((IF((T39*2+P$5)/3&lt;1, 0, ROUNDUP((T39*2+P$5)/3,2))*2+SUM(AP!P39:R39))/(2+COUNT(AP!P39:R39)),2),ROUNDUP((IF((T39*2+P$5)/3&lt;1, 0, ROUNDUP((T39*2+P$5)/3,2))*3+SUM(AP!P39:R39))/(3+COUNT(AP!P39:R39)),2))))</f>
        <v/>
      </c>
      <c r="Q39" s="513" t="str">
        <f>IF(AP!$G39="","",IF(OR(COUNT(Q39:S39)=0,W39=""),"",IF(diNo!V35="BOS", ROUNDUP((IF((U39*2+Q$5)/3&lt;1, 0, ROUNDUP((U39*2+Q$5)/3,2))*2+SUM(AP!Q39:S39))/(2+COUNT(AP!Q39:S39)),2),ROUNDUP((IF((U39*2+Q$5)/3&lt;1, 0, ROUNDUP((U39*2+Q$5)/3,2))*3+SUM(AP!Q39:S39))/(3+COUNT(AP!Q39:S39)),2))))</f>
        <v/>
      </c>
      <c r="R39" s="512" t="str">
        <f>IF(AP!$G39="","",IF(OR(COUNT(R39:T39)=0,X39=""),"",IF(diNo!W35="BOS", ROUNDUP((IF((V39*2+R$5)/3&lt;1, 0, ROUNDUP((V39*2+R$5)/3,2))*2+SUM(AP!R39:T39))/(2+COUNT(AP!R39:T39)),2),ROUNDUP((IF((V39*2+R$5)/3&lt;1, 0, ROUNDUP((V39*2+R$5)/3,2))*3+SUM(AP!R39:T39))/(3+COUNT(AP!R39:T39)),2))))</f>
        <v/>
      </c>
    </row>
    <row r="40" spans="1:18" x14ac:dyDescent="0.2">
      <c r="A40" s="2" t="str">
        <f>IF(+AP!B40="","",AP!B40)</f>
        <v/>
      </c>
      <c r="B40" s="196" t="str">
        <f>IF(AP!G40="","",IF(ROUNDUP((AP!G40+AP!E40)/2,2)&lt;1,0,ROUNDUP((AP!G40+AP!E40)/2,2)))</f>
        <v/>
      </c>
      <c r="C40" s="197" t="str">
        <f>IF(AP!$G40="","",IF(OR(COUNT(C40:E40)=0,I40=""),"",IF(diNo!H36="BOS", ROUNDUP((IF((G40*2+C$5)/3&lt;1, 0, ROUNDUP((G40*2+C$5)/3,2))*2+SUM(AP!C40:E40))/(2+COUNT(AP!C40:E40)),2),ROUNDUP((IF((G40*2+C$5)/3&lt;1, 0, ROUNDUP((G40*2+C$5)/3,2))*3+SUM(AP!C40:E40))/(3+COUNT(AP!C40:E40)),2))))</f>
        <v/>
      </c>
      <c r="D40" s="197" t="str">
        <f>IF(AP!$G40="","",IF(OR(COUNT(D40:F40)=0,J40=""),"",IF(diNo!I36="BOS", ROUNDUP((IF((H40*2+D$5)/3&lt;1, 0, ROUNDUP((H40*2+D$5)/3,2))*2+SUM(AP!D40:F40))/(2+COUNT(AP!D40:F40)),2),ROUNDUP((IF((H40*2+D$5)/3&lt;1, 0, ROUNDUP((H40*2+D$5)/3,2))*3+SUM(AP!D40:F40))/(3+COUNT(AP!D40:F40)),2))))</f>
        <v/>
      </c>
      <c r="E40" s="197" t="str">
        <f>IF(AP!$G40="","",IF(OR(COUNT(E40:G40)=0,K40=""),"",IF(diNo!J36="BOS", ROUNDUP((IF((I40*2+E$5)/3&lt;1, 0, ROUNDUP((I40*2+E$5)/3,2))*2+SUM(AP!E40:G40))/(2+COUNT(AP!E40:G40)),2),ROUNDUP((IF((I40*2+E$5)/3&lt;1, 0, ROUNDUP((I40*2+E$5)/3,2))*3+SUM(AP!E40:G40))/(3+COUNT(AP!E40:G40)),2))))</f>
        <v/>
      </c>
      <c r="F40" s="512" t="str">
        <f>IF(AP!$G40="","",IF(OR(COUNT(F40:H40)=0,L40=""),"",IF(diNo!K36="BOS", ROUNDUP((IF((J40*2+F$5)/3&lt;1, 0, ROUNDUP((J40*2+F$5)/3,2))*2+SUM(AP!F40:H40))/(2+COUNT(AP!F40:H40)),2),ROUNDUP((IF((J40*2+F$5)/3&lt;1, 0, ROUNDUP((J40*2+F$5)/3,2))*3+SUM(AP!F40:H40))/(3+COUNT(AP!F40:H40)),2))))</f>
        <v/>
      </c>
      <c r="G40" s="512" t="str">
        <f>IF(AP!$G40="","",IF(OR(COUNT(G40:I40)=0,M40=""),"",IF(diNo!L36="BOS", ROUNDUP((IF((K40*2+G$5)/3&lt;1, 0, ROUNDUP((K40*2+G$5)/3,2))*2+SUM(AP!G40:I40))/(2+COUNT(AP!G40:I40)),2),ROUNDUP((IF((K40*2+G$5)/3&lt;1, 0, ROUNDUP((K40*2+G$5)/3,2))*3+SUM(AP!G40:I40))/(3+COUNT(AP!G40:I40)),2))))</f>
        <v/>
      </c>
      <c r="H40" s="512" t="str">
        <f>IF(AP!$G40="","",IF(OR(COUNT(H40:J40)=0,N40=""),"",IF(diNo!M36="BOS", ROUNDUP((IF((L40*2+H$5)/3&lt;1, 0, ROUNDUP((L40*2+H$5)/3,2))*2+SUM(AP!H40:J40))/(2+COUNT(AP!H40:J40)),2),ROUNDUP((IF((L40*2+H$5)/3&lt;1, 0, ROUNDUP((L40*2+H$5)/3,2))*3+SUM(AP!H40:J40))/(3+COUNT(AP!H40:J40)),2))))</f>
        <v/>
      </c>
      <c r="I40" s="197" t="str">
        <f>IF(AP!$G40="","",IF(OR(COUNT(I40:K40)=0,O40=""),"",IF(diNo!N36="BOS", ROUNDUP((IF((M40*2+I$5)/3&lt;1, 0, ROUNDUP((M40*2+I$5)/3,2))*2+SUM(AP!I40:K40))/(2+COUNT(AP!I40:K40)),2),ROUNDUP((IF((M40*2+I$5)/3&lt;1, 0, ROUNDUP((M40*2+I$5)/3,2))*3+SUM(AP!I40:K40))/(3+COUNT(AP!I40:K40)),2))))</f>
        <v/>
      </c>
      <c r="J40" s="197" t="str">
        <f>IF(AP!$G40="","",IF(OR(COUNT(J40:L40)=0,P40=""),"",IF(diNo!O36="BOS", ROUNDUP((IF((N40*2+J$5)/3&lt;1, 0, ROUNDUP((N40*2+J$5)/3,2))*2+SUM(AP!J40:L40))/(2+COUNT(AP!J40:L40)),2),ROUNDUP((IF((N40*2+J$5)/3&lt;1, 0, ROUNDUP((N40*2+J$5)/3,2))*3+SUM(AP!J40:L40))/(3+COUNT(AP!J40:L40)),2))))</f>
        <v/>
      </c>
      <c r="K40" s="197" t="str">
        <f>IF(AP!$G40="","",IF(OR(COUNT(K40:M40)=0,Q40=""),"",IF(diNo!P36="BOS", ROUNDUP((IF((O40*2+K$5)/3&lt;1, 0, ROUNDUP((O40*2+K$5)/3,2))*2+SUM(AP!K40:M40))/(2+COUNT(AP!K40:M40)),2),ROUNDUP((IF((O40*2+K$5)/3&lt;1, 0, ROUNDUP((O40*2+K$5)/3,2))*3+SUM(AP!K40:M40))/(3+COUNT(AP!K40:M40)),2))))</f>
        <v/>
      </c>
      <c r="L40" s="512" t="str">
        <f>IF(AP!$G40="","",IF(OR(COUNT(L40:N40)=0,R40=""),"",IF(diNo!Q36="BOS", ROUNDUP((IF((P40*2+L$5)/3&lt;1, 0, ROUNDUP((P40*2+L$5)/3,2))*2+SUM(AP!L40:N40))/(2+COUNT(AP!L40:N40)),2),ROUNDUP((IF((P40*2+L$5)/3&lt;1, 0, ROUNDUP((P40*2+L$5)/3,2))*3+SUM(AP!L40:N40))/(3+COUNT(AP!L40:N40)),2))))</f>
        <v/>
      </c>
      <c r="M40" s="512" t="str">
        <f>IF(AP!$G40="","",IF(OR(COUNT(M40:O40)=0,S40=""),"",IF(diNo!R36="BOS", ROUNDUP((IF((Q40*2+M$5)/3&lt;1, 0, ROUNDUP((Q40*2+M$5)/3,2))*2+SUM(AP!M40:O40))/(2+COUNT(AP!M40:O40)),2),ROUNDUP((IF((Q40*2+M$5)/3&lt;1, 0, ROUNDUP((Q40*2+M$5)/3,2))*3+SUM(AP!M40:O40))/(3+COUNT(AP!M40:O40)),2))))</f>
        <v/>
      </c>
      <c r="N40" s="512" t="str">
        <f>IF(AP!$G40="","",IF(OR(COUNT(N40:P40)=0,T40=""),"",IF(diNo!S36="BOS", ROUNDUP((IF((R40*2+N$5)/3&lt;1, 0, ROUNDUP((R40*2+N$5)/3,2))*2+SUM(AP!N40:P40))/(2+COUNT(AP!N40:P40)),2),ROUNDUP((IF((R40*2+N$5)/3&lt;1, 0, ROUNDUP((R40*2+N$5)/3,2))*3+SUM(AP!N40:P40))/(3+COUNT(AP!N40:P40)),2))))</f>
        <v/>
      </c>
      <c r="O40" s="513" t="str">
        <f>IF(AP!$G40="","",IF(OR(COUNT(O40:Q40)=0,U40=""),"",IF(diNo!T36="BOS", ROUNDUP((IF((S40*2+O$5)/3&lt;1, 0, ROUNDUP((S40*2+O$5)/3,2))*2+SUM(AP!O40:Q40))/(2+COUNT(AP!O40:Q40)),2),ROUNDUP((IF((S40*2+O$5)/3&lt;1, 0, ROUNDUP((S40*2+O$5)/3,2))*3+SUM(AP!O40:Q40))/(3+COUNT(AP!O40:Q40)),2))))</f>
        <v/>
      </c>
      <c r="P40" s="513" t="str">
        <f>IF(AP!$G40="","",IF(OR(COUNT(P40:R40)=0,V40=""),"",IF(diNo!U36="BOS", ROUNDUP((IF((T40*2+P$5)/3&lt;1, 0, ROUNDUP((T40*2+P$5)/3,2))*2+SUM(AP!P40:R40))/(2+COUNT(AP!P40:R40)),2),ROUNDUP((IF((T40*2+P$5)/3&lt;1, 0, ROUNDUP((T40*2+P$5)/3,2))*3+SUM(AP!P40:R40))/(3+COUNT(AP!P40:R40)),2))))</f>
        <v/>
      </c>
      <c r="Q40" s="513" t="str">
        <f>IF(AP!$G40="","",IF(OR(COUNT(Q40:S40)=0,W40=""),"",IF(diNo!V36="BOS", ROUNDUP((IF((U40*2+Q$5)/3&lt;1, 0, ROUNDUP((U40*2+Q$5)/3,2))*2+SUM(AP!Q40:S40))/(2+COUNT(AP!Q40:S40)),2),ROUNDUP((IF((U40*2+Q$5)/3&lt;1, 0, ROUNDUP((U40*2+Q$5)/3,2))*3+SUM(AP!Q40:S40))/(3+COUNT(AP!Q40:S40)),2))))</f>
        <v/>
      </c>
      <c r="R40" s="512" t="str">
        <f>IF(AP!$G40="","",IF(OR(COUNT(R40:T40)=0,X40=""),"",IF(diNo!W36="BOS", ROUNDUP((IF((V40*2+R$5)/3&lt;1, 0, ROUNDUP((V40*2+R$5)/3,2))*2+SUM(AP!R40:T40))/(2+COUNT(AP!R40:T40)),2),ROUNDUP((IF((V40*2+R$5)/3&lt;1, 0, ROUNDUP((V40*2+R$5)/3,2))*3+SUM(AP!R40:T40))/(3+COUNT(AP!R40:T40)),2))))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H39"/>
  <sheetViews>
    <sheetView workbookViewId="0">
      <selection activeCell="F1" sqref="F1"/>
    </sheetView>
  </sheetViews>
  <sheetFormatPr baseColWidth="10" defaultRowHeight="12.75" x14ac:dyDescent="0.2"/>
  <cols>
    <col min="1" max="1" width="11.42578125" style="285"/>
    <col min="2" max="2" width="23.140625" style="285" customWidth="1"/>
    <col min="3" max="4" width="11.42578125" style="285"/>
    <col min="5" max="5" width="12.140625" style="285" customWidth="1"/>
    <col min="6" max="16384" width="11.42578125" style="285"/>
  </cols>
  <sheetData>
    <row r="1" spans="1:8" ht="15" x14ac:dyDescent="0.25">
      <c r="A1" s="309"/>
      <c r="B1" s="310" t="s">
        <v>106</v>
      </c>
      <c r="C1" s="309"/>
      <c r="D1" s="309"/>
      <c r="E1" s="285" t="s">
        <v>162</v>
      </c>
      <c r="F1" s="514" t="s">
        <v>163</v>
      </c>
    </row>
    <row r="2" spans="1:8" x14ac:dyDescent="0.2">
      <c r="A2" s="286"/>
      <c r="B2" s="287" t="s">
        <v>10</v>
      </c>
      <c r="C2" s="288" t="str">
        <f>+IF(Notenbogen!B1="","",Notenbogen!B1)</f>
        <v/>
      </c>
      <c r="D2" s="289"/>
      <c r="E2" s="309" t="s">
        <v>109</v>
      </c>
      <c r="F2" s="309"/>
      <c r="G2" s="308" t="s">
        <v>159</v>
      </c>
      <c r="H2" s="285" t="s">
        <v>160</v>
      </c>
    </row>
    <row r="3" spans="1:8" x14ac:dyDescent="0.2">
      <c r="A3" s="290" t="s">
        <v>3</v>
      </c>
      <c r="B3" s="291" t="s">
        <v>4</v>
      </c>
      <c r="C3" s="307" t="s">
        <v>108</v>
      </c>
      <c r="D3" s="419" t="s">
        <v>146</v>
      </c>
      <c r="E3" s="309"/>
      <c r="F3" s="309"/>
      <c r="G3" s="308"/>
    </row>
    <row r="4" spans="1:8" x14ac:dyDescent="0.2">
      <c r="A4" s="290">
        <v>1</v>
      </c>
      <c r="B4" s="291" t="str">
        <f>IF(Notenbogen!B4&lt;&gt;"", Notenbogen!B4, "")</f>
        <v/>
      </c>
      <c r="C4" s="306"/>
      <c r="D4" s="419"/>
      <c r="E4" s="309"/>
      <c r="F4" s="309"/>
      <c r="G4" s="308"/>
    </row>
    <row r="5" spans="1:8" x14ac:dyDescent="0.2">
      <c r="A5" s="290">
        <v>2</v>
      </c>
      <c r="B5" s="291" t="str">
        <f>IF(Notenbogen!B5&lt;&gt;"", Notenbogen!B5, "")</f>
        <v/>
      </c>
      <c r="C5" s="306"/>
      <c r="D5" s="419"/>
      <c r="E5" s="309"/>
      <c r="F5" s="309"/>
      <c r="G5" s="308"/>
    </row>
    <row r="6" spans="1:8" x14ac:dyDescent="0.2">
      <c r="A6" s="290">
        <v>3</v>
      </c>
      <c r="B6" s="291" t="str">
        <f>IF(Notenbogen!B6&lt;&gt;"", Notenbogen!B6, "")</f>
        <v/>
      </c>
      <c r="C6" s="306"/>
      <c r="D6" s="419"/>
      <c r="E6" s="309"/>
      <c r="F6" s="309"/>
      <c r="G6" s="308"/>
    </row>
    <row r="7" spans="1:8" x14ac:dyDescent="0.2">
      <c r="A7" s="290">
        <v>4</v>
      </c>
      <c r="B7" s="291" t="str">
        <f>IF(Notenbogen!B7&lt;&gt;"", Notenbogen!B7, "")</f>
        <v/>
      </c>
      <c r="C7" s="306"/>
      <c r="D7" s="419"/>
      <c r="E7" s="309"/>
      <c r="F7" s="309"/>
      <c r="G7" s="308"/>
    </row>
    <row r="8" spans="1:8" x14ac:dyDescent="0.2">
      <c r="A8" s="290">
        <v>5</v>
      </c>
      <c r="B8" s="291" t="str">
        <f>IF(Notenbogen!B8&lt;&gt;"", Notenbogen!B8, "")</f>
        <v/>
      </c>
      <c r="C8" s="306"/>
      <c r="D8" s="419"/>
      <c r="E8" s="312"/>
      <c r="F8" s="309"/>
      <c r="G8" s="308"/>
    </row>
    <row r="9" spans="1:8" x14ac:dyDescent="0.2">
      <c r="A9" s="290">
        <v>6</v>
      </c>
      <c r="B9" s="291" t="str">
        <f>IF(Notenbogen!B9&lt;&gt;"", Notenbogen!B9, "")</f>
        <v/>
      </c>
      <c r="C9" s="306"/>
      <c r="D9" s="419"/>
      <c r="E9" s="309"/>
      <c r="F9" s="309"/>
      <c r="G9" s="308"/>
    </row>
    <row r="10" spans="1:8" x14ac:dyDescent="0.2">
      <c r="A10" s="290">
        <v>7</v>
      </c>
      <c r="B10" s="291" t="str">
        <f>IF(Notenbogen!B10&lt;&gt;"", Notenbogen!B10, "")</f>
        <v/>
      </c>
      <c r="C10" s="306"/>
      <c r="D10" s="419"/>
      <c r="E10" s="309"/>
      <c r="F10" s="309"/>
      <c r="G10" s="308"/>
    </row>
    <row r="11" spans="1:8" x14ac:dyDescent="0.2">
      <c r="A11" s="290">
        <v>8</v>
      </c>
      <c r="B11" s="291" t="str">
        <f>IF(Notenbogen!B11&lt;&gt;"", Notenbogen!B11, "")</f>
        <v/>
      </c>
      <c r="C11" s="306"/>
      <c r="D11" s="419"/>
      <c r="E11" s="309"/>
      <c r="F11" s="309"/>
      <c r="G11" s="308"/>
    </row>
    <row r="12" spans="1:8" x14ac:dyDescent="0.2">
      <c r="A12" s="290">
        <v>9</v>
      </c>
      <c r="B12" s="291" t="str">
        <f>IF(Notenbogen!B12&lt;&gt;"", Notenbogen!B12, "")</f>
        <v/>
      </c>
      <c r="C12" s="306"/>
      <c r="D12" s="419"/>
      <c r="E12" s="309"/>
      <c r="F12" s="309"/>
      <c r="G12" s="308"/>
    </row>
    <row r="13" spans="1:8" x14ac:dyDescent="0.2">
      <c r="A13" s="290">
        <v>10</v>
      </c>
      <c r="B13" s="291" t="str">
        <f>IF(Notenbogen!B13&lt;&gt;"", Notenbogen!B13, "")</f>
        <v/>
      </c>
      <c r="C13" s="306"/>
      <c r="D13" s="419"/>
      <c r="E13" s="309"/>
      <c r="F13" s="309"/>
      <c r="G13" s="308"/>
    </row>
    <row r="14" spans="1:8" x14ac:dyDescent="0.2">
      <c r="A14" s="290">
        <v>11</v>
      </c>
      <c r="B14" s="291" t="str">
        <f>IF(Notenbogen!B14&lt;&gt;"", Notenbogen!B14, "")</f>
        <v/>
      </c>
      <c r="C14" s="306"/>
      <c r="D14" s="419"/>
      <c r="E14" s="309"/>
      <c r="F14" s="309"/>
      <c r="G14" s="308"/>
    </row>
    <row r="15" spans="1:8" x14ac:dyDescent="0.2">
      <c r="A15" s="290">
        <v>12</v>
      </c>
      <c r="B15" s="291" t="str">
        <f>IF(Notenbogen!B15&lt;&gt;"", Notenbogen!B15, "")</f>
        <v/>
      </c>
      <c r="C15" s="306"/>
      <c r="D15" s="419"/>
      <c r="E15" s="309"/>
      <c r="F15" s="309"/>
      <c r="G15" s="308"/>
    </row>
    <row r="16" spans="1:8" x14ac:dyDescent="0.2">
      <c r="A16" s="290">
        <v>13</v>
      </c>
      <c r="B16" s="291" t="str">
        <f>IF(Notenbogen!B16&lt;&gt;"", Notenbogen!B16, "")</f>
        <v/>
      </c>
      <c r="C16" s="306"/>
      <c r="D16" s="419"/>
      <c r="E16" s="309"/>
      <c r="F16" s="309"/>
      <c r="G16" s="308"/>
    </row>
    <row r="17" spans="1:7" x14ac:dyDescent="0.2">
      <c r="A17" s="290">
        <v>14</v>
      </c>
      <c r="B17" s="291" t="str">
        <f>IF(Notenbogen!B17&lt;&gt;"", Notenbogen!B17, "")</f>
        <v/>
      </c>
      <c r="C17" s="306"/>
      <c r="D17" s="419"/>
      <c r="E17" s="309"/>
      <c r="F17" s="309"/>
      <c r="G17" s="308"/>
    </row>
    <row r="18" spans="1:7" x14ac:dyDescent="0.2">
      <c r="A18" s="290">
        <v>15</v>
      </c>
      <c r="B18" s="291" t="str">
        <f>IF(Notenbogen!B18&lt;&gt;"", Notenbogen!B18, "")</f>
        <v/>
      </c>
      <c r="C18" s="306"/>
      <c r="D18" s="419"/>
      <c r="E18" s="309"/>
      <c r="F18" s="309"/>
      <c r="G18" s="308"/>
    </row>
    <row r="19" spans="1:7" x14ac:dyDescent="0.2">
      <c r="A19" s="290">
        <v>16</v>
      </c>
      <c r="B19" s="291" t="str">
        <f>IF(Notenbogen!B19&lt;&gt;"", Notenbogen!B19, "")</f>
        <v/>
      </c>
      <c r="C19" s="306"/>
      <c r="D19" s="419"/>
      <c r="E19" s="309"/>
      <c r="F19" s="309"/>
      <c r="G19" s="308"/>
    </row>
    <row r="20" spans="1:7" x14ac:dyDescent="0.2">
      <c r="A20" s="290">
        <v>17</v>
      </c>
      <c r="B20" s="291" t="str">
        <f>IF(Notenbogen!B20&lt;&gt;"", Notenbogen!B20, "")</f>
        <v/>
      </c>
      <c r="C20" s="306"/>
      <c r="D20" s="419"/>
      <c r="E20" s="309"/>
      <c r="F20" s="309"/>
      <c r="G20" s="308"/>
    </row>
    <row r="21" spans="1:7" x14ac:dyDescent="0.2">
      <c r="A21" s="290">
        <v>18</v>
      </c>
      <c r="B21" s="291" t="str">
        <f>IF(Notenbogen!B21&lt;&gt;"", Notenbogen!B21, "")</f>
        <v/>
      </c>
      <c r="C21" s="306"/>
      <c r="D21" s="419"/>
      <c r="E21" s="309"/>
      <c r="F21" s="309"/>
      <c r="G21" s="308"/>
    </row>
    <row r="22" spans="1:7" x14ac:dyDescent="0.2">
      <c r="A22" s="290">
        <v>19</v>
      </c>
      <c r="B22" s="291" t="str">
        <f>IF(Notenbogen!B22&lt;&gt;"", Notenbogen!B22, "")</f>
        <v/>
      </c>
      <c r="C22" s="306"/>
      <c r="D22" s="419"/>
      <c r="E22" s="309"/>
      <c r="F22" s="309"/>
      <c r="G22" s="308"/>
    </row>
    <row r="23" spans="1:7" x14ac:dyDescent="0.2">
      <c r="A23" s="290">
        <v>20</v>
      </c>
      <c r="B23" s="291" t="str">
        <f>IF(Notenbogen!B23&lt;&gt;"", Notenbogen!B23, "")</f>
        <v/>
      </c>
      <c r="C23" s="306"/>
      <c r="D23" s="419"/>
      <c r="E23" s="309"/>
      <c r="F23" s="309"/>
      <c r="G23" s="308"/>
    </row>
    <row r="24" spans="1:7" x14ac:dyDescent="0.2">
      <c r="A24" s="290">
        <v>21</v>
      </c>
      <c r="B24" s="291" t="str">
        <f>IF(Notenbogen!B24&lt;&gt;"", Notenbogen!B24, "")</f>
        <v/>
      </c>
      <c r="C24" s="306"/>
      <c r="D24" s="419"/>
      <c r="E24" s="309"/>
      <c r="F24" s="309"/>
      <c r="G24" s="308"/>
    </row>
    <row r="25" spans="1:7" x14ac:dyDescent="0.2">
      <c r="A25" s="290">
        <v>22</v>
      </c>
      <c r="B25" s="291" t="str">
        <f>IF(Notenbogen!B25&lt;&gt;"", Notenbogen!B25, "")</f>
        <v/>
      </c>
      <c r="C25" s="306"/>
      <c r="D25" s="419"/>
      <c r="E25" s="309"/>
      <c r="F25" s="309"/>
      <c r="G25" s="308"/>
    </row>
    <row r="26" spans="1:7" x14ac:dyDescent="0.2">
      <c r="A26" s="290">
        <v>23</v>
      </c>
      <c r="B26" s="291" t="str">
        <f>IF(Notenbogen!B26&lt;&gt;"", Notenbogen!B26, "")</f>
        <v/>
      </c>
      <c r="C26" s="306"/>
      <c r="D26" s="419"/>
      <c r="E26" s="309"/>
      <c r="F26" s="309"/>
      <c r="G26" s="308"/>
    </row>
    <row r="27" spans="1:7" x14ac:dyDescent="0.2">
      <c r="A27" s="290">
        <v>24</v>
      </c>
      <c r="B27" s="291" t="str">
        <f>IF(Notenbogen!B27&lt;&gt;"", Notenbogen!B27, "")</f>
        <v/>
      </c>
      <c r="C27" s="306"/>
      <c r="D27" s="419"/>
      <c r="E27" s="309"/>
      <c r="F27" s="309"/>
      <c r="G27" s="308"/>
    </row>
    <row r="28" spans="1:7" x14ac:dyDescent="0.2">
      <c r="A28" s="290">
        <v>25</v>
      </c>
      <c r="B28" s="291" t="str">
        <f>IF(Notenbogen!B28&lt;&gt;"", Notenbogen!B28, "")</f>
        <v/>
      </c>
      <c r="C28" s="306"/>
      <c r="D28" s="419"/>
      <c r="E28" s="309"/>
      <c r="F28" s="309"/>
      <c r="G28" s="308"/>
    </row>
    <row r="29" spans="1:7" x14ac:dyDescent="0.2">
      <c r="A29" s="290">
        <v>26</v>
      </c>
      <c r="B29" s="291" t="str">
        <f>IF(Notenbogen!B29&lt;&gt;"", Notenbogen!B29, "")</f>
        <v/>
      </c>
      <c r="C29" s="306"/>
      <c r="D29" s="419"/>
      <c r="E29" s="309"/>
      <c r="F29" s="309"/>
      <c r="G29" s="308"/>
    </row>
    <row r="30" spans="1:7" x14ac:dyDescent="0.2">
      <c r="A30" s="290">
        <v>27</v>
      </c>
      <c r="B30" s="291" t="str">
        <f>IF(Notenbogen!B30&lt;&gt;"", Notenbogen!B30, "")</f>
        <v/>
      </c>
      <c r="C30" s="306"/>
      <c r="D30" s="419"/>
      <c r="E30" s="309"/>
      <c r="F30" s="309"/>
      <c r="G30" s="308"/>
    </row>
    <row r="31" spans="1:7" x14ac:dyDescent="0.2">
      <c r="A31" s="290">
        <v>28</v>
      </c>
      <c r="B31" s="291" t="str">
        <f>IF(Notenbogen!B31&lt;&gt;"", Notenbogen!B31, "")</f>
        <v/>
      </c>
      <c r="C31" s="306"/>
      <c r="D31" s="419"/>
      <c r="E31" s="309"/>
      <c r="F31" s="309"/>
      <c r="G31" s="308"/>
    </row>
    <row r="32" spans="1:7" x14ac:dyDescent="0.2">
      <c r="A32" s="290">
        <v>29</v>
      </c>
      <c r="B32" s="291" t="str">
        <f>IF(Notenbogen!B32&lt;&gt;"", Notenbogen!B32, "")</f>
        <v/>
      </c>
      <c r="C32" s="306"/>
      <c r="D32" s="419"/>
      <c r="E32" s="309"/>
      <c r="F32" s="309"/>
      <c r="G32" s="308"/>
    </row>
    <row r="33" spans="1:7" x14ac:dyDescent="0.2">
      <c r="A33" s="290">
        <v>30</v>
      </c>
      <c r="B33" s="291" t="str">
        <f>IF(Notenbogen!B33&lt;&gt;"", Notenbogen!B33, "")</f>
        <v/>
      </c>
      <c r="C33" s="306"/>
      <c r="D33" s="419"/>
      <c r="E33" s="309"/>
      <c r="F33" s="309"/>
      <c r="G33" s="308"/>
    </row>
    <row r="34" spans="1:7" x14ac:dyDescent="0.2">
      <c r="A34" s="290">
        <v>31</v>
      </c>
      <c r="B34" s="291" t="str">
        <f>IF(Notenbogen!B34&lt;&gt;"", Notenbogen!B34, "")</f>
        <v/>
      </c>
      <c r="C34" s="306"/>
      <c r="D34" s="419"/>
      <c r="E34" s="309"/>
      <c r="F34" s="309"/>
      <c r="G34" s="308"/>
    </row>
    <row r="35" spans="1:7" x14ac:dyDescent="0.2">
      <c r="A35" s="290">
        <v>32</v>
      </c>
      <c r="B35" s="291" t="str">
        <f>IF(Notenbogen!B35&lt;&gt;"", Notenbogen!B35, "")</f>
        <v/>
      </c>
      <c r="C35" s="306"/>
      <c r="D35" s="419"/>
      <c r="E35" s="309"/>
      <c r="F35" s="309"/>
      <c r="G35" s="308"/>
    </row>
    <row r="36" spans="1:7" x14ac:dyDescent="0.2">
      <c r="A36" s="290">
        <v>33</v>
      </c>
      <c r="B36" s="291" t="str">
        <f>IF(Notenbogen!B36&lt;&gt;"", Notenbogen!B36, "")</f>
        <v/>
      </c>
      <c r="C36" s="306"/>
      <c r="D36" s="419"/>
      <c r="E36" s="309"/>
      <c r="F36" s="309"/>
      <c r="G36" s="308"/>
    </row>
    <row r="37" spans="1:7" x14ac:dyDescent="0.2">
      <c r="A37" s="290">
        <v>34</v>
      </c>
      <c r="B37" s="291" t="str">
        <f>IF(Notenbogen!B37&lt;&gt;"", Notenbogen!B37, "")</f>
        <v/>
      </c>
      <c r="C37" s="306"/>
      <c r="D37" s="419"/>
      <c r="E37" s="309"/>
      <c r="F37" s="309"/>
      <c r="G37" s="308"/>
    </row>
    <row r="38" spans="1:7" x14ac:dyDescent="0.2">
      <c r="A38" s="290">
        <v>35</v>
      </c>
      <c r="B38" s="291" t="str">
        <f>IF(Notenbogen!B38&lt;&gt;"", Notenbogen!B38, "")</f>
        <v/>
      </c>
      <c r="C38" s="306"/>
      <c r="D38" s="419"/>
      <c r="E38" s="309"/>
      <c r="F38" s="309"/>
      <c r="G38" s="308"/>
    </row>
    <row r="39" spans="1:7" x14ac:dyDescent="0.2">
      <c r="A39" s="308"/>
      <c r="B39" s="308"/>
      <c r="C39" s="308"/>
      <c r="D39" s="308"/>
      <c r="E39" s="308"/>
      <c r="F39" s="308"/>
      <c r="G39" s="308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874"/>
  <sheetViews>
    <sheetView zoomScaleNormal="100" workbookViewId="0">
      <selection activeCell="I1" sqref="I1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1:40" ht="12.75" customHeight="1" thickBot="1" x14ac:dyDescent="0.3">
      <c r="B1" s="217"/>
      <c r="I1" s="261"/>
      <c r="L1" s="4"/>
      <c r="M1" s="4"/>
    </row>
    <row r="2" spans="1:40" ht="12.75" customHeight="1" x14ac:dyDescent="0.2">
      <c r="A2" s="1" t="s">
        <v>150</v>
      </c>
      <c r="D2" s="1" t="s">
        <v>156</v>
      </c>
      <c r="T2" s="119" t="s">
        <v>48</v>
      </c>
      <c r="U2" s="18"/>
      <c r="V2" s="19"/>
      <c r="W2" s="446" t="s">
        <v>24</v>
      </c>
      <c r="X2" s="447"/>
      <c r="Y2" s="434" t="s">
        <v>17</v>
      </c>
      <c r="Z2" s="443" t="s">
        <v>25</v>
      </c>
      <c r="AA2" s="444"/>
      <c r="AB2" s="17"/>
      <c r="AC2" s="20" t="s">
        <v>6</v>
      </c>
      <c r="AD2" s="21" t="s">
        <v>17</v>
      </c>
      <c r="AE2" s="22"/>
      <c r="AF2" s="441" t="s">
        <v>26</v>
      </c>
      <c r="AG2" s="442"/>
      <c r="AH2" s="23"/>
      <c r="AI2" s="20" t="s">
        <v>6</v>
      </c>
      <c r="AJ2" s="21" t="s">
        <v>17</v>
      </c>
      <c r="AK2" s="24"/>
      <c r="AL2" s="432" t="s">
        <v>27</v>
      </c>
      <c r="AM2" s="433"/>
      <c r="AN2" s="25" t="s">
        <v>28</v>
      </c>
    </row>
    <row r="3" spans="1:40" ht="12.75" customHeight="1" x14ac:dyDescent="0.2">
      <c r="A3" s="1" t="s">
        <v>154</v>
      </c>
      <c r="D3" s="1" t="str">
        <f>IF(COUNT(Notenbogen!C4:H4)+COUNT(Notenbogen!N4:S4)&gt;0,ROUNDUP((SUMPRODUCT(NB!D77:I77,Notenbogen!C4:H4,Notenbogen!C39:H39)+SUMPRODUCT(NB!D118:I118,Notenbogen!N4:S4,Notenbogen!N39:S39))/(SUMPRODUCT(NB!D77:I77,Notenbogen!C39:H39)+SUMPRODUCT(NB!D118:I118,Notenbogen!N39:S39)),2),"")</f>
        <v/>
      </c>
      <c r="U3" s="26" t="s">
        <v>29</v>
      </c>
      <c r="V3" s="12" t="s">
        <v>28</v>
      </c>
      <c r="W3" s="437" t="s">
        <v>27</v>
      </c>
      <c r="X3" s="438"/>
      <c r="Y3" s="435"/>
      <c r="Z3" s="439" t="s">
        <v>30</v>
      </c>
      <c r="AA3" s="440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1:40" ht="12.75" customHeight="1" x14ac:dyDescent="0.2">
      <c r="A4" s="394" t="s">
        <v>152</v>
      </c>
      <c r="D4" s="1" t="str">
        <f>IF(COUNT(Notenbogen!C5:H5)+COUNT(Notenbogen!N5:S5)&gt;0,ROUNDUP((SUMPRODUCT(NB!D78:I78,Notenbogen!C5:H5,Notenbogen!C40:H40)+SUMPRODUCT(NB!D119:I119,Notenbogen!N5:S5,Notenbogen!N40:S40))/(SUMPRODUCT(NB!D78:I78,Notenbogen!C40:H40)+SUMPRODUCT(NB!D119:I119,Notenbogen!N40:S40)),2),"")</f>
        <v/>
      </c>
      <c r="E4" s="331"/>
      <c r="F4" s="445"/>
      <c r="G4" s="445"/>
      <c r="H4" s="4"/>
      <c r="I4" s="4"/>
      <c r="J4" s="4"/>
      <c r="L4" s="445"/>
      <c r="M4" s="445"/>
      <c r="N4" s="445"/>
      <c r="O4" s="445"/>
      <c r="U4" s="35" t="s">
        <v>33</v>
      </c>
      <c r="V4" s="12" t="s">
        <v>24</v>
      </c>
      <c r="W4" s="27" t="s">
        <v>31</v>
      </c>
      <c r="X4" s="28" t="s">
        <v>32</v>
      </c>
      <c r="Y4" s="435"/>
      <c r="Z4" s="439" t="s">
        <v>34</v>
      </c>
      <c r="AA4" s="440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1:40" s="113" customFormat="1" ht="12.75" customHeight="1" x14ac:dyDescent="0.2">
      <c r="A5" s="395" t="s">
        <v>153</v>
      </c>
      <c r="B5" s="390"/>
      <c r="C5" s="390"/>
      <c r="D5" s="1" t="str">
        <f>IF(COUNT(Notenbogen!C6:H6)+COUNT(Notenbogen!N6:S6)&gt;0,ROUNDUP((SUMPRODUCT(NB!D79:I79,Notenbogen!C6:H6,Notenbogen!C41:H41)+SUMPRODUCT(NB!D120:I120,Notenbogen!N6:S6,Notenbogen!N41:S41))/(SUMPRODUCT(NB!D79:I79,Notenbogen!C41:H41)+SUMPRODUCT(NB!D120:I120,Notenbogen!N41:S41)),2),"")</f>
        <v/>
      </c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2"/>
      <c r="P5" s="392"/>
      <c r="Q5" s="392"/>
      <c r="R5" s="392"/>
      <c r="T5" s="123"/>
      <c r="U5" s="45"/>
      <c r="V5" s="13"/>
      <c r="W5" s="46"/>
      <c r="X5" s="42"/>
      <c r="Y5" s="436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63">
        <f>AL6+0.5</f>
        <v>38.5</v>
      </c>
      <c r="AN5" s="34">
        <f t="shared" ref="AN5:AN19" si="0">IF(AM5&gt;AL5,"ALARM",AL5-AL6)</f>
        <v>2</v>
      </c>
    </row>
    <row r="6" spans="1:40" s="113" customFormat="1" ht="12.75" customHeight="1" x14ac:dyDescent="0.2">
      <c r="B6" s="390"/>
      <c r="C6" s="390"/>
      <c r="D6" s="1" t="str">
        <f>IF(COUNT(Notenbogen!C7:H7)+COUNT(Notenbogen!N7:S7)&gt;0,ROUNDUP((SUMPRODUCT(NB!D80:I80,Notenbogen!C7:H7,Notenbogen!C42:H42)+SUMPRODUCT(NB!D121:I121,Notenbogen!N7:S7,Notenbogen!N42:S42))/(SUMPRODUCT(NB!D80:I80,Notenbogen!C42:H42)+SUMPRODUCT(NB!D121:I121,Notenbogen!N42:S42)),2),"")</f>
        <v/>
      </c>
      <c r="E6" s="392"/>
      <c r="F6" s="392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T6" s="123"/>
      <c r="U6" s="77">
        <f>+I1SA!A43</f>
        <v>0</v>
      </c>
      <c r="V6" s="79">
        <f>IF(I1SA!$H$32="M",AN5+U6,AN48+U6)</f>
        <v>2</v>
      </c>
      <c r="W6" s="275">
        <f>I1SA!$H$30</f>
        <v>40</v>
      </c>
      <c r="X6" s="263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63">
        <f t="shared" ref="AM6:AM18" si="2">AL7+0.5</f>
        <v>36.5</v>
      </c>
      <c r="AN6" s="34">
        <f t="shared" si="0"/>
        <v>2</v>
      </c>
    </row>
    <row r="7" spans="1:40" ht="12.75" customHeight="1" x14ac:dyDescent="0.2">
      <c r="B7" s="390"/>
      <c r="C7" s="391"/>
      <c r="D7" s="1" t="str">
        <f>IF(COUNT(Notenbogen!C8:H8)+COUNT(Notenbogen!N8:S8)&gt;0,ROUNDUP((SUMPRODUCT(NB!D81:I81,Notenbogen!C8:H8,Notenbogen!C43:H43)+SUMPRODUCT(NB!D122:I122,Notenbogen!N8:S8,Notenbogen!N43:S43))/(SUMPRODUCT(NB!D81:I81,Notenbogen!C43:H43)+SUMPRODUCT(NB!D122:I122,Notenbogen!N43:S43)),2),"")</f>
        <v/>
      </c>
      <c r="E7" s="392"/>
      <c r="F7" s="392"/>
      <c r="G7" s="392"/>
      <c r="H7" s="392"/>
      <c r="I7" s="392"/>
      <c r="J7" s="392"/>
      <c r="K7" s="117"/>
      <c r="L7" s="392"/>
      <c r="M7" s="392"/>
      <c r="N7" s="392"/>
      <c r="O7" s="392"/>
      <c r="P7" s="392"/>
      <c r="Q7" s="392"/>
      <c r="R7" s="392"/>
      <c r="U7" s="55">
        <f>+I1SA!A44</f>
        <v>0</v>
      </c>
      <c r="V7" s="80">
        <f>IF(I1SA!$H$32="M",AN6+U7,AN49+U7)</f>
        <v>2</v>
      </c>
      <c r="W7" s="275">
        <f t="shared" ref="W7:W21" si="3">W6-V6</f>
        <v>38</v>
      </c>
      <c r="X7" s="263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63">
        <f t="shared" si="2"/>
        <v>34.5</v>
      </c>
      <c r="AN7" s="44">
        <f t="shared" si="0"/>
        <v>2</v>
      </c>
    </row>
    <row r="8" spans="1:40" ht="12.75" customHeight="1" x14ac:dyDescent="0.2">
      <c r="B8" s="390"/>
      <c r="C8" s="391"/>
      <c r="D8" s="1" t="str">
        <f>IF(COUNT(Notenbogen!C9:H9)+COUNT(Notenbogen!N9:S9)&gt;0,ROUNDUP((SUMPRODUCT(NB!D82:I82,Notenbogen!C9:H9,Notenbogen!C44:H44)+SUMPRODUCT(NB!D123:I123,Notenbogen!N9:S9,Notenbogen!N44:S44))/(SUMPRODUCT(NB!D82:I82,Notenbogen!C44:H44)+SUMPRODUCT(NB!D123:I123,Notenbogen!N44:S44)),2),"")</f>
        <v/>
      </c>
      <c r="E8" s="392"/>
      <c r="F8" s="392"/>
      <c r="G8" s="392"/>
      <c r="H8" s="392"/>
      <c r="I8" s="392"/>
      <c r="J8" s="392"/>
      <c r="K8" s="117"/>
      <c r="L8" s="392"/>
      <c r="M8" s="392"/>
      <c r="N8" s="392"/>
      <c r="O8" s="392"/>
      <c r="P8" s="392"/>
      <c r="Q8" s="392"/>
      <c r="R8" s="392"/>
      <c r="U8" s="78">
        <f>+I1SA!A45</f>
        <v>0</v>
      </c>
      <c r="V8" s="80">
        <f>IF(I1SA!$H$32="M",AN7+U8,AN50+U8)</f>
        <v>2</v>
      </c>
      <c r="W8" s="276">
        <f t="shared" si="3"/>
        <v>36</v>
      </c>
      <c r="X8" s="263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63">
        <f t="shared" si="2"/>
        <v>32.5</v>
      </c>
      <c r="AN8" s="34">
        <f t="shared" si="0"/>
        <v>2</v>
      </c>
    </row>
    <row r="9" spans="1:40" ht="12.75" customHeight="1" x14ac:dyDescent="0.2">
      <c r="B9" s="390"/>
      <c r="C9" s="391"/>
      <c r="D9" s="1" t="str">
        <f>IF(COUNT(Notenbogen!C10:H10)+COUNT(Notenbogen!N10:S10)&gt;0,ROUNDUP((SUMPRODUCT(NB!D83:I83,Notenbogen!C10:H10,Notenbogen!C45:H45)+SUMPRODUCT(NB!D124:I124,Notenbogen!N10:S10,Notenbogen!N45:S45))/(SUMPRODUCT(NB!D83:I83,Notenbogen!C45:H45)+SUMPRODUCT(NB!D124:I124,Notenbogen!N45:S45)),2),"")</f>
        <v/>
      </c>
      <c r="E9" s="392"/>
      <c r="F9" s="392"/>
      <c r="G9" s="392"/>
      <c r="H9" s="392"/>
      <c r="I9" s="392"/>
      <c r="J9" s="392"/>
      <c r="K9" s="117"/>
      <c r="L9" s="392"/>
      <c r="M9" s="392"/>
      <c r="N9" s="392"/>
      <c r="O9" s="392"/>
      <c r="P9" s="392"/>
      <c r="Q9" s="392"/>
      <c r="R9" s="392"/>
      <c r="U9" s="55">
        <f>+I1SA!A46</f>
        <v>0</v>
      </c>
      <c r="V9" s="79">
        <f>IF(I1SA!$H$32="M",AN8+U9,AN51+U9)</f>
        <v>2</v>
      </c>
      <c r="W9" s="275">
        <f t="shared" si="3"/>
        <v>34</v>
      </c>
      <c r="X9" s="263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63">
        <f t="shared" si="2"/>
        <v>30.5</v>
      </c>
      <c r="AN9" s="34">
        <f t="shared" si="0"/>
        <v>2</v>
      </c>
    </row>
    <row r="10" spans="1:40" ht="12.75" customHeight="1" x14ac:dyDescent="0.2">
      <c r="B10" s="390"/>
      <c r="C10" s="391"/>
      <c r="D10" s="1" t="str">
        <f>IF(COUNT(Notenbogen!C11:H11)+COUNT(Notenbogen!N11:S11)&gt;0,ROUNDUP((SUMPRODUCT(NB!D84:I84,Notenbogen!C11:H11,Notenbogen!C46:H46)+SUMPRODUCT(NB!D125:I125,Notenbogen!N11:S11,Notenbogen!N46:S46))/(SUMPRODUCT(NB!D84:I84,Notenbogen!C46:H46)+SUMPRODUCT(NB!D125:I125,Notenbogen!N46:S46)),2),"")</f>
        <v/>
      </c>
      <c r="E10" s="392"/>
      <c r="F10" s="392"/>
      <c r="G10" s="392"/>
      <c r="H10" s="392"/>
      <c r="I10" s="392"/>
      <c r="J10" s="392"/>
      <c r="K10" s="117"/>
      <c r="L10" s="392"/>
      <c r="M10" s="392"/>
      <c r="N10" s="392"/>
      <c r="O10" s="392"/>
      <c r="P10" s="392"/>
      <c r="Q10" s="392"/>
      <c r="R10" s="392"/>
      <c r="U10" s="55">
        <f>+I1SA!A47</f>
        <v>0</v>
      </c>
      <c r="V10" s="80">
        <f>IF(I1SA!$H$32="M",AN9+U10,AN52+U10)</f>
        <v>2</v>
      </c>
      <c r="W10" s="275">
        <f t="shared" si="3"/>
        <v>32</v>
      </c>
      <c r="X10" s="263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63">
        <f t="shared" si="2"/>
        <v>28.5</v>
      </c>
      <c r="AN10" s="44">
        <f t="shared" si="0"/>
        <v>2</v>
      </c>
    </row>
    <row r="11" spans="1:40" ht="12.75" customHeight="1" x14ac:dyDescent="0.2">
      <c r="B11" s="390"/>
      <c r="C11" s="391"/>
      <c r="D11" s="1" t="str">
        <f>IF(COUNT(Notenbogen!C12:H12)+COUNT(Notenbogen!N12:S12)&gt;0,ROUNDUP((SUMPRODUCT(NB!D85:I85,Notenbogen!C12:H12,Notenbogen!C47:H47)+SUMPRODUCT(NB!D126:I126,Notenbogen!N12:S12,Notenbogen!N47:S47))/(SUMPRODUCT(NB!D85:I85,Notenbogen!C47:H47)+SUMPRODUCT(NB!D126:I126,Notenbogen!N47:S47)),2),"")</f>
        <v/>
      </c>
      <c r="E11" s="392"/>
      <c r="F11" s="392"/>
      <c r="G11" s="392"/>
      <c r="H11" s="392"/>
      <c r="I11" s="392"/>
      <c r="J11" s="392"/>
      <c r="K11" s="117"/>
      <c r="L11" s="392"/>
      <c r="M11" s="392"/>
      <c r="N11" s="392"/>
      <c r="O11" s="392"/>
      <c r="P11" s="392"/>
      <c r="Q11" s="392"/>
      <c r="R11" s="392"/>
      <c r="U11" s="55">
        <f>+I1SA!A48</f>
        <v>0</v>
      </c>
      <c r="V11" s="82">
        <f>IF(I1SA!$H$32="M",AN10+U11,AN53+U11)</f>
        <v>2</v>
      </c>
      <c r="W11" s="276">
        <f t="shared" si="3"/>
        <v>30</v>
      </c>
      <c r="X11" s="263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63">
        <f t="shared" si="2"/>
        <v>26.5</v>
      </c>
      <c r="AN11" s="34">
        <f t="shared" si="0"/>
        <v>2</v>
      </c>
    </row>
    <row r="12" spans="1:40" ht="12.75" customHeight="1" x14ac:dyDescent="0.2">
      <c r="B12" s="390"/>
      <c r="C12" s="391"/>
      <c r="D12" s="1" t="str">
        <f>IF(COUNT(Notenbogen!C13:H13)+COUNT(Notenbogen!N13:S13)&gt;0,ROUNDUP((SUMPRODUCT(NB!D86:I86,Notenbogen!C13:H13,Notenbogen!C48:H48)+SUMPRODUCT(NB!D127:I127,Notenbogen!N13:S13,Notenbogen!N48:S48))/(SUMPRODUCT(NB!D86:I86,Notenbogen!C48:H48)+SUMPRODUCT(NB!D127:I127,Notenbogen!N48:S48)),2),"")</f>
        <v/>
      </c>
      <c r="E12" s="392"/>
      <c r="F12" s="392"/>
      <c r="G12" s="392"/>
      <c r="H12" s="392"/>
      <c r="I12" s="392"/>
      <c r="J12" s="392"/>
      <c r="K12" s="117"/>
      <c r="L12" s="392"/>
      <c r="M12" s="392"/>
      <c r="N12" s="392"/>
      <c r="O12" s="392"/>
      <c r="P12" s="392"/>
      <c r="Q12" s="392"/>
      <c r="R12" s="392"/>
      <c r="U12" s="77">
        <f>+I1SA!A49</f>
        <v>0</v>
      </c>
      <c r="V12" s="80">
        <f>IF(I1SA!$H$32="M",AN11+U12,AN54+U12)</f>
        <v>2</v>
      </c>
      <c r="W12" s="275">
        <f t="shared" si="3"/>
        <v>28</v>
      </c>
      <c r="X12" s="263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63">
        <f t="shared" si="2"/>
        <v>24.5</v>
      </c>
      <c r="AN12" s="34">
        <f t="shared" si="0"/>
        <v>2</v>
      </c>
    </row>
    <row r="13" spans="1:40" ht="12.75" customHeight="1" x14ac:dyDescent="0.2">
      <c r="B13" s="390"/>
      <c r="C13" s="391"/>
      <c r="D13" s="1" t="str">
        <f>IF(COUNT(Notenbogen!C14:H14)+COUNT(Notenbogen!N14:S14)&gt;0,ROUNDUP((SUMPRODUCT(NB!D87:I87,Notenbogen!C14:H14,Notenbogen!C49:H49)+SUMPRODUCT(NB!D128:I128,Notenbogen!N14:S14,Notenbogen!N49:S49))/(SUMPRODUCT(NB!D87:I87,Notenbogen!C49:H49)+SUMPRODUCT(NB!D128:I128,Notenbogen!N49:S49)),2),"")</f>
        <v/>
      </c>
      <c r="E13" s="392"/>
      <c r="F13" s="392"/>
      <c r="G13" s="392"/>
      <c r="H13" s="392"/>
      <c r="I13" s="392"/>
      <c r="J13" s="392"/>
      <c r="K13" s="117"/>
      <c r="L13" s="392"/>
      <c r="M13" s="392"/>
      <c r="N13" s="392"/>
      <c r="O13" s="392"/>
      <c r="P13" s="392"/>
      <c r="Q13" s="392"/>
      <c r="R13" s="392"/>
      <c r="U13" s="55">
        <f>+I1SA!A50</f>
        <v>0</v>
      </c>
      <c r="V13" s="80">
        <f>IF(I1SA!$H$32="M",AN12+U13,AN55+U13)</f>
        <v>2</v>
      </c>
      <c r="W13" s="275">
        <f t="shared" si="3"/>
        <v>26</v>
      </c>
      <c r="X13" s="263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63">
        <f t="shared" si="2"/>
        <v>22.5</v>
      </c>
      <c r="AN13" s="44">
        <f t="shared" si="0"/>
        <v>2</v>
      </c>
    </row>
    <row r="14" spans="1:40" ht="12.75" customHeight="1" x14ac:dyDescent="0.2">
      <c r="B14" s="390"/>
      <c r="C14" s="391"/>
      <c r="D14" s="1" t="str">
        <f>IF(COUNT(Notenbogen!C15:H15)+COUNT(Notenbogen!N15:S15)&gt;0,ROUNDUP((SUMPRODUCT(NB!D88:I88,Notenbogen!C15:H15,Notenbogen!C50:H50)+SUMPRODUCT(NB!D129:I129,Notenbogen!N15:S15,Notenbogen!N50:S50))/(SUMPRODUCT(NB!D88:I88,Notenbogen!C50:H50)+SUMPRODUCT(NB!D129:I129,Notenbogen!N50:S50)),2),"")</f>
        <v/>
      </c>
      <c r="E14" s="392"/>
      <c r="F14" s="392"/>
      <c r="G14" s="392"/>
      <c r="H14" s="392"/>
      <c r="I14" s="392"/>
      <c r="J14" s="392"/>
      <c r="K14" s="117"/>
      <c r="L14" s="392"/>
      <c r="M14" s="392"/>
      <c r="N14" s="392"/>
      <c r="O14" s="392"/>
      <c r="P14" s="392"/>
      <c r="Q14" s="392"/>
      <c r="R14" s="392"/>
      <c r="U14" s="78">
        <f>+I1SA!A51</f>
        <v>0</v>
      </c>
      <c r="V14" s="80">
        <f>IF(I1SA!$H$32="M",AN13+U14,AN56+U14)</f>
        <v>2</v>
      </c>
      <c r="W14" s="276">
        <f t="shared" si="3"/>
        <v>24</v>
      </c>
      <c r="X14" s="263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63">
        <f t="shared" si="2"/>
        <v>20.5</v>
      </c>
      <c r="AN14" s="34">
        <f t="shared" si="0"/>
        <v>2</v>
      </c>
    </row>
    <row r="15" spans="1:40" ht="12.75" customHeight="1" x14ac:dyDescent="0.2">
      <c r="B15" s="390"/>
      <c r="C15" s="391"/>
      <c r="D15" s="1" t="str">
        <f>IF(COUNT(Notenbogen!C16:H16)+COUNT(Notenbogen!N16:S16)&gt;0,ROUNDUP((SUMPRODUCT(NB!D89:I89,Notenbogen!C16:H16,Notenbogen!C51:H51)+SUMPRODUCT(NB!D130:I130,Notenbogen!N16:S16,Notenbogen!N51:S51))/(SUMPRODUCT(NB!D89:I89,Notenbogen!C51:H51)+SUMPRODUCT(NB!D130:I130,Notenbogen!N51:S51)),2),"")</f>
        <v/>
      </c>
      <c r="E15" s="392"/>
      <c r="F15" s="392"/>
      <c r="G15" s="392"/>
      <c r="H15" s="392"/>
      <c r="I15" s="392"/>
      <c r="J15" s="392"/>
      <c r="K15" s="117"/>
      <c r="L15" s="392"/>
      <c r="M15" s="392"/>
      <c r="N15" s="392"/>
      <c r="O15" s="392"/>
      <c r="P15" s="392"/>
      <c r="Q15" s="392"/>
      <c r="R15" s="392"/>
      <c r="U15" s="55">
        <f>+I1SA!A52</f>
        <v>0</v>
      </c>
      <c r="V15" s="79">
        <f>IF(I1SA!$H$32="M",AN14+U15,AN57+U15)</f>
        <v>2</v>
      </c>
      <c r="W15" s="275">
        <f t="shared" si="3"/>
        <v>22</v>
      </c>
      <c r="X15" s="263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63">
        <f t="shared" si="2"/>
        <v>18.5</v>
      </c>
      <c r="AN15" s="34">
        <f t="shared" si="0"/>
        <v>2</v>
      </c>
    </row>
    <row r="16" spans="1:40" ht="12.75" customHeight="1" x14ac:dyDescent="0.2">
      <c r="B16" s="390"/>
      <c r="C16" s="391"/>
      <c r="D16" s="1" t="str">
        <f>IF(COUNT(Notenbogen!C17:H17)+COUNT(Notenbogen!N17:S17)&gt;0,ROUNDUP((SUMPRODUCT(NB!D90:I90,Notenbogen!C17:H17,Notenbogen!C52:H52)+SUMPRODUCT(NB!D131:I131,Notenbogen!N17:S17,Notenbogen!N52:S52))/(SUMPRODUCT(NB!D90:I90,Notenbogen!C52:H52)+SUMPRODUCT(NB!D131:I131,Notenbogen!N52:S52)),2),"")</f>
        <v/>
      </c>
      <c r="E16" s="392"/>
      <c r="F16" s="392"/>
      <c r="G16" s="392"/>
      <c r="H16" s="392"/>
      <c r="I16" s="392"/>
      <c r="J16" s="392"/>
      <c r="K16" s="117"/>
      <c r="L16" s="392"/>
      <c r="M16" s="392"/>
      <c r="N16" s="392"/>
      <c r="O16" s="392"/>
      <c r="P16" s="392"/>
      <c r="Q16" s="392"/>
      <c r="R16" s="392"/>
      <c r="U16" s="55">
        <f>+I1SA!A53</f>
        <v>0</v>
      </c>
      <c r="V16" s="80">
        <f>IF(I1SA!$H$32="M",AN15+U16,AN58+U16)</f>
        <v>2</v>
      </c>
      <c r="W16" s="275">
        <f t="shared" si="3"/>
        <v>20</v>
      </c>
      <c r="X16" s="263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63">
        <f t="shared" si="2"/>
        <v>16.5</v>
      </c>
      <c r="AN16" s="44">
        <f t="shared" si="0"/>
        <v>2</v>
      </c>
    </row>
    <row r="17" spans="2:40" ht="12.75" customHeight="1" x14ac:dyDescent="0.2">
      <c r="B17" s="390"/>
      <c r="C17" s="391"/>
      <c r="D17" s="1" t="str">
        <f>IF(COUNT(Notenbogen!C18:H18)+COUNT(Notenbogen!N18:S18)&gt;0,ROUNDUP((SUMPRODUCT(NB!D91:I91,Notenbogen!C18:H18,Notenbogen!C53:H53)+SUMPRODUCT(NB!D132:I132,Notenbogen!N18:S18,Notenbogen!N53:S53))/(SUMPRODUCT(NB!D91:I91,Notenbogen!C53:H53)+SUMPRODUCT(NB!D132:I132,Notenbogen!N53:S53)),2),"")</f>
        <v/>
      </c>
      <c r="E17" s="392"/>
      <c r="F17" s="392"/>
      <c r="G17" s="392"/>
      <c r="H17" s="392"/>
      <c r="I17" s="392"/>
      <c r="J17" s="392"/>
      <c r="K17" s="117"/>
      <c r="L17" s="392"/>
      <c r="M17" s="392"/>
      <c r="N17" s="392"/>
      <c r="O17" s="392"/>
      <c r="P17" s="392"/>
      <c r="Q17" s="392"/>
      <c r="R17" s="392"/>
      <c r="U17" s="55">
        <f>+I1SA!A54</f>
        <v>0</v>
      </c>
      <c r="V17" s="82">
        <f>IF(I1SA!$H$32="M",AN16+U17,AN59+U17)</f>
        <v>2</v>
      </c>
      <c r="W17" s="276">
        <f t="shared" si="3"/>
        <v>18</v>
      </c>
      <c r="X17" s="263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63">
        <f t="shared" si="2"/>
        <v>13.5</v>
      </c>
      <c r="AN17" s="34">
        <f t="shared" si="0"/>
        <v>3</v>
      </c>
    </row>
    <row r="18" spans="2:40" ht="12.75" customHeight="1" x14ac:dyDescent="0.2">
      <c r="B18" s="390"/>
      <c r="C18" s="391"/>
      <c r="D18" s="1" t="str">
        <f>IF(COUNT(Notenbogen!C19:H19)+COUNT(Notenbogen!N19:S19)&gt;0,ROUNDUP((SUMPRODUCT(NB!D92:I92,Notenbogen!C19:H19,Notenbogen!C54:H54)+SUMPRODUCT(NB!D133:I133,Notenbogen!N19:S19,Notenbogen!N54:S54))/(SUMPRODUCT(NB!D92:I92,Notenbogen!C54:H54)+SUMPRODUCT(NB!D133:I133,Notenbogen!N54:S54)),2),"")</f>
        <v/>
      </c>
      <c r="E18" s="392"/>
      <c r="F18" s="392"/>
      <c r="G18" s="392"/>
      <c r="H18" s="392"/>
      <c r="I18" s="392"/>
      <c r="J18" s="392"/>
      <c r="K18" s="117"/>
      <c r="L18" s="392"/>
      <c r="M18" s="392"/>
      <c r="N18" s="392"/>
      <c r="O18" s="392"/>
      <c r="P18" s="392"/>
      <c r="Q18" s="392"/>
      <c r="R18" s="392"/>
      <c r="U18" s="77">
        <f>+I1SA!A55</f>
        <v>0</v>
      </c>
      <c r="V18" s="79">
        <f>IF(I1SA!$H$32="M",AN17+U18,AN60+U18)</f>
        <v>3</v>
      </c>
      <c r="W18" s="275">
        <f t="shared" si="3"/>
        <v>16</v>
      </c>
      <c r="X18" s="263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63">
        <f t="shared" si="2"/>
        <v>11</v>
      </c>
      <c r="AN18" s="34">
        <f t="shared" si="0"/>
        <v>2.5</v>
      </c>
    </row>
    <row r="19" spans="2:40" ht="12.75" customHeight="1" x14ac:dyDescent="0.2">
      <c r="B19" s="390"/>
      <c r="C19" s="391"/>
      <c r="D19" s="1" t="str">
        <f>IF(COUNT(Notenbogen!C20:H20)+COUNT(Notenbogen!N20:S20)&gt;0,ROUNDUP((SUMPRODUCT(NB!D93:I93,Notenbogen!C20:H20,Notenbogen!C55:H55)+SUMPRODUCT(NB!D134:I134,Notenbogen!N20:S20,Notenbogen!N55:S55))/(SUMPRODUCT(NB!D93:I93,Notenbogen!C55:H55)+SUMPRODUCT(NB!D134:I134,Notenbogen!N55:S55)),2),"")</f>
        <v/>
      </c>
      <c r="E19" s="392"/>
      <c r="F19" s="392"/>
      <c r="G19" s="392"/>
      <c r="H19" s="392"/>
      <c r="I19" s="392"/>
      <c r="J19" s="392"/>
      <c r="K19" s="117"/>
      <c r="L19" s="392"/>
      <c r="M19" s="392"/>
      <c r="N19" s="392"/>
      <c r="O19" s="392"/>
      <c r="P19" s="392"/>
      <c r="Q19" s="392"/>
      <c r="R19" s="392"/>
      <c r="U19" s="55">
        <f>+I1SA!A56</f>
        <v>0</v>
      </c>
      <c r="V19" s="80">
        <f>IF(I1SA!$H$32="M",AN18+U19,AN61+U19)</f>
        <v>2.5</v>
      </c>
      <c r="W19" s="275">
        <f t="shared" si="3"/>
        <v>13</v>
      </c>
      <c r="X19" s="263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70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390"/>
      <c r="C20" s="391"/>
      <c r="D20" s="1" t="str">
        <f>IF(COUNT(Notenbogen!C21:H21)+COUNT(Notenbogen!N21:S21)&gt;0,ROUNDUP((SUMPRODUCT(NB!D94:I94,Notenbogen!C21:H21,Notenbogen!C56:H56)+SUMPRODUCT(NB!D135:I135,Notenbogen!N21:S21,Notenbogen!N56:S56))/(SUMPRODUCT(NB!D94:I94,Notenbogen!C56:H56)+SUMPRODUCT(NB!D135:I135,Notenbogen!N56:S56)),2),"")</f>
        <v/>
      </c>
      <c r="E20" s="392"/>
      <c r="F20" s="392"/>
      <c r="G20" s="392"/>
      <c r="H20" s="392"/>
      <c r="I20" s="392"/>
      <c r="J20" s="392"/>
      <c r="K20" s="117"/>
      <c r="L20" s="392"/>
      <c r="M20" s="392"/>
      <c r="N20" s="392"/>
      <c r="O20" s="392"/>
      <c r="P20" s="392"/>
      <c r="Q20" s="392"/>
      <c r="R20" s="392"/>
      <c r="U20" s="78">
        <f>+I1SA!A57</f>
        <v>0</v>
      </c>
      <c r="V20" s="82">
        <f>IF(I1SA!$H$32="M",AN19+U20,AN62+U20)</f>
        <v>3</v>
      </c>
      <c r="W20" s="276">
        <f t="shared" si="3"/>
        <v>10.5</v>
      </c>
      <c r="X20" s="263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71">
        <v>0</v>
      </c>
      <c r="AN20" s="65">
        <f>IF(AM20&gt;AM19,"ALARM",AL20)</f>
        <v>7.5</v>
      </c>
    </row>
    <row r="21" spans="2:40" ht="12.75" customHeight="1" thickBot="1" x14ac:dyDescent="0.25">
      <c r="B21" s="390"/>
      <c r="C21" s="391"/>
      <c r="D21" s="1" t="str">
        <f>IF(COUNT(Notenbogen!C22:H22)+COUNT(Notenbogen!N22:S22)&gt;0,ROUNDUP((SUMPRODUCT(NB!D95:I95,Notenbogen!C22:H22,Notenbogen!C57:H57)+SUMPRODUCT(NB!D136:I136,Notenbogen!N22:S22,Notenbogen!N57:S57))/(SUMPRODUCT(NB!D95:I95,Notenbogen!C57:H57)+SUMPRODUCT(NB!D136:I136,Notenbogen!N57:S57)),2),"")</f>
        <v/>
      </c>
      <c r="E21" s="392"/>
      <c r="F21" s="392"/>
      <c r="G21" s="392"/>
      <c r="H21" s="392"/>
      <c r="I21" s="392"/>
      <c r="J21" s="392"/>
      <c r="K21" s="117"/>
      <c r="L21" s="392"/>
      <c r="M21" s="392"/>
      <c r="N21" s="392"/>
      <c r="O21" s="392"/>
      <c r="P21" s="392"/>
      <c r="Q21" s="392"/>
      <c r="R21" s="392"/>
      <c r="U21" s="14" t="s">
        <v>36</v>
      </c>
      <c r="V21" s="81">
        <f>IF(I1SA!$H$32="M",+W21,W63)</f>
        <v>7.5</v>
      </c>
      <c r="W21" s="278">
        <f t="shared" si="3"/>
        <v>7.5</v>
      </c>
      <c r="X21" s="263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390"/>
      <c r="C22" s="391"/>
      <c r="D22" s="1" t="str">
        <f>IF(COUNT(Notenbogen!C23:H23)+COUNT(Notenbogen!N23:S23)&gt;0,ROUNDUP((SUMPRODUCT(NB!D96:I96,Notenbogen!C23:H23,Notenbogen!C58:H58)+SUMPRODUCT(NB!D137:I137,Notenbogen!N23:S23,Notenbogen!N58:S58))/(SUMPRODUCT(NB!D96:I96,Notenbogen!C58:H58)+SUMPRODUCT(NB!D137:I137,Notenbogen!N58:S58)),2),"")</f>
        <v/>
      </c>
      <c r="E22" s="392"/>
      <c r="F22" s="392"/>
      <c r="G22" s="392"/>
      <c r="H22" s="392"/>
      <c r="I22" s="392"/>
      <c r="J22" s="392"/>
      <c r="K22" s="117"/>
      <c r="L22" s="392"/>
      <c r="M22" s="392"/>
      <c r="N22" s="392"/>
      <c r="O22" s="392"/>
      <c r="P22" s="392"/>
      <c r="Q22" s="392"/>
      <c r="R22" s="392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390"/>
      <c r="C23" s="391"/>
      <c r="D23" s="1" t="str">
        <f>IF(COUNT(Notenbogen!C24:H24)+COUNT(Notenbogen!N24:S24)&gt;0,ROUNDUP((SUMPRODUCT(NB!D97:I97,Notenbogen!C24:H24,Notenbogen!C59:H59)+SUMPRODUCT(NB!D138:I138,Notenbogen!N24:S24,Notenbogen!N59:S59))/(SUMPRODUCT(NB!D97:I97,Notenbogen!C59:H59)+SUMPRODUCT(NB!D138:I138,Notenbogen!N59:S59)),2),"")</f>
        <v/>
      </c>
      <c r="E23" s="392"/>
      <c r="F23" s="392"/>
      <c r="G23" s="392"/>
      <c r="H23" s="392"/>
      <c r="I23" s="392"/>
      <c r="J23" s="392"/>
      <c r="K23" s="117"/>
      <c r="L23" s="392"/>
      <c r="M23" s="392"/>
      <c r="N23" s="392"/>
      <c r="O23" s="392"/>
      <c r="P23" s="392"/>
      <c r="Q23" s="392"/>
      <c r="R23" s="392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390"/>
      <c r="C24" s="391"/>
      <c r="D24" s="1" t="str">
        <f>IF(COUNT(Notenbogen!C25:H25)+COUNT(Notenbogen!N25:S25)&gt;0,ROUNDUP((SUMPRODUCT(NB!D98:I98,Notenbogen!C25:H25,Notenbogen!C60:H60)+SUMPRODUCT(NB!D139:I139,Notenbogen!N25:S25,Notenbogen!N60:S60))/(SUMPRODUCT(NB!D98:I98,Notenbogen!C60:H60)+SUMPRODUCT(NB!D139:I139,Notenbogen!N60:S60)),2),"")</f>
        <v/>
      </c>
      <c r="E24" s="392"/>
      <c r="F24" s="392"/>
      <c r="G24" s="392"/>
      <c r="H24" s="392"/>
      <c r="I24" s="392"/>
      <c r="J24" s="392"/>
      <c r="K24" s="117"/>
      <c r="L24" s="392"/>
      <c r="M24" s="392"/>
      <c r="N24" s="392"/>
      <c r="O24" s="392"/>
      <c r="P24" s="392"/>
      <c r="Q24" s="392"/>
      <c r="R24" s="392"/>
      <c r="U24" s="17"/>
      <c r="V24" s="268">
        <f t="shared" ref="V24:V39" si="5">+X24</f>
        <v>0</v>
      </c>
      <c r="W24" s="268">
        <f>+W21</f>
        <v>7.5</v>
      </c>
      <c r="X24" s="268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390"/>
      <c r="C25" s="391"/>
      <c r="D25" s="1" t="str">
        <f>IF(COUNT(Notenbogen!C26:H26)+COUNT(Notenbogen!N26:S26)&gt;0,ROUNDUP((SUMPRODUCT(NB!D99:I99,Notenbogen!C26:H26,Notenbogen!C61:H61)+SUMPRODUCT(NB!D140:I140,Notenbogen!N26:S26,Notenbogen!N61:S61))/(SUMPRODUCT(NB!D99:I99,Notenbogen!C61:H61)+SUMPRODUCT(NB!D140:I140,Notenbogen!N61:S61)),2),"")</f>
        <v/>
      </c>
      <c r="E25" s="392"/>
      <c r="F25" s="392"/>
      <c r="G25" s="392"/>
      <c r="H25" s="392"/>
      <c r="I25" s="392"/>
      <c r="J25" s="392"/>
      <c r="K25" s="117"/>
      <c r="L25" s="392"/>
      <c r="M25" s="392"/>
      <c r="N25" s="392"/>
      <c r="O25" s="392"/>
      <c r="P25" s="392"/>
      <c r="Q25" s="392"/>
      <c r="R25" s="392"/>
      <c r="U25" s="17"/>
      <c r="V25" s="268">
        <f t="shared" si="5"/>
        <v>8</v>
      </c>
      <c r="W25" s="268">
        <f>+W20</f>
        <v>10.5</v>
      </c>
      <c r="X25" s="268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390"/>
      <c r="C26" s="391"/>
      <c r="D26" s="1" t="str">
        <f>IF(COUNT(Notenbogen!C27:H27)+COUNT(Notenbogen!N27:S27)&gt;0,ROUNDUP((SUMPRODUCT(NB!D100:I100,Notenbogen!C27:H27,Notenbogen!C62:H62)+SUMPRODUCT(NB!D141:I141,Notenbogen!N27:S27,Notenbogen!N62:S62))/(SUMPRODUCT(NB!D100:I100,Notenbogen!C62:H62)+SUMPRODUCT(NB!D141:I141,Notenbogen!N62:S62)),2),"")</f>
        <v/>
      </c>
      <c r="E26" s="392"/>
      <c r="F26" s="392"/>
      <c r="G26" s="392"/>
      <c r="H26" s="392"/>
      <c r="I26" s="392"/>
      <c r="J26" s="392"/>
      <c r="K26" s="117"/>
      <c r="L26" s="392"/>
      <c r="M26" s="392"/>
      <c r="N26" s="392"/>
      <c r="O26" s="392"/>
      <c r="P26" s="392"/>
      <c r="Q26" s="392"/>
      <c r="R26" s="392"/>
      <c r="U26" s="17"/>
      <c r="V26" s="268">
        <f t="shared" si="5"/>
        <v>11</v>
      </c>
      <c r="W26" s="268">
        <f>+W19</f>
        <v>13</v>
      </c>
      <c r="X26" s="268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390"/>
      <c r="C27" s="391"/>
      <c r="D27" s="1" t="str">
        <f>IF(COUNT(Notenbogen!C28:H28)+COUNT(Notenbogen!N28:S28)&gt;0,ROUNDUP((SUMPRODUCT(NB!D101:I101,Notenbogen!C28:H28,Notenbogen!C63:H63)+SUMPRODUCT(NB!D142:I142,Notenbogen!N28:S28,Notenbogen!N63:S63))/(SUMPRODUCT(NB!D101:I101,Notenbogen!C63:H63)+SUMPRODUCT(NB!D142:I142,Notenbogen!N63:S63)),2),"")</f>
        <v/>
      </c>
      <c r="E27" s="392"/>
      <c r="F27" s="392"/>
      <c r="G27" s="392"/>
      <c r="H27" s="392"/>
      <c r="I27" s="392"/>
      <c r="J27" s="392"/>
      <c r="K27" s="117"/>
      <c r="L27" s="392"/>
      <c r="M27" s="392"/>
      <c r="N27" s="392"/>
      <c r="O27" s="392"/>
      <c r="P27" s="392"/>
      <c r="Q27" s="392"/>
      <c r="R27" s="392"/>
      <c r="U27" s="17"/>
      <c r="V27" s="268">
        <f t="shared" si="5"/>
        <v>13.5</v>
      </c>
      <c r="W27" s="268">
        <f>+W18</f>
        <v>16</v>
      </c>
      <c r="X27" s="268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390"/>
      <c r="C28" s="391"/>
      <c r="D28" s="1" t="str">
        <f>IF(COUNT(Notenbogen!C29:H29)+COUNT(Notenbogen!N29:S29)&gt;0,ROUNDUP((SUMPRODUCT(NB!D102:I102,Notenbogen!C29:H29,Notenbogen!C64:H64)+SUMPRODUCT(NB!D143:I143,Notenbogen!N29:S29,Notenbogen!N64:S64))/(SUMPRODUCT(NB!D102:I102,Notenbogen!C64:H64)+SUMPRODUCT(NB!D143:I143,Notenbogen!N64:S64)),2),"")</f>
        <v/>
      </c>
      <c r="E28" s="392"/>
      <c r="F28" s="392"/>
      <c r="G28" s="392"/>
      <c r="H28" s="392"/>
      <c r="I28" s="392"/>
      <c r="J28" s="392"/>
      <c r="K28" s="117"/>
      <c r="L28" s="392"/>
      <c r="M28" s="392"/>
      <c r="N28" s="392"/>
      <c r="O28" s="392"/>
      <c r="P28" s="392"/>
      <c r="Q28" s="392"/>
      <c r="R28" s="392"/>
      <c r="U28" s="17"/>
      <c r="V28" s="268">
        <f t="shared" si="5"/>
        <v>16.5</v>
      </c>
      <c r="W28" s="268">
        <f>+W17</f>
        <v>18</v>
      </c>
      <c r="X28" s="268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390"/>
      <c r="C29" s="391"/>
      <c r="D29" s="1" t="str">
        <f>IF(COUNT(Notenbogen!C30:H30)+COUNT(Notenbogen!N30:S30)&gt;0,ROUNDUP((SUMPRODUCT(NB!D103:I103,Notenbogen!C30:H30,Notenbogen!C65:H65)+SUMPRODUCT(NB!D144:I144,Notenbogen!N30:S30,Notenbogen!N65:S65))/(SUMPRODUCT(NB!D103:I103,Notenbogen!C65:H65)+SUMPRODUCT(NB!D144:I144,Notenbogen!N65:S65)),2),"")</f>
        <v/>
      </c>
      <c r="E29" s="392"/>
      <c r="F29" s="392"/>
      <c r="G29" s="392"/>
      <c r="H29" s="392"/>
      <c r="I29" s="392"/>
      <c r="J29" s="392"/>
      <c r="K29" s="117"/>
      <c r="L29" s="392"/>
      <c r="M29" s="392"/>
      <c r="N29" s="392"/>
      <c r="O29" s="392"/>
      <c r="P29" s="392"/>
      <c r="Q29" s="392"/>
      <c r="R29" s="392"/>
      <c r="U29" s="17"/>
      <c r="V29" s="268">
        <f t="shared" si="5"/>
        <v>18.5</v>
      </c>
      <c r="W29" s="268">
        <f>+W16</f>
        <v>20</v>
      </c>
      <c r="X29" s="268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390"/>
      <c r="C30" s="391"/>
      <c r="D30" s="1" t="str">
        <f>IF(COUNT(Notenbogen!C31:H31)+COUNT(Notenbogen!N31:S31)&gt;0,ROUNDUP((SUMPRODUCT(NB!D104:I104,Notenbogen!C31:H31,Notenbogen!C66:H66)+SUMPRODUCT(NB!D145:I145,Notenbogen!N31:S31,Notenbogen!N66:S66))/(SUMPRODUCT(NB!D104:I104,Notenbogen!C66:H66)+SUMPRODUCT(NB!D145:I145,Notenbogen!N66:S66)),2),"")</f>
        <v/>
      </c>
      <c r="E30" s="392"/>
      <c r="F30" s="392"/>
      <c r="G30" s="392"/>
      <c r="H30" s="392"/>
      <c r="I30" s="392"/>
      <c r="J30" s="392"/>
      <c r="K30" s="117"/>
      <c r="L30" s="392"/>
      <c r="M30" s="392"/>
      <c r="N30" s="392"/>
      <c r="O30" s="392"/>
      <c r="P30" s="392"/>
      <c r="Q30" s="392"/>
      <c r="R30" s="392"/>
      <c r="U30" s="17"/>
      <c r="V30" s="268">
        <f t="shared" si="5"/>
        <v>20.5</v>
      </c>
      <c r="W30" s="268">
        <f>+W15</f>
        <v>22</v>
      </c>
      <c r="X30" s="268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390"/>
      <c r="C31" s="391"/>
      <c r="D31" s="1" t="str">
        <f>IF(COUNT(Notenbogen!C32:H32)+COUNT(Notenbogen!N32:S32)&gt;0,ROUNDUP((SUMPRODUCT(NB!D105:I105,Notenbogen!C32:H32,Notenbogen!C67:H67)+SUMPRODUCT(NB!D146:I146,Notenbogen!N32:S32,Notenbogen!N67:S67))/(SUMPRODUCT(NB!D105:I105,Notenbogen!C67:H67)+SUMPRODUCT(NB!D146:I146,Notenbogen!N67:S67)),2),"")</f>
        <v/>
      </c>
      <c r="E31" s="392"/>
      <c r="F31" s="392"/>
      <c r="G31" s="392"/>
      <c r="H31" s="392"/>
      <c r="I31" s="392"/>
      <c r="J31" s="392"/>
      <c r="K31" s="117"/>
      <c r="L31" s="392"/>
      <c r="M31" s="392"/>
      <c r="N31" s="392"/>
      <c r="O31" s="392"/>
      <c r="P31" s="392"/>
      <c r="Q31" s="392"/>
      <c r="R31" s="392"/>
      <c r="U31" s="17"/>
      <c r="V31" s="268">
        <f t="shared" si="5"/>
        <v>22.5</v>
      </c>
      <c r="W31" s="268">
        <f>+W14</f>
        <v>24</v>
      </c>
      <c r="X31" s="268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390"/>
      <c r="C32" s="391"/>
      <c r="D32" s="1" t="str">
        <f>IF(COUNT(Notenbogen!C33:H33)+COUNT(Notenbogen!N33:S33)&gt;0,ROUNDUP((SUMPRODUCT(NB!D106:I106,Notenbogen!C33:H33,Notenbogen!C68:H68)+SUMPRODUCT(NB!D147:I147,Notenbogen!N33:S33,Notenbogen!N68:S68))/(SUMPRODUCT(NB!D106:I106,Notenbogen!C68:H68)+SUMPRODUCT(NB!D147:I147,Notenbogen!N68:S68)),2),"")</f>
        <v/>
      </c>
      <c r="E32" s="392"/>
      <c r="F32" s="392"/>
      <c r="G32" s="392"/>
      <c r="H32" s="392"/>
      <c r="I32" s="392"/>
      <c r="J32" s="392"/>
      <c r="K32" s="117"/>
      <c r="L32" s="392"/>
      <c r="M32" s="392"/>
      <c r="N32" s="392"/>
      <c r="O32" s="392"/>
      <c r="P32" s="392"/>
      <c r="Q32" s="392"/>
      <c r="R32" s="392"/>
      <c r="U32" s="17"/>
      <c r="V32" s="268">
        <f t="shared" si="5"/>
        <v>24.5</v>
      </c>
      <c r="W32" s="268">
        <f>+W13</f>
        <v>26</v>
      </c>
      <c r="X32" s="268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390"/>
      <c r="C33" s="391"/>
      <c r="D33" s="1" t="str">
        <f>IF(COUNT(Notenbogen!C34:H34)+COUNT(Notenbogen!N34:S34)&gt;0,ROUNDUP((SUMPRODUCT(NB!D107:I107,Notenbogen!C34:H34,Notenbogen!C69:H69)+SUMPRODUCT(NB!D148:I148,Notenbogen!N34:S34,Notenbogen!N69:S69))/(SUMPRODUCT(NB!D107:I107,Notenbogen!C69:H69)+SUMPRODUCT(NB!D148:I148,Notenbogen!N69:S69)),2),"")</f>
        <v/>
      </c>
      <c r="E33" s="392"/>
      <c r="F33" s="392"/>
      <c r="G33" s="392"/>
      <c r="H33" s="392"/>
      <c r="I33" s="392"/>
      <c r="J33" s="392"/>
      <c r="K33" s="117"/>
      <c r="L33" s="392"/>
      <c r="M33" s="392"/>
      <c r="N33" s="392"/>
      <c r="O33" s="392"/>
      <c r="P33" s="392"/>
      <c r="Q33" s="392"/>
      <c r="R33" s="392"/>
      <c r="U33" s="17"/>
      <c r="V33" s="268">
        <f t="shared" si="5"/>
        <v>26.5</v>
      </c>
      <c r="W33" s="268">
        <f>+W12</f>
        <v>28</v>
      </c>
      <c r="X33" s="268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390"/>
      <c r="C34" s="391"/>
      <c r="D34" s="1" t="str">
        <f>IF(COUNT(Notenbogen!C35:H35)+COUNT(Notenbogen!N35:S35)&gt;0,ROUNDUP((SUMPRODUCT(NB!D108:I108,Notenbogen!C35:H35,Notenbogen!C70:H70)+SUMPRODUCT(NB!D149:I149,Notenbogen!N35:S35,Notenbogen!N70:S70))/(SUMPRODUCT(NB!D108:I108,Notenbogen!C70:H70)+SUMPRODUCT(NB!D149:I149,Notenbogen!N70:S70)),2),"")</f>
        <v/>
      </c>
      <c r="E34" s="392"/>
      <c r="F34" s="392"/>
      <c r="G34" s="392"/>
      <c r="H34" s="392"/>
      <c r="I34" s="392"/>
      <c r="J34" s="392"/>
      <c r="K34" s="117"/>
      <c r="L34" s="392"/>
      <c r="M34" s="392"/>
      <c r="N34" s="392"/>
      <c r="O34" s="392"/>
      <c r="P34" s="392"/>
      <c r="Q34" s="392"/>
      <c r="R34" s="392"/>
      <c r="U34" s="17"/>
      <c r="V34" s="268">
        <f t="shared" si="5"/>
        <v>28.5</v>
      </c>
      <c r="W34" s="268">
        <f>+W11</f>
        <v>30</v>
      </c>
      <c r="X34" s="268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390"/>
      <c r="C35" s="391"/>
      <c r="D35" s="1" t="str">
        <f>IF(COUNT(Notenbogen!C36:H36)+COUNT(Notenbogen!N36:S36)&gt;0,ROUNDUP((SUMPRODUCT(NB!D109:I109,Notenbogen!C36:H36,Notenbogen!C71:H71)+SUMPRODUCT(NB!D150:I150,Notenbogen!N36:S36,Notenbogen!N71:S71))/(SUMPRODUCT(NB!D109:I109,Notenbogen!C71:H71)+SUMPRODUCT(NB!D150:I150,Notenbogen!N71:S71)),2),"")</f>
        <v/>
      </c>
      <c r="E35" s="392"/>
      <c r="F35" s="392"/>
      <c r="G35" s="392"/>
      <c r="H35" s="392"/>
      <c r="I35" s="392"/>
      <c r="J35" s="392"/>
      <c r="K35" s="117"/>
      <c r="L35" s="392"/>
      <c r="M35" s="392"/>
      <c r="N35" s="392"/>
      <c r="O35" s="392"/>
      <c r="P35" s="392"/>
      <c r="Q35" s="392"/>
      <c r="R35" s="392"/>
      <c r="U35" s="17"/>
      <c r="V35" s="268">
        <f t="shared" si="5"/>
        <v>30.5</v>
      </c>
      <c r="W35" s="268">
        <f>+W10</f>
        <v>32</v>
      </c>
      <c r="X35" s="268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390"/>
      <c r="C36" s="391"/>
      <c r="D36" s="1" t="str">
        <f>IF(COUNT(Notenbogen!C37:H37)+COUNT(Notenbogen!N37:S37)&gt;0,ROUNDUP((SUMPRODUCT(NB!D110:I110,Notenbogen!C37:H37,Notenbogen!C72:H72)+SUMPRODUCT(NB!D151:I151,Notenbogen!N37:S37,Notenbogen!N72:S72))/(SUMPRODUCT(NB!D110:I110,Notenbogen!C72:H72)+SUMPRODUCT(NB!D151:I151,Notenbogen!N72:S72)),2),"")</f>
        <v/>
      </c>
      <c r="E36" s="392"/>
      <c r="F36" s="392"/>
      <c r="G36" s="392"/>
      <c r="H36" s="392"/>
      <c r="I36" s="392"/>
      <c r="J36" s="392"/>
      <c r="K36" s="117"/>
      <c r="L36" s="392"/>
      <c r="M36" s="392"/>
      <c r="N36" s="392"/>
      <c r="O36" s="392"/>
      <c r="P36" s="392"/>
      <c r="Q36" s="392"/>
      <c r="R36" s="392"/>
      <c r="U36" s="17"/>
      <c r="V36" s="268">
        <f t="shared" si="5"/>
        <v>32.5</v>
      </c>
      <c r="W36" s="268">
        <f>+W9</f>
        <v>34</v>
      </c>
      <c r="X36" s="268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390"/>
      <c r="C37" s="391"/>
      <c r="D37" s="1" t="str">
        <f>IF(COUNT(Notenbogen!C38:H38)+COUNT(Notenbogen!N38:S38)&gt;0,ROUNDUP((SUMPRODUCT(NB!D111:I111,Notenbogen!C38:H38,Notenbogen!C73:H73)+SUMPRODUCT(NB!D152:I152,Notenbogen!N38:S38,Notenbogen!N73:S73))/(SUMPRODUCT(NB!D111:I111,Notenbogen!C73:H73)+SUMPRODUCT(NB!D152:I152,Notenbogen!N73:S73)),2),"")</f>
        <v/>
      </c>
      <c r="E37" s="392"/>
      <c r="F37" s="392"/>
      <c r="G37" s="392"/>
      <c r="H37" s="392"/>
      <c r="I37" s="392"/>
      <c r="J37" s="392"/>
      <c r="K37" s="117"/>
      <c r="L37" s="392"/>
      <c r="M37" s="392"/>
      <c r="N37" s="392"/>
      <c r="O37" s="392"/>
      <c r="P37" s="392"/>
      <c r="Q37" s="392"/>
      <c r="R37" s="392"/>
      <c r="U37" s="17"/>
      <c r="V37" s="268">
        <f t="shared" si="5"/>
        <v>34.5</v>
      </c>
      <c r="W37" s="268">
        <f>+W8</f>
        <v>36</v>
      </c>
      <c r="X37" s="268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390"/>
      <c r="C38" s="391"/>
      <c r="D38" s="390"/>
      <c r="E38" s="392"/>
      <c r="F38" s="392"/>
      <c r="G38" s="392"/>
      <c r="H38" s="392"/>
      <c r="I38" s="392"/>
      <c r="J38" s="392"/>
      <c r="K38" s="117"/>
      <c r="L38" s="392"/>
      <c r="M38" s="392"/>
      <c r="N38" s="392"/>
      <c r="O38" s="392"/>
      <c r="P38" s="392"/>
      <c r="Q38" s="392"/>
      <c r="R38" s="392"/>
      <c r="U38" s="17"/>
      <c r="V38" s="268">
        <f t="shared" si="5"/>
        <v>36.5</v>
      </c>
      <c r="W38" s="268">
        <f>+W7</f>
        <v>38</v>
      </c>
      <c r="X38" s="268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390"/>
      <c r="C39" s="391"/>
      <c r="D39" s="390"/>
      <c r="E39" s="392"/>
      <c r="F39" s="392"/>
      <c r="G39" s="392"/>
      <c r="H39" s="392"/>
      <c r="I39" s="392"/>
      <c r="J39" s="392"/>
      <c r="K39" s="117"/>
      <c r="L39" s="392"/>
      <c r="M39" s="392"/>
      <c r="N39" s="392"/>
      <c r="O39" s="392"/>
      <c r="P39" s="392"/>
      <c r="Q39" s="392"/>
      <c r="R39" s="392"/>
      <c r="U39" s="17"/>
      <c r="V39" s="268">
        <f t="shared" si="5"/>
        <v>38.5</v>
      </c>
      <c r="W39" s="268">
        <f>+W6</f>
        <v>40</v>
      </c>
      <c r="X39" s="268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390"/>
      <c r="C40" s="391"/>
      <c r="D40" s="390"/>
      <c r="E40" s="392"/>
      <c r="F40" s="392"/>
      <c r="G40" s="392"/>
      <c r="H40" s="392"/>
      <c r="I40" s="392"/>
      <c r="J40" s="392"/>
      <c r="K40" s="117"/>
      <c r="L40" s="392"/>
      <c r="M40" s="392"/>
      <c r="N40" s="392"/>
      <c r="O40" s="392"/>
      <c r="P40" s="392"/>
      <c r="Q40" s="392"/>
      <c r="R40" s="392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390"/>
      <c r="C41" s="391"/>
      <c r="D41" s="390"/>
      <c r="E41" s="392"/>
      <c r="F41" s="392"/>
      <c r="G41" s="392"/>
      <c r="H41" s="392"/>
      <c r="I41" s="392"/>
      <c r="J41" s="392"/>
      <c r="K41" s="117"/>
      <c r="L41" s="392"/>
      <c r="M41" s="392"/>
      <c r="N41" s="392"/>
      <c r="O41" s="392"/>
      <c r="P41" s="392"/>
      <c r="Q41" s="392"/>
      <c r="R41" s="392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390"/>
      <c r="C42" s="391"/>
      <c r="D42" s="390"/>
      <c r="E42" s="392"/>
      <c r="F42" s="392"/>
      <c r="G42" s="392"/>
      <c r="H42" s="392"/>
      <c r="I42" s="392"/>
      <c r="J42" s="392"/>
      <c r="K42" s="117"/>
      <c r="L42" s="392"/>
      <c r="M42" s="392"/>
      <c r="N42" s="392"/>
      <c r="O42" s="392"/>
      <c r="P42" s="392"/>
      <c r="Q42" s="392"/>
      <c r="R42" s="392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390"/>
      <c r="C43" s="391"/>
      <c r="D43" s="390"/>
      <c r="E43" s="392"/>
      <c r="F43" s="392"/>
      <c r="G43" s="392"/>
      <c r="H43" s="392"/>
      <c r="I43" s="392"/>
      <c r="J43" s="392"/>
      <c r="K43" s="117"/>
      <c r="L43" s="392"/>
      <c r="M43" s="392"/>
      <c r="N43" s="392"/>
      <c r="O43" s="392"/>
      <c r="P43" s="392"/>
      <c r="Q43" s="392"/>
      <c r="R43" s="392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390"/>
      <c r="C44" s="391"/>
      <c r="D44" s="390"/>
      <c r="E44" s="392"/>
      <c r="F44" s="392"/>
      <c r="G44" s="392"/>
      <c r="H44" s="392"/>
      <c r="I44" s="392"/>
      <c r="J44" s="392"/>
      <c r="K44" s="117"/>
      <c r="L44" s="392"/>
      <c r="M44" s="392"/>
      <c r="N44" s="392"/>
      <c r="O44" s="392"/>
      <c r="P44" s="392"/>
      <c r="Q44" s="392"/>
      <c r="R44" s="392"/>
      <c r="U44" s="269"/>
      <c r="V44" s="272"/>
      <c r="W44" s="448"/>
      <c r="X44" s="448"/>
      <c r="Y44" s="36"/>
      <c r="Z44" s="448"/>
      <c r="AA44" s="448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390"/>
      <c r="C45" s="391"/>
      <c r="D45" s="390"/>
      <c r="E45" s="392"/>
      <c r="F45" s="392"/>
      <c r="G45" s="392"/>
      <c r="H45" s="392"/>
      <c r="I45" s="392"/>
      <c r="J45" s="392"/>
      <c r="K45" s="117"/>
      <c r="L45" s="392"/>
      <c r="M45" s="392"/>
      <c r="N45" s="392"/>
      <c r="O45" s="392"/>
      <c r="P45" s="392"/>
      <c r="Q45" s="392"/>
      <c r="R45" s="392"/>
      <c r="U45" s="273"/>
      <c r="V45" s="272"/>
      <c r="W45" s="438"/>
      <c r="X45" s="438"/>
      <c r="Y45" s="36"/>
      <c r="Z45" s="448"/>
      <c r="AA45" s="448"/>
      <c r="AB45" s="17"/>
      <c r="AC45" s="20" t="s">
        <v>6</v>
      </c>
      <c r="AD45" s="21" t="s">
        <v>17</v>
      </c>
      <c r="AE45" s="22"/>
      <c r="AF45" s="441" t="s">
        <v>26</v>
      </c>
      <c r="AG45" s="442"/>
      <c r="AH45" s="23"/>
      <c r="AI45" s="20" t="s">
        <v>6</v>
      </c>
      <c r="AJ45" s="21" t="s">
        <v>17</v>
      </c>
      <c r="AK45" s="24"/>
      <c r="AL45" s="432" t="s">
        <v>27</v>
      </c>
      <c r="AM45" s="433"/>
      <c r="AN45" s="25" t="s">
        <v>28</v>
      </c>
    </row>
    <row r="46" spans="2:40" ht="12.75" customHeight="1" x14ac:dyDescent="0.2">
      <c r="B46" s="390"/>
      <c r="C46" s="391"/>
      <c r="D46" s="390"/>
      <c r="E46" s="392"/>
      <c r="F46" s="392"/>
      <c r="G46" s="392"/>
      <c r="H46" s="392"/>
      <c r="I46" s="392"/>
      <c r="J46" s="392"/>
      <c r="K46" s="117"/>
      <c r="L46" s="392"/>
      <c r="M46" s="392"/>
      <c r="N46" s="392"/>
      <c r="O46" s="392"/>
      <c r="P46" s="392"/>
      <c r="Q46" s="392"/>
      <c r="R46" s="392"/>
      <c r="U46" s="274"/>
      <c r="V46" s="272"/>
      <c r="W46" s="269"/>
      <c r="X46" s="269"/>
      <c r="Y46" s="36"/>
      <c r="Z46" s="448"/>
      <c r="AA46" s="448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390"/>
      <c r="C47" s="391"/>
      <c r="D47" s="390"/>
      <c r="E47" s="392"/>
      <c r="F47" s="392"/>
      <c r="G47" s="392"/>
      <c r="H47" s="392"/>
      <c r="I47" s="392"/>
      <c r="J47" s="392"/>
      <c r="K47" s="117"/>
      <c r="L47" s="392"/>
      <c r="M47" s="392"/>
      <c r="N47" s="392"/>
      <c r="O47" s="392"/>
      <c r="P47" s="392"/>
      <c r="Q47" s="392"/>
      <c r="R47" s="392"/>
      <c r="U47" s="36"/>
      <c r="V47" s="272"/>
      <c r="W47" s="269"/>
      <c r="X47" s="269"/>
      <c r="Y47" s="36"/>
      <c r="Z47" s="269"/>
      <c r="AA47" s="269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390"/>
      <c r="C48" s="391"/>
      <c r="D48" s="390"/>
      <c r="E48" s="392"/>
      <c r="F48" s="392"/>
      <c r="G48" s="392"/>
      <c r="H48" s="392"/>
      <c r="I48" s="392"/>
      <c r="J48" s="392"/>
      <c r="K48" s="117"/>
      <c r="L48" s="392"/>
      <c r="M48" s="392"/>
      <c r="N48" s="392"/>
      <c r="O48" s="392"/>
      <c r="P48" s="392"/>
      <c r="Q48" s="392"/>
      <c r="R48" s="392"/>
      <c r="U48" s="273"/>
      <c r="V48" s="272"/>
      <c r="W48" s="31"/>
      <c r="X48" s="31"/>
      <c r="Y48" s="36"/>
      <c r="Z48" s="269"/>
      <c r="AA48" s="269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63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390"/>
      <c r="C49" s="391"/>
      <c r="D49" s="390"/>
      <c r="E49" s="392"/>
      <c r="F49" s="392"/>
      <c r="G49" s="392"/>
      <c r="H49" s="392"/>
      <c r="I49" s="392"/>
      <c r="J49" s="392"/>
      <c r="K49" s="117"/>
      <c r="L49" s="392"/>
      <c r="M49" s="392"/>
      <c r="N49" s="392"/>
      <c r="O49" s="392"/>
      <c r="P49" s="392"/>
      <c r="Q49" s="392"/>
      <c r="R49" s="392"/>
      <c r="U49" s="273"/>
      <c r="V49" s="272"/>
      <c r="W49" s="31"/>
      <c r="X49" s="31"/>
      <c r="Y49" s="36"/>
      <c r="Z49" s="269"/>
      <c r="AA49" s="269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63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390"/>
      <c r="C50" s="391"/>
      <c r="D50" s="390"/>
      <c r="E50" s="392"/>
      <c r="F50" s="392"/>
      <c r="G50" s="392"/>
      <c r="H50" s="392"/>
      <c r="I50" s="392"/>
      <c r="J50" s="392"/>
      <c r="K50" s="117"/>
      <c r="L50" s="392"/>
      <c r="M50" s="392"/>
      <c r="N50" s="392"/>
      <c r="O50" s="392"/>
      <c r="P50" s="392"/>
      <c r="Q50" s="392"/>
      <c r="R50" s="392"/>
      <c r="U50" s="273"/>
      <c r="V50" s="272"/>
      <c r="W50" s="31"/>
      <c r="X50" s="31"/>
      <c r="Y50" s="36"/>
      <c r="Z50" s="269"/>
      <c r="AA50" s="269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63">
        <f t="shared" si="8"/>
        <v>33</v>
      </c>
      <c r="AN50" s="44">
        <f t="shared" si="7"/>
        <v>2.5</v>
      </c>
    </row>
    <row r="51" spans="2:40" ht="12.75" customHeight="1" x14ac:dyDescent="0.2">
      <c r="B51" s="390"/>
      <c r="C51" s="391"/>
      <c r="D51" s="390"/>
      <c r="E51" s="392"/>
      <c r="F51" s="392"/>
      <c r="G51" s="392"/>
      <c r="H51" s="392"/>
      <c r="I51" s="392"/>
      <c r="J51" s="392"/>
      <c r="K51" s="117"/>
      <c r="L51" s="392"/>
      <c r="M51" s="392"/>
      <c r="N51" s="392"/>
      <c r="O51" s="392"/>
      <c r="P51" s="392"/>
      <c r="Q51" s="392"/>
      <c r="R51" s="392"/>
      <c r="U51" s="273"/>
      <c r="V51" s="272"/>
      <c r="W51" s="31"/>
      <c r="X51" s="31"/>
      <c r="Y51" s="36"/>
      <c r="Z51" s="269"/>
      <c r="AA51" s="269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63">
        <f t="shared" si="8"/>
        <v>30.5</v>
      </c>
      <c r="AN51" s="34">
        <f t="shared" si="7"/>
        <v>2.5</v>
      </c>
    </row>
    <row r="52" spans="2:40" ht="12.75" customHeight="1" x14ac:dyDescent="0.2">
      <c r="B52" s="390"/>
      <c r="C52" s="391"/>
      <c r="D52" s="390"/>
      <c r="E52" s="392"/>
      <c r="F52" s="392"/>
      <c r="G52" s="392"/>
      <c r="H52" s="392"/>
      <c r="I52" s="392"/>
      <c r="J52" s="392"/>
      <c r="K52" s="117"/>
      <c r="L52" s="392"/>
      <c r="M52" s="392"/>
      <c r="N52" s="392"/>
      <c r="O52" s="392"/>
      <c r="P52" s="392"/>
      <c r="Q52" s="392"/>
      <c r="R52" s="392"/>
      <c r="U52" s="273"/>
      <c r="V52" s="272"/>
      <c r="W52" s="31"/>
      <c r="X52" s="31"/>
      <c r="Y52" s="36"/>
      <c r="Z52" s="269"/>
      <c r="AA52" s="269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63">
        <f t="shared" si="8"/>
        <v>28.5</v>
      </c>
      <c r="AN52" s="34">
        <f t="shared" si="7"/>
        <v>2</v>
      </c>
    </row>
    <row r="53" spans="2:40" ht="12.75" customHeight="1" x14ac:dyDescent="0.2">
      <c r="B53" s="390"/>
      <c r="C53" s="391"/>
      <c r="D53" s="390"/>
      <c r="E53" s="392"/>
      <c r="F53" s="392"/>
      <c r="G53" s="392"/>
      <c r="H53" s="392"/>
      <c r="I53" s="392"/>
      <c r="J53" s="392"/>
      <c r="K53" s="117"/>
      <c r="L53" s="392"/>
      <c r="M53" s="392"/>
      <c r="N53" s="392"/>
      <c r="O53" s="392"/>
      <c r="P53" s="392"/>
      <c r="Q53" s="392"/>
      <c r="R53" s="392"/>
      <c r="U53" s="273"/>
      <c r="V53" s="272"/>
      <c r="W53" s="31"/>
      <c r="X53" s="31"/>
      <c r="Y53" s="36"/>
      <c r="Z53" s="269"/>
      <c r="AA53" s="269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63">
        <f t="shared" si="8"/>
        <v>26</v>
      </c>
      <c r="AN53" s="44">
        <f t="shared" si="7"/>
        <v>2.5</v>
      </c>
    </row>
    <row r="54" spans="2:40" ht="12.75" customHeight="1" x14ac:dyDescent="0.2">
      <c r="B54" s="390"/>
      <c r="C54" s="391"/>
      <c r="D54" s="390"/>
      <c r="E54" s="392"/>
      <c r="F54" s="392"/>
      <c r="G54" s="392"/>
      <c r="H54" s="392"/>
      <c r="I54" s="392"/>
      <c r="J54" s="392"/>
      <c r="K54" s="117"/>
      <c r="L54" s="392"/>
      <c r="M54" s="392"/>
      <c r="N54" s="392"/>
      <c r="O54" s="392"/>
      <c r="P54" s="392"/>
      <c r="Q54" s="392"/>
      <c r="R54" s="392"/>
      <c r="U54" s="273"/>
      <c r="V54" s="272"/>
      <c r="W54" s="31"/>
      <c r="X54" s="31"/>
      <c r="Y54" s="36"/>
      <c r="Z54" s="269"/>
      <c r="AA54" s="269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63">
        <f t="shared" si="8"/>
        <v>24.5</v>
      </c>
      <c r="AN54" s="34">
        <f t="shared" si="7"/>
        <v>1.5</v>
      </c>
    </row>
    <row r="55" spans="2:40" ht="12.75" customHeight="1" x14ac:dyDescent="0.2">
      <c r="B55" s="390"/>
      <c r="C55" s="391"/>
      <c r="D55" s="390"/>
      <c r="E55" s="392"/>
      <c r="F55" s="392"/>
      <c r="G55" s="392"/>
      <c r="H55" s="392"/>
      <c r="I55" s="392"/>
      <c r="J55" s="392"/>
      <c r="K55" s="117"/>
      <c r="L55" s="392"/>
      <c r="M55" s="392"/>
      <c r="N55" s="392"/>
      <c r="O55" s="392"/>
      <c r="P55" s="392"/>
      <c r="Q55" s="392"/>
      <c r="R55" s="392"/>
      <c r="U55" s="273"/>
      <c r="V55" s="272"/>
      <c r="W55" s="31"/>
      <c r="X55" s="31"/>
      <c r="Y55" s="36"/>
      <c r="Z55" s="269"/>
      <c r="AA55" s="269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63">
        <f t="shared" si="8"/>
        <v>22.5</v>
      </c>
      <c r="AN55" s="34">
        <f t="shared" si="7"/>
        <v>2</v>
      </c>
    </row>
    <row r="56" spans="2:40" ht="12.75" customHeight="1" x14ac:dyDescent="0.2">
      <c r="B56" s="390"/>
      <c r="C56" s="391"/>
      <c r="D56" s="390"/>
      <c r="E56" s="392"/>
      <c r="F56" s="392"/>
      <c r="G56" s="392"/>
      <c r="H56" s="392"/>
      <c r="I56" s="392"/>
      <c r="J56" s="392"/>
      <c r="K56" s="117"/>
      <c r="L56" s="392"/>
      <c r="M56" s="392"/>
      <c r="N56" s="392"/>
      <c r="O56" s="392"/>
      <c r="P56" s="392"/>
      <c r="Q56" s="392"/>
      <c r="R56" s="392"/>
      <c r="U56" s="273"/>
      <c r="V56" s="272"/>
      <c r="W56" s="31"/>
      <c r="X56" s="31"/>
      <c r="Y56" s="36"/>
      <c r="Z56" s="269"/>
      <c r="AA56" s="269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63">
        <f t="shared" si="8"/>
        <v>21</v>
      </c>
      <c r="AN56" s="44">
        <f t="shared" si="7"/>
        <v>1.5</v>
      </c>
    </row>
    <row r="57" spans="2:40" ht="12.75" customHeight="1" x14ac:dyDescent="0.2">
      <c r="B57" s="390"/>
      <c r="C57" s="391"/>
      <c r="D57" s="390"/>
      <c r="E57" s="392"/>
      <c r="F57" s="392"/>
      <c r="G57" s="392"/>
      <c r="H57" s="392"/>
      <c r="I57" s="392"/>
      <c r="J57" s="392"/>
      <c r="K57" s="117"/>
      <c r="L57" s="392"/>
      <c r="M57" s="392"/>
      <c r="N57" s="392"/>
      <c r="O57" s="392"/>
      <c r="P57" s="392"/>
      <c r="Q57" s="392"/>
      <c r="R57" s="392"/>
      <c r="U57" s="273"/>
      <c r="V57" s="272"/>
      <c r="W57" s="31"/>
      <c r="X57" s="31"/>
      <c r="Y57" s="36"/>
      <c r="Z57" s="269"/>
      <c r="AA57" s="269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63">
        <f t="shared" si="8"/>
        <v>19.5</v>
      </c>
      <c r="AN57" s="34">
        <f t="shared" si="7"/>
        <v>1.5</v>
      </c>
    </row>
    <row r="58" spans="2:40" ht="12.75" customHeight="1" x14ac:dyDescent="0.2">
      <c r="B58" s="390"/>
      <c r="C58" s="391"/>
      <c r="D58" s="390"/>
      <c r="E58" s="392"/>
      <c r="F58" s="392"/>
      <c r="G58" s="392"/>
      <c r="H58" s="392"/>
      <c r="I58" s="392"/>
      <c r="J58" s="392"/>
      <c r="K58" s="117"/>
      <c r="L58" s="392"/>
      <c r="M58" s="392"/>
      <c r="N58" s="392"/>
      <c r="O58" s="392"/>
      <c r="P58" s="392"/>
      <c r="Q58" s="392"/>
      <c r="R58" s="392"/>
      <c r="U58" s="273"/>
      <c r="V58" s="272"/>
      <c r="W58" s="31"/>
      <c r="X58" s="31"/>
      <c r="Y58" s="36"/>
      <c r="Z58" s="269"/>
      <c r="AA58" s="269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63">
        <f t="shared" si="8"/>
        <v>18</v>
      </c>
      <c r="AN58" s="34">
        <f t="shared" si="7"/>
        <v>1.5</v>
      </c>
    </row>
    <row r="59" spans="2:40" ht="12.75" customHeight="1" x14ac:dyDescent="0.2">
      <c r="B59" s="390"/>
      <c r="C59" s="391"/>
      <c r="D59" s="390"/>
      <c r="E59" s="392"/>
      <c r="F59" s="392"/>
      <c r="G59" s="392"/>
      <c r="H59" s="392"/>
      <c r="I59" s="392"/>
      <c r="J59" s="392"/>
      <c r="K59" s="117"/>
      <c r="L59" s="392"/>
      <c r="M59" s="392"/>
      <c r="N59" s="392"/>
      <c r="O59" s="392"/>
      <c r="P59" s="392"/>
      <c r="Q59" s="392"/>
      <c r="R59" s="392"/>
      <c r="U59" s="273"/>
      <c r="V59" s="272"/>
      <c r="W59" s="31"/>
      <c r="X59" s="31"/>
      <c r="Y59" s="36"/>
      <c r="Z59" s="269"/>
      <c r="AA59" s="269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63">
        <f t="shared" si="8"/>
        <v>16.5</v>
      </c>
      <c r="AN59" s="44">
        <f t="shared" si="7"/>
        <v>1.5</v>
      </c>
    </row>
    <row r="60" spans="2:40" ht="12.75" customHeight="1" x14ac:dyDescent="0.2">
      <c r="B60" s="390"/>
      <c r="C60" s="391"/>
      <c r="D60" s="390"/>
      <c r="E60" s="392"/>
      <c r="F60" s="392"/>
      <c r="G60" s="392"/>
      <c r="H60" s="392"/>
      <c r="I60" s="392"/>
      <c r="J60" s="392"/>
      <c r="K60" s="117"/>
      <c r="L60" s="392"/>
      <c r="M60" s="392"/>
      <c r="N60" s="392"/>
      <c r="O60" s="392"/>
      <c r="P60" s="392"/>
      <c r="Q60" s="392"/>
      <c r="R60" s="392"/>
      <c r="U60" s="273"/>
      <c r="V60" s="272"/>
      <c r="W60" s="31"/>
      <c r="X60" s="31"/>
      <c r="Y60" s="36"/>
      <c r="Z60" s="269"/>
      <c r="AA60" s="269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63">
        <f t="shared" si="8"/>
        <v>13.5</v>
      </c>
      <c r="AN60" s="34">
        <f t="shared" si="7"/>
        <v>3</v>
      </c>
    </row>
    <row r="61" spans="2:40" ht="12.75" customHeight="1" x14ac:dyDescent="0.2">
      <c r="B61" s="390"/>
      <c r="C61" s="391"/>
      <c r="D61" s="390"/>
      <c r="E61" s="392"/>
      <c r="F61" s="392"/>
      <c r="G61" s="392"/>
      <c r="H61" s="392"/>
      <c r="I61" s="392"/>
      <c r="J61" s="392"/>
      <c r="K61" s="117"/>
      <c r="L61" s="392"/>
      <c r="M61" s="392"/>
      <c r="N61" s="392"/>
      <c r="O61" s="392"/>
      <c r="P61" s="392"/>
      <c r="Q61" s="392"/>
      <c r="R61" s="392"/>
      <c r="U61" s="273"/>
      <c r="V61" s="272"/>
      <c r="W61" s="31"/>
      <c r="X61" s="31"/>
      <c r="Y61" s="36"/>
      <c r="Z61" s="269"/>
      <c r="AA61" s="269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63">
        <f t="shared" si="8"/>
        <v>11</v>
      </c>
      <c r="AN61" s="34">
        <f t="shared" si="7"/>
        <v>2.5</v>
      </c>
    </row>
    <row r="62" spans="2:40" ht="12.75" customHeight="1" x14ac:dyDescent="0.2">
      <c r="B62" s="390"/>
      <c r="C62" s="391"/>
      <c r="D62" s="390"/>
      <c r="E62" s="392"/>
      <c r="F62" s="392"/>
      <c r="G62" s="392"/>
      <c r="H62" s="392"/>
      <c r="I62" s="392"/>
      <c r="J62" s="392"/>
      <c r="K62" s="117"/>
      <c r="L62" s="392"/>
      <c r="M62" s="392"/>
      <c r="N62" s="392"/>
      <c r="O62" s="392"/>
      <c r="P62" s="392"/>
      <c r="Q62" s="392"/>
      <c r="R62" s="392"/>
      <c r="U62" s="273"/>
      <c r="V62" s="272"/>
      <c r="W62" s="31"/>
      <c r="X62" s="279"/>
      <c r="Y62" s="36"/>
      <c r="Z62" s="269"/>
      <c r="AA62" s="269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70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390"/>
      <c r="C63" s="391"/>
      <c r="D63" s="390"/>
      <c r="E63" s="392"/>
      <c r="F63" s="392"/>
      <c r="G63" s="392"/>
      <c r="H63" s="392"/>
      <c r="I63" s="392"/>
      <c r="J63" s="392"/>
      <c r="K63" s="117"/>
      <c r="L63" s="392"/>
      <c r="M63" s="392"/>
      <c r="N63" s="392"/>
      <c r="O63" s="392"/>
      <c r="P63" s="392"/>
      <c r="Q63" s="392"/>
      <c r="R63" s="392"/>
      <c r="U63" s="272"/>
      <c r="V63" s="272"/>
      <c r="W63" s="31"/>
      <c r="X63" s="31"/>
      <c r="Y63" s="36"/>
      <c r="Z63" s="269"/>
      <c r="AA63" s="269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71">
        <v>0</v>
      </c>
      <c r="AN63" s="65">
        <f>IF(AM63&gt;AM62,"ALARM",AL63)</f>
        <v>7.5</v>
      </c>
    </row>
    <row r="64" spans="2:40" ht="12.75" customHeight="1" x14ac:dyDescent="0.2">
      <c r="B64" s="390"/>
      <c r="C64" s="391"/>
      <c r="D64" s="390"/>
      <c r="E64" s="392"/>
      <c r="F64" s="392"/>
      <c r="G64" s="392"/>
      <c r="H64" s="392"/>
      <c r="I64" s="392"/>
      <c r="J64" s="392"/>
      <c r="K64" s="117"/>
      <c r="L64" s="392"/>
      <c r="M64" s="392"/>
      <c r="N64" s="392"/>
      <c r="O64" s="392"/>
      <c r="P64" s="392"/>
      <c r="Q64" s="392"/>
      <c r="R64" s="392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390"/>
      <c r="C65" s="391"/>
      <c r="D65" s="390"/>
      <c r="E65" s="392"/>
      <c r="F65" s="392"/>
      <c r="G65" s="392"/>
      <c r="H65" s="392"/>
      <c r="I65" s="392"/>
      <c r="J65" s="392"/>
      <c r="K65" s="117"/>
      <c r="L65" s="392"/>
      <c r="M65" s="392"/>
      <c r="N65" s="392"/>
      <c r="O65" s="392"/>
      <c r="P65" s="392"/>
      <c r="Q65" s="392"/>
      <c r="R65" s="392"/>
    </row>
    <row r="66" spans="2:40" ht="12.75" customHeight="1" x14ac:dyDescent="0.2">
      <c r="B66" s="390"/>
      <c r="C66" s="391"/>
      <c r="D66" s="390"/>
      <c r="E66" s="392"/>
      <c r="F66" s="392"/>
      <c r="G66" s="392"/>
      <c r="H66" s="392"/>
      <c r="I66" s="392"/>
      <c r="J66" s="392"/>
      <c r="K66" s="117"/>
      <c r="L66" s="392"/>
      <c r="M66" s="392"/>
      <c r="N66" s="392"/>
      <c r="O66" s="392"/>
      <c r="P66" s="392"/>
      <c r="Q66" s="392"/>
      <c r="R66" s="392"/>
    </row>
    <row r="67" spans="2:40" ht="12.75" customHeight="1" x14ac:dyDescent="0.2">
      <c r="B67" s="390"/>
      <c r="C67" s="391"/>
      <c r="D67" s="390"/>
      <c r="E67" s="392"/>
      <c r="F67" s="392"/>
      <c r="G67" s="392"/>
      <c r="H67" s="392"/>
      <c r="I67" s="392"/>
      <c r="J67" s="392"/>
      <c r="K67" s="117"/>
      <c r="L67" s="392"/>
      <c r="M67" s="392"/>
      <c r="N67" s="392"/>
      <c r="O67" s="392"/>
      <c r="P67" s="392"/>
      <c r="Q67" s="392"/>
      <c r="R67" s="392"/>
    </row>
    <row r="68" spans="2:40" ht="12.75" customHeight="1" x14ac:dyDescent="0.2">
      <c r="B68" s="390"/>
      <c r="C68" s="391"/>
      <c r="D68" s="390"/>
      <c r="E68" s="392"/>
      <c r="F68" s="392"/>
      <c r="G68" s="392"/>
      <c r="H68" s="392"/>
      <c r="I68" s="392"/>
      <c r="J68" s="392"/>
      <c r="K68" s="117"/>
      <c r="L68" s="392"/>
      <c r="M68" s="392"/>
      <c r="N68" s="392"/>
      <c r="O68" s="392"/>
      <c r="P68" s="392"/>
      <c r="Q68" s="392"/>
      <c r="R68" s="392"/>
    </row>
    <row r="69" spans="2:40" ht="12.75" customHeight="1" x14ac:dyDescent="0.2">
      <c r="B69" s="390"/>
      <c r="C69" s="391"/>
      <c r="D69" s="390"/>
      <c r="E69" s="392"/>
      <c r="F69" s="392"/>
      <c r="G69" s="392"/>
      <c r="H69" s="392"/>
      <c r="I69" s="392"/>
      <c r="J69" s="392"/>
      <c r="K69" s="117"/>
      <c r="L69" s="392"/>
      <c r="M69" s="392"/>
      <c r="N69" s="392"/>
      <c r="O69" s="392"/>
      <c r="P69" s="392"/>
      <c r="Q69" s="392"/>
      <c r="R69" s="392"/>
    </row>
    <row r="70" spans="2:40" ht="12.75" customHeight="1" x14ac:dyDescent="0.2">
      <c r="B70" s="390"/>
      <c r="C70" s="391"/>
      <c r="D70" s="390"/>
      <c r="E70" s="392"/>
      <c r="F70" s="392"/>
      <c r="G70" s="392"/>
      <c r="H70" s="392"/>
      <c r="I70" s="392"/>
      <c r="J70" s="392"/>
      <c r="K70" s="117"/>
      <c r="L70" s="392"/>
      <c r="M70" s="392"/>
      <c r="N70" s="392"/>
      <c r="O70" s="392"/>
      <c r="P70" s="392"/>
      <c r="Q70" s="392"/>
      <c r="R70" s="392"/>
    </row>
    <row r="71" spans="2:40" ht="12.75" customHeight="1" x14ac:dyDescent="0.2">
      <c r="B71" s="390"/>
      <c r="C71" s="391"/>
      <c r="D71" s="390"/>
      <c r="E71" s="392"/>
      <c r="F71" s="392"/>
      <c r="G71" s="392"/>
      <c r="H71" s="392"/>
      <c r="I71" s="392"/>
      <c r="J71" s="392"/>
      <c r="K71" s="117"/>
      <c r="L71" s="392"/>
      <c r="M71" s="392"/>
      <c r="N71" s="392"/>
      <c r="O71" s="392"/>
      <c r="P71" s="392"/>
      <c r="Q71" s="392"/>
      <c r="R71" s="392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446" t="s">
        <v>24</v>
      </c>
      <c r="X74" s="447"/>
      <c r="Y74" s="434" t="s">
        <v>17</v>
      </c>
      <c r="Z74" s="443" t="s">
        <v>25</v>
      </c>
      <c r="AA74" s="444"/>
      <c r="AB74" s="17"/>
      <c r="AC74" s="20" t="s">
        <v>6</v>
      </c>
      <c r="AD74" s="21" t="s">
        <v>17</v>
      </c>
      <c r="AE74" s="22"/>
      <c r="AF74" s="441" t="s">
        <v>26</v>
      </c>
      <c r="AG74" s="442"/>
      <c r="AH74" s="23"/>
      <c r="AI74" s="20" t="s">
        <v>6</v>
      </c>
      <c r="AJ74" s="21" t="s">
        <v>17</v>
      </c>
      <c r="AK74" s="24"/>
      <c r="AL74" s="432" t="s">
        <v>27</v>
      </c>
      <c r="AM74" s="433"/>
      <c r="AN74" s="25" t="s">
        <v>28</v>
      </c>
    </row>
    <row r="75" spans="2:40" ht="12.75" customHeight="1" x14ac:dyDescent="0.2">
      <c r="D75" s="332" t="s">
        <v>134</v>
      </c>
      <c r="U75" s="26" t="s">
        <v>29</v>
      </c>
      <c r="V75" s="12" t="s">
        <v>28</v>
      </c>
      <c r="W75" s="437" t="s">
        <v>27</v>
      </c>
      <c r="X75" s="438"/>
      <c r="Y75" s="435"/>
      <c r="Z75" s="439" t="s">
        <v>30</v>
      </c>
      <c r="AA75" s="440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332" t="s">
        <v>135</v>
      </c>
      <c r="E76" s="332" t="s">
        <v>128</v>
      </c>
      <c r="F76" s="332" t="s">
        <v>136</v>
      </c>
      <c r="G76" s="332" t="s">
        <v>137</v>
      </c>
      <c r="H76" s="332" t="s">
        <v>138</v>
      </c>
      <c r="I76" s="332" t="s">
        <v>139</v>
      </c>
      <c r="J76" s="332" t="s">
        <v>37</v>
      </c>
      <c r="K76" s="332" t="s">
        <v>130</v>
      </c>
      <c r="L76" s="332" t="s">
        <v>131</v>
      </c>
      <c r="U76" s="35" t="s">
        <v>33</v>
      </c>
      <c r="V76" s="12" t="s">
        <v>24</v>
      </c>
      <c r="W76" s="27" t="s">
        <v>31</v>
      </c>
      <c r="X76" s="28" t="s">
        <v>32</v>
      </c>
      <c r="Y76" s="435"/>
      <c r="Z76" s="439" t="s">
        <v>34</v>
      </c>
      <c r="AA76" s="440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0</v>
      </c>
      <c r="H77" s="1">
        <f>COUNT(Notenbogen!G4)</f>
        <v>0</v>
      </c>
      <c r="I77" s="1">
        <f>COUNT(Notenbogen!H4)</f>
        <v>0</v>
      </c>
      <c r="J77" s="1">
        <f>COUNT(Notenbogen!I4)</f>
        <v>0</v>
      </c>
      <c r="K77" s="1">
        <f>COUNT(Notenbogen!J4)</f>
        <v>0</v>
      </c>
      <c r="L77" s="1">
        <f>COUNT(Notenbogen!K4)</f>
        <v>0</v>
      </c>
      <c r="U77" s="45"/>
      <c r="V77" s="13"/>
      <c r="W77" s="46"/>
      <c r="X77" s="42"/>
      <c r="Y77" s="436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63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75">
        <f>I2SA!$H$30</f>
        <v>40</v>
      </c>
      <c r="X78" s="263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63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75">
        <f t="shared" ref="W79:W93" si="12">W78-V78</f>
        <v>38</v>
      </c>
      <c r="X79" s="263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63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76">
        <f t="shared" si="12"/>
        <v>36</v>
      </c>
      <c r="X80" s="263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63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75">
        <f t="shared" si="12"/>
        <v>34</v>
      </c>
      <c r="X81" s="263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63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75">
        <f t="shared" si="12"/>
        <v>32</v>
      </c>
      <c r="X82" s="263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63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76">
        <f t="shared" si="12"/>
        <v>30</v>
      </c>
      <c r="X83" s="263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63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75">
        <f t="shared" si="12"/>
        <v>28</v>
      </c>
      <c r="X84" s="263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63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75">
        <f t="shared" si="12"/>
        <v>26</v>
      </c>
      <c r="X85" s="263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63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76">
        <f t="shared" si="12"/>
        <v>24</v>
      </c>
      <c r="X86" s="263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63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75">
        <f t="shared" si="12"/>
        <v>22</v>
      </c>
      <c r="X87" s="263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63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75">
        <f t="shared" si="12"/>
        <v>20</v>
      </c>
      <c r="X88" s="263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63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76">
        <f t="shared" si="12"/>
        <v>18</v>
      </c>
      <c r="X89" s="263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63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75">
        <f t="shared" si="12"/>
        <v>16</v>
      </c>
      <c r="X90" s="263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63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75">
        <f t="shared" si="12"/>
        <v>13</v>
      </c>
      <c r="X91" s="263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70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76">
        <f t="shared" si="12"/>
        <v>10.5</v>
      </c>
      <c r="X92" s="263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71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78">
        <f t="shared" si="12"/>
        <v>7.5</v>
      </c>
      <c r="X93" s="271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68">
        <f t="shared" ref="V96:V111" si="14">+X96</f>
        <v>0</v>
      </c>
      <c r="W96" s="268">
        <f>+W93</f>
        <v>7.5</v>
      </c>
      <c r="X96" s="268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68">
        <f t="shared" si="14"/>
        <v>8</v>
      </c>
      <c r="W97" s="268">
        <f>+W92</f>
        <v>10.5</v>
      </c>
      <c r="X97" s="268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68">
        <f t="shared" si="14"/>
        <v>11</v>
      </c>
      <c r="W98" s="268">
        <f>+W91</f>
        <v>13</v>
      </c>
      <c r="X98" s="268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68">
        <f t="shared" si="14"/>
        <v>13.5</v>
      </c>
      <c r="W99" s="268">
        <f>+W90</f>
        <v>16</v>
      </c>
      <c r="X99" s="268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68">
        <f t="shared" si="14"/>
        <v>16.5</v>
      </c>
      <c r="W100" s="268">
        <f>+W89</f>
        <v>18</v>
      </c>
      <c r="X100" s="268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68">
        <f t="shared" si="14"/>
        <v>18.5</v>
      </c>
      <c r="W101" s="268">
        <f>+W88</f>
        <v>20</v>
      </c>
      <c r="X101" s="268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68">
        <f t="shared" si="14"/>
        <v>20.5</v>
      </c>
      <c r="W102" s="268">
        <f>+W87</f>
        <v>22</v>
      </c>
      <c r="X102" s="268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68">
        <f t="shared" si="14"/>
        <v>22.5</v>
      </c>
      <c r="W103" s="268">
        <f>+W86</f>
        <v>24</v>
      </c>
      <c r="X103" s="268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68">
        <f t="shared" si="14"/>
        <v>24.5</v>
      </c>
      <c r="W104" s="268">
        <f>+W85</f>
        <v>26</v>
      </c>
      <c r="X104" s="268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68">
        <f t="shared" si="14"/>
        <v>26.5</v>
      </c>
      <c r="W105" s="268">
        <f>+W84</f>
        <v>28</v>
      </c>
      <c r="X105" s="268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68">
        <f t="shared" si="14"/>
        <v>28.5</v>
      </c>
      <c r="W106" s="268">
        <f>+W83</f>
        <v>30</v>
      </c>
      <c r="X106" s="268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68">
        <f t="shared" si="14"/>
        <v>30.5</v>
      </c>
      <c r="W107" s="268">
        <f>+W82</f>
        <v>32</v>
      </c>
      <c r="X107" s="268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68">
        <f t="shared" si="14"/>
        <v>32.5</v>
      </c>
      <c r="W108" s="268">
        <f>+W81</f>
        <v>34</v>
      </c>
      <c r="X108" s="268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68">
        <f t="shared" si="14"/>
        <v>34.5</v>
      </c>
      <c r="W109" s="268">
        <f>+W80</f>
        <v>36</v>
      </c>
      <c r="X109" s="268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68">
        <f t="shared" si="14"/>
        <v>36.5</v>
      </c>
      <c r="W110" s="268">
        <f>+W79</f>
        <v>38</v>
      </c>
      <c r="X110" s="268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68">
        <f t="shared" si="14"/>
        <v>38.5</v>
      </c>
      <c r="W111" s="268">
        <f>+W78</f>
        <v>40</v>
      </c>
      <c r="X111" s="268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332" t="s">
        <v>140</v>
      </c>
      <c r="U116" s="269"/>
      <c r="V116" s="272"/>
      <c r="W116" s="448"/>
      <c r="X116" s="448"/>
      <c r="Y116" s="36"/>
      <c r="Z116" s="448"/>
      <c r="AA116" s="448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332" t="s">
        <v>135</v>
      </c>
      <c r="E117" s="332" t="s">
        <v>128</v>
      </c>
      <c r="F117" s="332" t="s">
        <v>136</v>
      </c>
      <c r="G117" s="332" t="s">
        <v>137</v>
      </c>
      <c r="H117" s="332" t="s">
        <v>138</v>
      </c>
      <c r="I117" s="332" t="s">
        <v>139</v>
      </c>
      <c r="J117" s="332" t="s">
        <v>37</v>
      </c>
      <c r="K117" s="332" t="s">
        <v>130</v>
      </c>
      <c r="L117" s="332" t="s">
        <v>131</v>
      </c>
      <c r="U117" s="273"/>
      <c r="V117" s="272"/>
      <c r="W117" s="438"/>
      <c r="X117" s="438"/>
      <c r="Y117" s="36"/>
      <c r="Z117" s="448"/>
      <c r="AA117" s="448"/>
      <c r="AB117" s="17"/>
      <c r="AC117" s="20" t="s">
        <v>6</v>
      </c>
      <c r="AD117" s="21" t="s">
        <v>17</v>
      </c>
      <c r="AE117" s="22"/>
      <c r="AF117" s="441" t="s">
        <v>26</v>
      </c>
      <c r="AG117" s="442"/>
      <c r="AH117" s="23"/>
      <c r="AI117" s="20" t="s">
        <v>6</v>
      </c>
      <c r="AJ117" s="21" t="s">
        <v>17</v>
      </c>
      <c r="AK117" s="24"/>
      <c r="AL117" s="432" t="s">
        <v>27</v>
      </c>
      <c r="AM117" s="433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0</v>
      </c>
      <c r="H118" s="1">
        <f>COUNT(Notenbogen!R4)</f>
        <v>0</v>
      </c>
      <c r="I118" s="1">
        <f>COUNT(Notenbogen!S4)</f>
        <v>0</v>
      </c>
      <c r="J118" s="1">
        <f>COUNT(Notenbogen!T4)</f>
        <v>0</v>
      </c>
      <c r="K118" s="1">
        <f>COUNT(Notenbogen!U4)</f>
        <v>0</v>
      </c>
      <c r="L118" s="1">
        <f>COUNT(Notenbogen!V4)</f>
        <v>0</v>
      </c>
      <c r="U118" s="274"/>
      <c r="V118" s="272"/>
      <c r="W118" s="269"/>
      <c r="X118" s="269"/>
      <c r="Y118" s="36"/>
      <c r="Z118" s="448"/>
      <c r="AA118" s="448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72"/>
      <c r="W119" s="269"/>
      <c r="X119" s="269"/>
      <c r="Y119" s="36"/>
      <c r="Z119" s="269"/>
      <c r="AA119" s="269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73"/>
      <c r="V120" s="272"/>
      <c r="W120" s="50"/>
      <c r="X120" s="269"/>
      <c r="Y120" s="36"/>
      <c r="Z120" s="269"/>
      <c r="AA120" s="269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63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73"/>
      <c r="V121" s="272"/>
      <c r="W121" s="269"/>
      <c r="X121" s="269"/>
      <c r="Y121" s="36"/>
      <c r="Z121" s="269"/>
      <c r="AA121" s="269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63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73"/>
      <c r="V122" s="272"/>
      <c r="W122" s="269"/>
      <c r="X122" s="269"/>
      <c r="Y122" s="36"/>
      <c r="Z122" s="269"/>
      <c r="AA122" s="269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63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73"/>
      <c r="V123" s="272"/>
      <c r="W123" s="269"/>
      <c r="X123" s="269"/>
      <c r="Y123" s="36"/>
      <c r="Z123" s="269"/>
      <c r="AA123" s="269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63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73"/>
      <c r="V124" s="272"/>
      <c r="W124" s="269"/>
      <c r="X124" s="269"/>
      <c r="Y124" s="36"/>
      <c r="Z124" s="269"/>
      <c r="AA124" s="269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63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73"/>
      <c r="V125" s="272"/>
      <c r="W125" s="269"/>
      <c r="X125" s="269"/>
      <c r="Y125" s="36"/>
      <c r="Z125" s="269"/>
      <c r="AA125" s="269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63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73"/>
      <c r="V126" s="272"/>
      <c r="W126" s="269"/>
      <c r="X126" s="269"/>
      <c r="Y126" s="36"/>
      <c r="Z126" s="269"/>
      <c r="AA126" s="269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63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73"/>
      <c r="V127" s="272"/>
      <c r="W127" s="269"/>
      <c r="X127" s="269"/>
      <c r="Y127" s="36"/>
      <c r="Z127" s="269"/>
      <c r="AA127" s="269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63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73"/>
      <c r="V128" s="272"/>
      <c r="W128" s="269"/>
      <c r="X128" s="269"/>
      <c r="Y128" s="36"/>
      <c r="Z128" s="269"/>
      <c r="AA128" s="269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63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73"/>
      <c r="V129" s="272"/>
      <c r="W129" s="269"/>
      <c r="X129" s="269"/>
      <c r="Y129" s="36"/>
      <c r="Z129" s="269"/>
      <c r="AA129" s="269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63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73"/>
      <c r="V130" s="272"/>
      <c r="W130" s="269"/>
      <c r="X130" s="269"/>
      <c r="Y130" s="36"/>
      <c r="Z130" s="269"/>
      <c r="AA130" s="269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63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73"/>
      <c r="V131" s="272"/>
      <c r="W131" s="269"/>
      <c r="X131" s="269"/>
      <c r="Y131" s="36"/>
      <c r="Z131" s="269"/>
      <c r="AA131" s="269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63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73"/>
      <c r="V132" s="272"/>
      <c r="W132" s="269"/>
      <c r="X132" s="269"/>
      <c r="Y132" s="36"/>
      <c r="Z132" s="269"/>
      <c r="AA132" s="269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63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73"/>
      <c r="V133" s="272"/>
      <c r="W133" s="269"/>
      <c r="X133" s="269"/>
      <c r="Y133" s="36"/>
      <c r="Z133" s="269"/>
      <c r="AA133" s="269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63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73"/>
      <c r="V134" s="272"/>
      <c r="W134" s="269"/>
      <c r="X134" s="272"/>
      <c r="Y134" s="36"/>
      <c r="Z134" s="269"/>
      <c r="AA134" s="269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70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72"/>
      <c r="V135" s="272"/>
      <c r="W135" s="269"/>
      <c r="X135" s="269"/>
      <c r="Y135" s="36"/>
      <c r="Z135" s="269"/>
      <c r="AA135" s="269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71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446" t="s">
        <v>24</v>
      </c>
      <c r="X157" s="447"/>
      <c r="Y157" s="434" t="s">
        <v>17</v>
      </c>
      <c r="Z157" s="443" t="s">
        <v>25</v>
      </c>
      <c r="AA157" s="444"/>
      <c r="AB157" s="17"/>
      <c r="AC157" s="20" t="s">
        <v>6</v>
      </c>
      <c r="AD157" s="21" t="s">
        <v>17</v>
      </c>
      <c r="AE157" s="22"/>
      <c r="AF157" s="441" t="s">
        <v>26</v>
      </c>
      <c r="AG157" s="442"/>
      <c r="AH157" s="23"/>
      <c r="AI157" s="20" t="s">
        <v>6</v>
      </c>
      <c r="AJ157" s="21" t="s">
        <v>17</v>
      </c>
      <c r="AK157" s="24"/>
      <c r="AL157" s="432" t="s">
        <v>27</v>
      </c>
      <c r="AM157" s="433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437" t="s">
        <v>27</v>
      </c>
      <c r="X158" s="438"/>
      <c r="Y158" s="435"/>
      <c r="Z158" s="439" t="s">
        <v>30</v>
      </c>
      <c r="AA158" s="440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435"/>
      <c r="Z159" s="439" t="s">
        <v>34</v>
      </c>
      <c r="AA159" s="440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436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40</v>
      </c>
      <c r="AM160" s="263">
        <f>AL161+0.5</f>
        <v>38.5</v>
      </c>
      <c r="AN160" s="34">
        <f t="shared" ref="AN160:AN174" si="18">IF(AM160&gt;AL160,"ALARM",AL160-AL161)</f>
        <v>2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2</v>
      </c>
      <c r="W161" s="275">
        <f>I1Ext!$H$30</f>
        <v>40</v>
      </c>
      <c r="X161" s="263">
        <f>W162+0.5</f>
        <v>38.5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38</v>
      </c>
      <c r="AM161" s="263">
        <f t="shared" ref="AM161:AM173" si="20">AL162+0.5</f>
        <v>36.5</v>
      </c>
      <c r="AN161" s="34">
        <f t="shared" si="18"/>
        <v>2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2</v>
      </c>
      <c r="W162" s="275">
        <f t="shared" ref="W162:W176" si="21">W161-V161</f>
        <v>38</v>
      </c>
      <c r="X162" s="263">
        <f t="shared" ref="X162:X175" si="22">W163+0.5</f>
        <v>36.5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36</v>
      </c>
      <c r="AM162" s="263">
        <f t="shared" si="20"/>
        <v>34.5</v>
      </c>
      <c r="AN162" s="44">
        <f t="shared" si="18"/>
        <v>2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2</v>
      </c>
      <c r="W163" s="276">
        <f t="shared" si="21"/>
        <v>36</v>
      </c>
      <c r="X163" s="263">
        <f t="shared" si="22"/>
        <v>34.5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34</v>
      </c>
      <c r="AM163" s="263">
        <f t="shared" si="20"/>
        <v>32.5</v>
      </c>
      <c r="AN163" s="34">
        <f t="shared" si="18"/>
        <v>2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2</v>
      </c>
      <c r="W164" s="275">
        <f t="shared" si="21"/>
        <v>34</v>
      </c>
      <c r="X164" s="263">
        <f t="shared" si="22"/>
        <v>32.5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32</v>
      </c>
      <c r="AM164" s="263">
        <f t="shared" si="20"/>
        <v>30.5</v>
      </c>
      <c r="AN164" s="34">
        <f t="shared" si="18"/>
        <v>2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2</v>
      </c>
      <c r="W165" s="275">
        <f t="shared" si="21"/>
        <v>32</v>
      </c>
      <c r="X165" s="263">
        <f t="shared" si="22"/>
        <v>30.5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30</v>
      </c>
      <c r="AM165" s="263">
        <f t="shared" si="20"/>
        <v>28.5</v>
      </c>
      <c r="AN165" s="44">
        <f t="shared" si="18"/>
        <v>2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2</v>
      </c>
      <c r="W166" s="276">
        <f t="shared" si="21"/>
        <v>30</v>
      </c>
      <c r="X166" s="263">
        <f t="shared" si="22"/>
        <v>28.5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28</v>
      </c>
      <c r="AM166" s="263">
        <f t="shared" si="20"/>
        <v>26.5</v>
      </c>
      <c r="AN166" s="34">
        <f t="shared" si="18"/>
        <v>2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2</v>
      </c>
      <c r="W167" s="275">
        <f t="shared" si="21"/>
        <v>28</v>
      </c>
      <c r="X167" s="263">
        <f t="shared" si="22"/>
        <v>26.5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26</v>
      </c>
      <c r="AM167" s="263">
        <f t="shared" si="20"/>
        <v>24.5</v>
      </c>
      <c r="AN167" s="34">
        <f t="shared" si="18"/>
        <v>2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2</v>
      </c>
      <c r="W168" s="275">
        <f t="shared" si="21"/>
        <v>26</v>
      </c>
      <c r="X168" s="263">
        <f t="shared" si="22"/>
        <v>24.5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24</v>
      </c>
      <c r="AM168" s="263">
        <f t="shared" si="20"/>
        <v>22.5</v>
      </c>
      <c r="AN168" s="44">
        <f t="shared" si="18"/>
        <v>2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2</v>
      </c>
      <c r="W169" s="276">
        <f t="shared" si="21"/>
        <v>24</v>
      </c>
      <c r="X169" s="263">
        <f t="shared" si="22"/>
        <v>22.5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22</v>
      </c>
      <c r="AM169" s="263">
        <f t="shared" si="20"/>
        <v>20.5</v>
      </c>
      <c r="AN169" s="34">
        <f t="shared" si="18"/>
        <v>2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2</v>
      </c>
      <c r="W170" s="275">
        <f t="shared" si="21"/>
        <v>22</v>
      </c>
      <c r="X170" s="263">
        <f t="shared" si="22"/>
        <v>20.5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20</v>
      </c>
      <c r="AM170" s="263">
        <f t="shared" si="20"/>
        <v>18.5</v>
      </c>
      <c r="AN170" s="34">
        <f t="shared" si="18"/>
        <v>2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2</v>
      </c>
      <c r="W171" s="275">
        <f t="shared" si="21"/>
        <v>20</v>
      </c>
      <c r="X171" s="263">
        <f t="shared" si="22"/>
        <v>18.5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18</v>
      </c>
      <c r="AM171" s="263">
        <f t="shared" si="20"/>
        <v>16.5</v>
      </c>
      <c r="AN171" s="44">
        <f t="shared" si="18"/>
        <v>2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2</v>
      </c>
      <c r="W172" s="276">
        <f t="shared" si="21"/>
        <v>18</v>
      </c>
      <c r="X172" s="263">
        <f>W173+0.5</f>
        <v>16.5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16</v>
      </c>
      <c r="AM172" s="263">
        <f t="shared" si="20"/>
        <v>13.5</v>
      </c>
      <c r="AN172" s="34">
        <f t="shared" si="18"/>
        <v>3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3</v>
      </c>
      <c r="W173" s="275">
        <f t="shared" si="21"/>
        <v>16</v>
      </c>
      <c r="X173" s="263">
        <f t="shared" si="22"/>
        <v>13.5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13</v>
      </c>
      <c r="AM173" s="263">
        <f t="shared" si="20"/>
        <v>11</v>
      </c>
      <c r="AN173" s="34">
        <f t="shared" si="18"/>
        <v>2.5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2.5</v>
      </c>
      <c r="W174" s="275">
        <f t="shared" si="21"/>
        <v>13</v>
      </c>
      <c r="X174" s="263">
        <f t="shared" si="22"/>
        <v>11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10.5</v>
      </c>
      <c r="AM174" s="270">
        <f>ROUNDUP(I1Ext!$H$30*(I1Ext!$H$34/500),1)*5</f>
        <v>8</v>
      </c>
      <c r="AN174" s="44">
        <f t="shared" si="18"/>
        <v>3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3</v>
      </c>
      <c r="W175" s="276">
        <f t="shared" si="21"/>
        <v>10.5</v>
      </c>
      <c r="X175" s="263">
        <f t="shared" si="22"/>
        <v>8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7.5</v>
      </c>
      <c r="AM175" s="271">
        <v>0</v>
      </c>
      <c r="AN175" s="65">
        <f>IF(AM175&gt;AM174,"ALARM",AL175)</f>
        <v>7.5</v>
      </c>
    </row>
    <row r="176" spans="21:40" ht="12.75" customHeight="1" thickBot="1" x14ac:dyDescent="0.25">
      <c r="U176" s="14" t="s">
        <v>36</v>
      </c>
      <c r="V176" s="81">
        <f>IF(I1Ext!$H$32="M",+W176,W218)</f>
        <v>7.5</v>
      </c>
      <c r="W176" s="278">
        <f t="shared" si="21"/>
        <v>7.5</v>
      </c>
      <c r="X176" s="271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68">
        <f t="shared" ref="V179:V194" si="23">+X179</f>
        <v>0</v>
      </c>
      <c r="W179" s="268">
        <f>+W176</f>
        <v>7.5</v>
      </c>
      <c r="X179" s="268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68">
        <f t="shared" si="23"/>
        <v>8</v>
      </c>
      <c r="W180" s="268">
        <f>+W175</f>
        <v>10.5</v>
      </c>
      <c r="X180" s="268">
        <f>+X175</f>
        <v>8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68">
        <f t="shared" si="23"/>
        <v>11</v>
      </c>
      <c r="W181" s="268">
        <f>+W174</f>
        <v>13</v>
      </c>
      <c r="X181" s="268">
        <f>+X174</f>
        <v>11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68">
        <f t="shared" si="23"/>
        <v>13.5</v>
      </c>
      <c r="W182" s="268">
        <f>+W173</f>
        <v>16</v>
      </c>
      <c r="X182" s="268">
        <f>+X173</f>
        <v>13.5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68">
        <f t="shared" si="23"/>
        <v>16.5</v>
      </c>
      <c r="W183" s="268">
        <f>+W172</f>
        <v>18</v>
      </c>
      <c r="X183" s="268">
        <f>+X172</f>
        <v>16.5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68">
        <f t="shared" si="23"/>
        <v>18.5</v>
      </c>
      <c r="W184" s="268">
        <f>+W171</f>
        <v>20</v>
      </c>
      <c r="X184" s="268">
        <f>+X171</f>
        <v>18.5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68">
        <f t="shared" si="23"/>
        <v>20.5</v>
      </c>
      <c r="W185" s="268">
        <f>+W170</f>
        <v>22</v>
      </c>
      <c r="X185" s="268">
        <f>+X170</f>
        <v>20.5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68">
        <f t="shared" si="23"/>
        <v>22.5</v>
      </c>
      <c r="W186" s="268">
        <f>+W169</f>
        <v>24</v>
      </c>
      <c r="X186" s="268">
        <f>+X169</f>
        <v>22.5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68">
        <f t="shared" si="23"/>
        <v>24.5</v>
      </c>
      <c r="W187" s="268">
        <f>+W168</f>
        <v>26</v>
      </c>
      <c r="X187" s="268">
        <f>+X168</f>
        <v>24.5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68">
        <f t="shared" si="23"/>
        <v>26.5</v>
      </c>
      <c r="W188" s="268">
        <f>+W167</f>
        <v>28</v>
      </c>
      <c r="X188" s="268">
        <f>+X167</f>
        <v>26.5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68">
        <f t="shared" si="23"/>
        <v>28.5</v>
      </c>
      <c r="W189" s="268">
        <f>+W166</f>
        <v>30</v>
      </c>
      <c r="X189" s="268">
        <f>+X166</f>
        <v>28.5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68">
        <f t="shared" si="23"/>
        <v>30.5</v>
      </c>
      <c r="W190" s="268">
        <f>+W165</f>
        <v>32</v>
      </c>
      <c r="X190" s="268">
        <f>+X165</f>
        <v>30.5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68">
        <f t="shared" si="23"/>
        <v>32.5</v>
      </c>
      <c r="W191" s="268">
        <f>+W164</f>
        <v>34</v>
      </c>
      <c r="X191" s="268">
        <f>+X164</f>
        <v>32.5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68">
        <f t="shared" si="23"/>
        <v>34.5</v>
      </c>
      <c r="W192" s="268">
        <f>+W163</f>
        <v>36</v>
      </c>
      <c r="X192" s="268">
        <f>+X163</f>
        <v>34.5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68">
        <f t="shared" si="23"/>
        <v>36.5</v>
      </c>
      <c r="W193" s="268">
        <f>+W162</f>
        <v>38</v>
      </c>
      <c r="X193" s="268">
        <f>+X162</f>
        <v>36.5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68">
        <f t="shared" si="23"/>
        <v>38.5</v>
      </c>
      <c r="W194" s="268">
        <f>+W161</f>
        <v>40</v>
      </c>
      <c r="X194" s="268">
        <f>+X161</f>
        <v>38.5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69"/>
      <c r="V199" s="272"/>
      <c r="W199" s="448"/>
      <c r="X199" s="448"/>
      <c r="Y199" s="36"/>
      <c r="Z199" s="448"/>
      <c r="AA199" s="448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73"/>
      <c r="V200" s="272"/>
      <c r="W200" s="438"/>
      <c r="X200" s="438"/>
      <c r="Y200" s="36"/>
      <c r="Z200" s="448"/>
      <c r="AA200" s="448"/>
      <c r="AB200" s="17"/>
      <c r="AC200" s="20" t="s">
        <v>6</v>
      </c>
      <c r="AD200" s="21" t="s">
        <v>17</v>
      </c>
      <c r="AE200" s="22"/>
      <c r="AF200" s="441" t="s">
        <v>26</v>
      </c>
      <c r="AG200" s="442"/>
      <c r="AH200" s="23"/>
      <c r="AI200" s="20" t="s">
        <v>6</v>
      </c>
      <c r="AJ200" s="21" t="s">
        <v>17</v>
      </c>
      <c r="AK200" s="24"/>
      <c r="AL200" s="432" t="s">
        <v>27</v>
      </c>
      <c r="AM200" s="433"/>
      <c r="AN200" s="25" t="s">
        <v>28</v>
      </c>
    </row>
    <row r="201" spans="21:40" ht="12.75" customHeight="1" x14ac:dyDescent="0.2">
      <c r="U201" s="274"/>
      <c r="V201" s="272"/>
      <c r="W201" s="269"/>
      <c r="X201" s="269"/>
      <c r="Y201" s="36"/>
      <c r="Z201" s="448"/>
      <c r="AA201" s="448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72"/>
      <c r="W202" s="269"/>
      <c r="X202" s="269"/>
      <c r="Y202" s="36"/>
      <c r="Z202" s="269"/>
      <c r="AA202" s="269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73"/>
      <c r="V203" s="272"/>
      <c r="W203" s="50"/>
      <c r="X203" s="269"/>
      <c r="Y203" s="36"/>
      <c r="Z203" s="269"/>
      <c r="AA203" s="269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40</v>
      </c>
      <c r="AM203" s="263">
        <f>AL204+0.5</f>
        <v>38</v>
      </c>
      <c r="AN203" s="34">
        <f t="shared" ref="AN203:AN217" si="25">IF(AM203&gt;AL203,"ALARM",AL203-AL204)</f>
        <v>2.5</v>
      </c>
    </row>
    <row r="204" spans="21:40" ht="12.75" customHeight="1" x14ac:dyDescent="0.2">
      <c r="U204" s="273"/>
      <c r="V204" s="272"/>
      <c r="W204" s="269"/>
      <c r="X204" s="269"/>
      <c r="Y204" s="36"/>
      <c r="Z204" s="269"/>
      <c r="AA204" s="269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37.5</v>
      </c>
      <c r="AM204" s="263">
        <f t="shared" ref="AM204:AM216" si="26">AL205+0.5</f>
        <v>35.5</v>
      </c>
      <c r="AN204" s="34">
        <f t="shared" si="25"/>
        <v>2.5</v>
      </c>
    </row>
    <row r="205" spans="21:40" ht="12.75" customHeight="1" x14ac:dyDescent="0.2">
      <c r="U205" s="273"/>
      <c r="V205" s="272"/>
      <c r="W205" s="269"/>
      <c r="X205" s="269"/>
      <c r="Y205" s="36"/>
      <c r="Z205" s="269"/>
      <c r="AA205" s="269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35</v>
      </c>
      <c r="AM205" s="263">
        <f t="shared" si="26"/>
        <v>33</v>
      </c>
      <c r="AN205" s="44">
        <f t="shared" si="25"/>
        <v>2.5</v>
      </c>
    </row>
    <row r="206" spans="21:40" ht="12.75" customHeight="1" x14ac:dyDescent="0.2">
      <c r="U206" s="273"/>
      <c r="V206" s="272"/>
      <c r="W206" s="269"/>
      <c r="X206" s="269"/>
      <c r="Y206" s="36"/>
      <c r="Z206" s="269"/>
      <c r="AA206" s="269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32.5</v>
      </c>
      <c r="AM206" s="263">
        <f t="shared" si="26"/>
        <v>30.5</v>
      </c>
      <c r="AN206" s="34">
        <f t="shared" si="25"/>
        <v>2.5</v>
      </c>
    </row>
    <row r="207" spans="21:40" ht="12.75" customHeight="1" x14ac:dyDescent="0.2">
      <c r="U207" s="273"/>
      <c r="V207" s="272"/>
      <c r="W207" s="269"/>
      <c r="X207" s="269"/>
      <c r="Y207" s="36"/>
      <c r="Z207" s="269"/>
      <c r="AA207" s="269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30</v>
      </c>
      <c r="AM207" s="263">
        <f t="shared" si="26"/>
        <v>28.5</v>
      </c>
      <c r="AN207" s="34">
        <f t="shared" si="25"/>
        <v>2</v>
      </c>
    </row>
    <row r="208" spans="21:40" ht="12.75" customHeight="1" x14ac:dyDescent="0.2">
      <c r="U208" s="273"/>
      <c r="V208" s="272"/>
      <c r="W208" s="269"/>
      <c r="X208" s="269"/>
      <c r="Y208" s="36"/>
      <c r="Z208" s="269"/>
      <c r="AA208" s="269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28</v>
      </c>
      <c r="AM208" s="263">
        <f t="shared" si="26"/>
        <v>26</v>
      </c>
      <c r="AN208" s="44">
        <f t="shared" si="25"/>
        <v>2.5</v>
      </c>
    </row>
    <row r="209" spans="21:40" ht="12.75" customHeight="1" x14ac:dyDescent="0.2">
      <c r="U209" s="273"/>
      <c r="V209" s="272"/>
      <c r="W209" s="269"/>
      <c r="X209" s="269"/>
      <c r="Y209" s="36"/>
      <c r="Z209" s="269"/>
      <c r="AA209" s="269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25.5</v>
      </c>
      <c r="AM209" s="263">
        <f t="shared" si="26"/>
        <v>24.5</v>
      </c>
      <c r="AN209" s="34">
        <f t="shared" si="25"/>
        <v>1.5</v>
      </c>
    </row>
    <row r="210" spans="21:40" ht="12.75" customHeight="1" x14ac:dyDescent="0.2">
      <c r="U210" s="273"/>
      <c r="V210" s="272"/>
      <c r="W210" s="269"/>
      <c r="X210" s="269"/>
      <c r="Y210" s="36"/>
      <c r="Z210" s="269"/>
      <c r="AA210" s="269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24</v>
      </c>
      <c r="AM210" s="263">
        <f t="shared" si="26"/>
        <v>22.5</v>
      </c>
      <c r="AN210" s="34">
        <f t="shared" si="25"/>
        <v>2</v>
      </c>
    </row>
    <row r="211" spans="21:40" ht="12.75" customHeight="1" x14ac:dyDescent="0.2">
      <c r="U211" s="273"/>
      <c r="V211" s="272"/>
      <c r="W211" s="269"/>
      <c r="X211" s="269"/>
      <c r="Y211" s="36"/>
      <c r="Z211" s="269"/>
      <c r="AA211" s="269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22</v>
      </c>
      <c r="AM211" s="263">
        <f t="shared" si="26"/>
        <v>21</v>
      </c>
      <c r="AN211" s="44">
        <f t="shared" si="25"/>
        <v>1.5</v>
      </c>
    </row>
    <row r="212" spans="21:40" ht="12.75" customHeight="1" x14ac:dyDescent="0.2">
      <c r="U212" s="273"/>
      <c r="V212" s="272"/>
      <c r="W212" s="269"/>
      <c r="X212" s="269"/>
      <c r="Y212" s="36"/>
      <c r="Z212" s="269"/>
      <c r="AA212" s="269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20.5</v>
      </c>
      <c r="AM212" s="263">
        <f t="shared" si="26"/>
        <v>19.5</v>
      </c>
      <c r="AN212" s="34">
        <f t="shared" si="25"/>
        <v>1.5</v>
      </c>
    </row>
    <row r="213" spans="21:40" ht="12.75" customHeight="1" x14ac:dyDescent="0.2">
      <c r="U213" s="273"/>
      <c r="V213" s="272"/>
      <c r="W213" s="269"/>
      <c r="X213" s="269"/>
      <c r="Y213" s="36"/>
      <c r="Z213" s="269"/>
      <c r="AA213" s="269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19</v>
      </c>
      <c r="AM213" s="263">
        <f t="shared" si="26"/>
        <v>18</v>
      </c>
      <c r="AN213" s="34">
        <f t="shared" si="25"/>
        <v>1.5</v>
      </c>
    </row>
    <row r="214" spans="21:40" ht="12.75" customHeight="1" x14ac:dyDescent="0.2">
      <c r="U214" s="273"/>
      <c r="V214" s="272"/>
      <c r="W214" s="269"/>
      <c r="X214" s="269"/>
      <c r="Y214" s="36"/>
      <c r="Z214" s="269"/>
      <c r="AA214" s="269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17.5</v>
      </c>
      <c r="AM214" s="263">
        <f t="shared" si="26"/>
        <v>16.5</v>
      </c>
      <c r="AN214" s="44">
        <f t="shared" si="25"/>
        <v>1.5</v>
      </c>
    </row>
    <row r="215" spans="21:40" ht="12.75" customHeight="1" x14ac:dyDescent="0.2">
      <c r="U215" s="273"/>
      <c r="V215" s="272"/>
      <c r="W215" s="269"/>
      <c r="X215" s="269"/>
      <c r="Y215" s="36"/>
      <c r="Z215" s="269"/>
      <c r="AA215" s="269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16</v>
      </c>
      <c r="AM215" s="263">
        <f t="shared" si="26"/>
        <v>13.5</v>
      </c>
      <c r="AN215" s="34">
        <f t="shared" si="25"/>
        <v>3</v>
      </c>
    </row>
    <row r="216" spans="21:40" ht="12.75" customHeight="1" x14ac:dyDescent="0.2">
      <c r="U216" s="273"/>
      <c r="V216" s="272"/>
      <c r="W216" s="269"/>
      <c r="X216" s="269"/>
      <c r="Y216" s="36"/>
      <c r="Z216" s="269"/>
      <c r="AA216" s="269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13</v>
      </c>
      <c r="AM216" s="263">
        <f t="shared" si="26"/>
        <v>11</v>
      </c>
      <c r="AN216" s="34">
        <f t="shared" si="25"/>
        <v>2.5</v>
      </c>
    </row>
    <row r="217" spans="21:40" ht="12.75" customHeight="1" x14ac:dyDescent="0.2">
      <c r="U217" s="273"/>
      <c r="V217" s="272"/>
      <c r="W217" s="269"/>
      <c r="X217" s="272"/>
      <c r="Y217" s="36"/>
      <c r="Z217" s="269"/>
      <c r="AA217" s="269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10.5</v>
      </c>
      <c r="AM217" s="270">
        <f>ROUNDUP(I1Ext!$H$30*(I1Ext!$H$34/500),1)*5</f>
        <v>8</v>
      </c>
      <c r="AN217" s="44">
        <f t="shared" si="25"/>
        <v>3</v>
      </c>
    </row>
    <row r="218" spans="21:40" ht="12.75" customHeight="1" thickBot="1" x14ac:dyDescent="0.25">
      <c r="U218" s="272"/>
      <c r="V218" s="272"/>
      <c r="W218" s="269"/>
      <c r="X218" s="269"/>
      <c r="Y218" s="36"/>
      <c r="Z218" s="269"/>
      <c r="AA218" s="269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7.5</v>
      </c>
      <c r="AM218" s="271">
        <v>0</v>
      </c>
      <c r="AN218" s="65">
        <f>IF(AM218&gt;AM217,"ALARM",AL218)</f>
        <v>7.5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446" t="s">
        <v>24</v>
      </c>
      <c r="X227" s="447"/>
      <c r="Y227" s="434" t="s">
        <v>17</v>
      </c>
      <c r="Z227" s="443" t="s">
        <v>25</v>
      </c>
      <c r="AA227" s="444"/>
      <c r="AB227" s="17"/>
      <c r="AC227" s="20" t="s">
        <v>6</v>
      </c>
      <c r="AD227" s="21" t="s">
        <v>17</v>
      </c>
      <c r="AE227" s="22"/>
      <c r="AF227" s="441" t="s">
        <v>26</v>
      </c>
      <c r="AG227" s="442"/>
      <c r="AH227" s="23"/>
      <c r="AI227" s="20" t="s">
        <v>6</v>
      </c>
      <c r="AJ227" s="21" t="s">
        <v>17</v>
      </c>
      <c r="AK227" s="24"/>
      <c r="AL227" s="432" t="s">
        <v>27</v>
      </c>
      <c r="AM227" s="433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437" t="s">
        <v>27</v>
      </c>
      <c r="X228" s="438"/>
      <c r="Y228" s="435"/>
      <c r="Z228" s="439" t="s">
        <v>30</v>
      </c>
      <c r="AA228" s="440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435"/>
      <c r="Z229" s="439" t="s">
        <v>34</v>
      </c>
      <c r="AA229" s="440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436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40</v>
      </c>
      <c r="AM230" s="263">
        <f>AL231+0.5</f>
        <v>38.5</v>
      </c>
      <c r="AN230" s="34">
        <f t="shared" ref="AN230:AN244" si="27">IF(AM230&gt;AL230,"ALARM",AL230-AL231)</f>
        <v>2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2</v>
      </c>
      <c r="W231" s="275">
        <f>I2Ext!$H$30</f>
        <v>40</v>
      </c>
      <c r="X231" s="263">
        <f>W232+0.5</f>
        <v>38.5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38</v>
      </c>
      <c r="AM231" s="263">
        <f t="shared" ref="AM231:AM243" si="29">AL232+0.5</f>
        <v>36.5</v>
      </c>
      <c r="AN231" s="34">
        <f t="shared" si="27"/>
        <v>2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2</v>
      </c>
      <c r="W232" s="275">
        <f t="shared" ref="W232:W246" si="30">W231-V231</f>
        <v>38</v>
      </c>
      <c r="X232" s="263">
        <f t="shared" ref="X232:X245" si="31">W233+0.5</f>
        <v>36.5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36</v>
      </c>
      <c r="AM232" s="263">
        <f t="shared" si="29"/>
        <v>34.5</v>
      </c>
      <c r="AN232" s="44">
        <f t="shared" si="27"/>
        <v>2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2</v>
      </c>
      <c r="W233" s="276">
        <f t="shared" si="30"/>
        <v>36</v>
      </c>
      <c r="X233" s="263">
        <f t="shared" si="31"/>
        <v>34.5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34</v>
      </c>
      <c r="AM233" s="263">
        <f t="shared" si="29"/>
        <v>32.5</v>
      </c>
      <c r="AN233" s="34">
        <f t="shared" si="27"/>
        <v>2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2</v>
      </c>
      <c r="W234" s="275">
        <f t="shared" si="30"/>
        <v>34</v>
      </c>
      <c r="X234" s="263">
        <f t="shared" si="31"/>
        <v>32.5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32</v>
      </c>
      <c r="AM234" s="263">
        <f t="shared" si="29"/>
        <v>30.5</v>
      </c>
      <c r="AN234" s="34">
        <f t="shared" si="27"/>
        <v>2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2</v>
      </c>
      <c r="W235" s="275">
        <f t="shared" si="30"/>
        <v>32</v>
      </c>
      <c r="X235" s="263">
        <f t="shared" si="31"/>
        <v>30.5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30</v>
      </c>
      <c r="AM235" s="263">
        <f t="shared" si="29"/>
        <v>28.5</v>
      </c>
      <c r="AN235" s="44">
        <f t="shared" si="27"/>
        <v>2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2</v>
      </c>
      <c r="W236" s="276">
        <f t="shared" si="30"/>
        <v>30</v>
      </c>
      <c r="X236" s="263">
        <f t="shared" si="31"/>
        <v>28.5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28</v>
      </c>
      <c r="AM236" s="263">
        <f t="shared" si="29"/>
        <v>26.5</v>
      </c>
      <c r="AN236" s="34">
        <f t="shared" si="27"/>
        <v>2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2</v>
      </c>
      <c r="W237" s="275">
        <f t="shared" si="30"/>
        <v>28</v>
      </c>
      <c r="X237" s="263">
        <f t="shared" si="31"/>
        <v>26.5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26</v>
      </c>
      <c r="AM237" s="263">
        <f t="shared" si="29"/>
        <v>24.5</v>
      </c>
      <c r="AN237" s="34">
        <f t="shared" si="27"/>
        <v>2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2</v>
      </c>
      <c r="W238" s="275">
        <f t="shared" si="30"/>
        <v>26</v>
      </c>
      <c r="X238" s="263">
        <f t="shared" si="31"/>
        <v>24.5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24</v>
      </c>
      <c r="AM238" s="263">
        <f t="shared" si="29"/>
        <v>22.5</v>
      </c>
      <c r="AN238" s="44">
        <f t="shared" si="27"/>
        <v>2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2</v>
      </c>
      <c r="W239" s="276">
        <f t="shared" si="30"/>
        <v>24</v>
      </c>
      <c r="X239" s="263">
        <f t="shared" si="31"/>
        <v>22.5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22</v>
      </c>
      <c r="AM239" s="263">
        <f t="shared" si="29"/>
        <v>20.5</v>
      </c>
      <c r="AN239" s="34">
        <f t="shared" si="27"/>
        <v>2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2</v>
      </c>
      <c r="W240" s="275">
        <f t="shared" si="30"/>
        <v>22</v>
      </c>
      <c r="X240" s="263">
        <f t="shared" si="31"/>
        <v>20.5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20</v>
      </c>
      <c r="AM240" s="263">
        <f t="shared" si="29"/>
        <v>18.5</v>
      </c>
      <c r="AN240" s="34">
        <f t="shared" si="27"/>
        <v>2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2</v>
      </c>
      <c r="W241" s="275">
        <f t="shared" si="30"/>
        <v>20</v>
      </c>
      <c r="X241" s="263">
        <f t="shared" si="31"/>
        <v>18.5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18</v>
      </c>
      <c r="AM241" s="263">
        <f t="shared" si="29"/>
        <v>16.5</v>
      </c>
      <c r="AN241" s="44">
        <f t="shared" si="27"/>
        <v>2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2</v>
      </c>
      <c r="W242" s="276">
        <f t="shared" si="30"/>
        <v>18</v>
      </c>
      <c r="X242" s="263">
        <f t="shared" si="31"/>
        <v>16.5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16</v>
      </c>
      <c r="AM242" s="263">
        <f t="shared" si="29"/>
        <v>13.5</v>
      </c>
      <c r="AN242" s="34">
        <f t="shared" si="27"/>
        <v>3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3</v>
      </c>
      <c r="W243" s="275">
        <f t="shared" si="30"/>
        <v>16</v>
      </c>
      <c r="X243" s="263">
        <f t="shared" si="31"/>
        <v>13.5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13</v>
      </c>
      <c r="AM243" s="263">
        <f t="shared" si="29"/>
        <v>11</v>
      </c>
      <c r="AN243" s="34">
        <f t="shared" si="27"/>
        <v>2.5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2.5</v>
      </c>
      <c r="W244" s="275">
        <f t="shared" si="30"/>
        <v>13</v>
      </c>
      <c r="X244" s="263">
        <f t="shared" si="31"/>
        <v>11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10.5</v>
      </c>
      <c r="AM244" s="270">
        <f>ROUNDUP(I2Ext!$H$30*(I2Ext!$H$34/500),1)*5</f>
        <v>8</v>
      </c>
      <c r="AN244" s="44">
        <f t="shared" si="27"/>
        <v>3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3</v>
      </c>
      <c r="W245" s="276">
        <f t="shared" si="30"/>
        <v>10.5</v>
      </c>
      <c r="X245" s="263">
        <f t="shared" si="31"/>
        <v>8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7.5</v>
      </c>
      <c r="AM245" s="271">
        <v>0</v>
      </c>
      <c r="AN245" s="65">
        <f>IF(AM245&gt;AM244,"ALARM",AL245)</f>
        <v>7.5</v>
      </c>
    </row>
    <row r="246" spans="21:40" ht="12.75" customHeight="1" thickBot="1" x14ac:dyDescent="0.25">
      <c r="U246" s="14" t="s">
        <v>36</v>
      </c>
      <c r="V246" s="81">
        <f>IF(I2Ext!$H$32="M",+W246,W288)</f>
        <v>7.5</v>
      </c>
      <c r="W246" s="278">
        <f t="shared" si="30"/>
        <v>7.5</v>
      </c>
      <c r="X246" s="271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68">
        <f t="shared" ref="V249:V264" si="32">+X249</f>
        <v>0</v>
      </c>
      <c r="W249" s="268">
        <f>+W246</f>
        <v>7.5</v>
      </c>
      <c r="X249" s="268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68">
        <f t="shared" si="32"/>
        <v>8</v>
      </c>
      <c r="W250" s="268">
        <f>+W245</f>
        <v>10.5</v>
      </c>
      <c r="X250" s="268">
        <f>+X245</f>
        <v>8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68">
        <f t="shared" si="32"/>
        <v>11</v>
      </c>
      <c r="W251" s="268">
        <f>+W244</f>
        <v>13</v>
      </c>
      <c r="X251" s="268">
        <f>+X244</f>
        <v>11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68">
        <f t="shared" si="32"/>
        <v>13.5</v>
      </c>
      <c r="W252" s="268">
        <f>+W243</f>
        <v>16</v>
      </c>
      <c r="X252" s="268">
        <f>+X243</f>
        <v>13.5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68">
        <f t="shared" si="32"/>
        <v>16.5</v>
      </c>
      <c r="W253" s="268">
        <f>+W242</f>
        <v>18</v>
      </c>
      <c r="X253" s="268">
        <f>+X242</f>
        <v>16.5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68">
        <f t="shared" si="32"/>
        <v>18.5</v>
      </c>
      <c r="W254" s="268">
        <f>+W241</f>
        <v>20</v>
      </c>
      <c r="X254" s="268">
        <f>+X241</f>
        <v>18.5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68">
        <f t="shared" si="32"/>
        <v>20.5</v>
      </c>
      <c r="W255" s="268">
        <f>+W240</f>
        <v>22</v>
      </c>
      <c r="X255" s="268">
        <f>+X240</f>
        <v>20.5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68">
        <f t="shared" si="32"/>
        <v>22.5</v>
      </c>
      <c r="W256" s="268">
        <f>+W239</f>
        <v>24</v>
      </c>
      <c r="X256" s="268">
        <f>+X239</f>
        <v>22.5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68">
        <f t="shared" si="32"/>
        <v>24.5</v>
      </c>
      <c r="W257" s="268">
        <f>+W238</f>
        <v>26</v>
      </c>
      <c r="X257" s="268">
        <f>+X238</f>
        <v>24.5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68">
        <f t="shared" si="32"/>
        <v>26.5</v>
      </c>
      <c r="W258" s="268">
        <f>+W237</f>
        <v>28</v>
      </c>
      <c r="X258" s="268">
        <f>+X237</f>
        <v>26.5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68">
        <f t="shared" si="32"/>
        <v>28.5</v>
      </c>
      <c r="W259" s="268">
        <f>+W236</f>
        <v>30</v>
      </c>
      <c r="X259" s="268">
        <f>+X236</f>
        <v>28.5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68">
        <f t="shared" si="32"/>
        <v>30.5</v>
      </c>
      <c r="W260" s="268">
        <f>+W235</f>
        <v>32</v>
      </c>
      <c r="X260" s="268">
        <f>+X235</f>
        <v>30.5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68">
        <f t="shared" si="32"/>
        <v>32.5</v>
      </c>
      <c r="W261" s="268">
        <f>+W234</f>
        <v>34</v>
      </c>
      <c r="X261" s="268">
        <f>+X234</f>
        <v>32.5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68">
        <f t="shared" si="32"/>
        <v>34.5</v>
      </c>
      <c r="W262" s="268">
        <f>+W233</f>
        <v>36</v>
      </c>
      <c r="X262" s="268">
        <f>+X233</f>
        <v>34.5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68">
        <f t="shared" si="32"/>
        <v>36.5</v>
      </c>
      <c r="W263" s="268">
        <f>+W232</f>
        <v>38</v>
      </c>
      <c r="X263" s="268">
        <f>+X232</f>
        <v>36.5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68">
        <f t="shared" si="32"/>
        <v>38.5</v>
      </c>
      <c r="W264" s="268">
        <f>+W231</f>
        <v>40</v>
      </c>
      <c r="X264" s="268">
        <f>+X231</f>
        <v>38.5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69"/>
      <c r="V269" s="272"/>
      <c r="W269" s="448"/>
      <c r="X269" s="448"/>
      <c r="Y269" s="36"/>
      <c r="Z269" s="448"/>
      <c r="AA269" s="448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73"/>
      <c r="V270" s="272"/>
      <c r="W270" s="438"/>
      <c r="X270" s="438"/>
      <c r="Y270" s="36"/>
      <c r="Z270" s="448"/>
      <c r="AA270" s="448"/>
      <c r="AB270" s="17"/>
      <c r="AC270" s="20" t="s">
        <v>6</v>
      </c>
      <c r="AD270" s="21" t="s">
        <v>17</v>
      </c>
      <c r="AE270" s="22"/>
      <c r="AF270" s="441" t="s">
        <v>26</v>
      </c>
      <c r="AG270" s="442"/>
      <c r="AH270" s="23"/>
      <c r="AI270" s="20" t="s">
        <v>6</v>
      </c>
      <c r="AJ270" s="21" t="s">
        <v>17</v>
      </c>
      <c r="AK270" s="24"/>
      <c r="AL270" s="432" t="s">
        <v>27</v>
      </c>
      <c r="AM270" s="433"/>
      <c r="AN270" s="25" t="s">
        <v>28</v>
      </c>
    </row>
    <row r="271" spans="21:40" ht="12.75" customHeight="1" x14ac:dyDescent="0.2">
      <c r="U271" s="274"/>
      <c r="V271" s="272"/>
      <c r="W271" s="269"/>
      <c r="X271" s="269"/>
      <c r="Y271" s="36"/>
      <c r="Z271" s="448"/>
      <c r="AA271" s="448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72"/>
      <c r="W272" s="269"/>
      <c r="X272" s="269"/>
      <c r="Y272" s="36"/>
      <c r="Z272" s="269"/>
      <c r="AA272" s="269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73"/>
      <c r="V273" s="272"/>
      <c r="W273" s="50"/>
      <c r="X273" s="269"/>
      <c r="Y273" s="36"/>
      <c r="Z273" s="269"/>
      <c r="AA273" s="269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40</v>
      </c>
      <c r="AM273" s="263">
        <f>AL274+0.5</f>
        <v>38</v>
      </c>
      <c r="AN273" s="34">
        <f t="shared" ref="AN273:AN287" si="34">IF(AM273&gt;AL273,"ALARM",AL273-AL274)</f>
        <v>2.5</v>
      </c>
    </row>
    <row r="274" spans="21:40" ht="12.75" customHeight="1" x14ac:dyDescent="0.2">
      <c r="U274" s="273"/>
      <c r="V274" s="272"/>
      <c r="W274" s="269"/>
      <c r="X274" s="269"/>
      <c r="Y274" s="36"/>
      <c r="Z274" s="269"/>
      <c r="AA274" s="269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37.5</v>
      </c>
      <c r="AM274" s="263">
        <f t="shared" ref="AM274:AM286" si="35">AL275+0.5</f>
        <v>35.5</v>
      </c>
      <c r="AN274" s="34">
        <f t="shared" si="34"/>
        <v>2.5</v>
      </c>
    </row>
    <row r="275" spans="21:40" ht="12.75" customHeight="1" x14ac:dyDescent="0.2">
      <c r="U275" s="273"/>
      <c r="V275" s="272"/>
      <c r="W275" s="269"/>
      <c r="X275" s="269"/>
      <c r="Y275" s="36"/>
      <c r="Z275" s="269"/>
      <c r="AA275" s="269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35</v>
      </c>
      <c r="AM275" s="263">
        <f t="shared" si="35"/>
        <v>33</v>
      </c>
      <c r="AN275" s="44">
        <f t="shared" si="34"/>
        <v>2.5</v>
      </c>
    </row>
    <row r="276" spans="21:40" ht="12.75" customHeight="1" x14ac:dyDescent="0.2">
      <c r="U276" s="273"/>
      <c r="V276" s="272"/>
      <c r="W276" s="269"/>
      <c r="X276" s="269"/>
      <c r="Y276" s="36"/>
      <c r="Z276" s="269"/>
      <c r="AA276" s="269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32.5</v>
      </c>
      <c r="AM276" s="263">
        <f t="shared" si="35"/>
        <v>30.5</v>
      </c>
      <c r="AN276" s="34">
        <f t="shared" si="34"/>
        <v>2.5</v>
      </c>
    </row>
    <row r="277" spans="21:40" ht="12.75" customHeight="1" x14ac:dyDescent="0.2">
      <c r="U277" s="273"/>
      <c r="V277" s="272"/>
      <c r="W277" s="269"/>
      <c r="X277" s="269"/>
      <c r="Y277" s="36"/>
      <c r="Z277" s="269"/>
      <c r="AA277" s="269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30</v>
      </c>
      <c r="AM277" s="263">
        <f t="shared" si="35"/>
        <v>28.5</v>
      </c>
      <c r="AN277" s="34">
        <f t="shared" si="34"/>
        <v>2</v>
      </c>
    </row>
    <row r="278" spans="21:40" ht="12.75" customHeight="1" x14ac:dyDescent="0.2">
      <c r="U278" s="273"/>
      <c r="V278" s="272"/>
      <c r="W278" s="269"/>
      <c r="X278" s="269"/>
      <c r="Y278" s="36"/>
      <c r="Z278" s="269"/>
      <c r="AA278" s="269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28</v>
      </c>
      <c r="AM278" s="263">
        <f t="shared" si="35"/>
        <v>26</v>
      </c>
      <c r="AN278" s="44">
        <f t="shared" si="34"/>
        <v>2.5</v>
      </c>
    </row>
    <row r="279" spans="21:40" ht="12.75" customHeight="1" x14ac:dyDescent="0.2">
      <c r="U279" s="273"/>
      <c r="V279" s="272"/>
      <c r="W279" s="269"/>
      <c r="X279" s="269"/>
      <c r="Y279" s="36"/>
      <c r="Z279" s="269"/>
      <c r="AA279" s="269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25.5</v>
      </c>
      <c r="AM279" s="263">
        <f t="shared" si="35"/>
        <v>24.5</v>
      </c>
      <c r="AN279" s="34">
        <f t="shared" si="34"/>
        <v>1.5</v>
      </c>
    </row>
    <row r="280" spans="21:40" ht="12.75" customHeight="1" x14ac:dyDescent="0.2">
      <c r="U280" s="273"/>
      <c r="V280" s="272"/>
      <c r="W280" s="269"/>
      <c r="X280" s="269"/>
      <c r="Y280" s="36"/>
      <c r="Z280" s="269"/>
      <c r="AA280" s="269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24</v>
      </c>
      <c r="AM280" s="263">
        <f t="shared" si="35"/>
        <v>22.5</v>
      </c>
      <c r="AN280" s="34">
        <f t="shared" si="34"/>
        <v>2</v>
      </c>
    </row>
    <row r="281" spans="21:40" ht="12.75" customHeight="1" x14ac:dyDescent="0.2">
      <c r="U281" s="273"/>
      <c r="V281" s="272"/>
      <c r="W281" s="269"/>
      <c r="X281" s="269"/>
      <c r="Y281" s="36"/>
      <c r="Z281" s="269"/>
      <c r="AA281" s="269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22</v>
      </c>
      <c r="AM281" s="263">
        <f t="shared" si="35"/>
        <v>21</v>
      </c>
      <c r="AN281" s="44">
        <f t="shared" si="34"/>
        <v>1.5</v>
      </c>
    </row>
    <row r="282" spans="21:40" ht="12.75" customHeight="1" x14ac:dyDescent="0.2">
      <c r="U282" s="273"/>
      <c r="V282" s="272"/>
      <c r="W282" s="269"/>
      <c r="X282" s="269"/>
      <c r="Y282" s="36"/>
      <c r="Z282" s="269"/>
      <c r="AA282" s="269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20.5</v>
      </c>
      <c r="AM282" s="263">
        <f t="shared" si="35"/>
        <v>19.5</v>
      </c>
      <c r="AN282" s="34">
        <f t="shared" si="34"/>
        <v>1.5</v>
      </c>
    </row>
    <row r="283" spans="21:40" ht="12.75" customHeight="1" x14ac:dyDescent="0.2">
      <c r="U283" s="273"/>
      <c r="V283" s="272"/>
      <c r="W283" s="269"/>
      <c r="X283" s="269"/>
      <c r="Y283" s="36"/>
      <c r="Z283" s="269"/>
      <c r="AA283" s="269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19</v>
      </c>
      <c r="AM283" s="263">
        <f t="shared" si="35"/>
        <v>18</v>
      </c>
      <c r="AN283" s="34">
        <f t="shared" si="34"/>
        <v>1.5</v>
      </c>
    </row>
    <row r="284" spans="21:40" ht="12.75" customHeight="1" x14ac:dyDescent="0.2">
      <c r="U284" s="273"/>
      <c r="V284" s="272"/>
      <c r="W284" s="269"/>
      <c r="X284" s="269"/>
      <c r="Y284" s="36"/>
      <c r="Z284" s="269"/>
      <c r="AA284" s="269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17.5</v>
      </c>
      <c r="AM284" s="263">
        <f t="shared" si="35"/>
        <v>16.5</v>
      </c>
      <c r="AN284" s="44">
        <f t="shared" si="34"/>
        <v>1.5</v>
      </c>
    </row>
    <row r="285" spans="21:40" ht="12.75" customHeight="1" x14ac:dyDescent="0.2">
      <c r="U285" s="273"/>
      <c r="V285" s="272"/>
      <c r="W285" s="269"/>
      <c r="X285" s="269"/>
      <c r="Y285" s="36"/>
      <c r="Z285" s="269"/>
      <c r="AA285" s="269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16</v>
      </c>
      <c r="AM285" s="263">
        <f t="shared" si="35"/>
        <v>13.5</v>
      </c>
      <c r="AN285" s="34">
        <f t="shared" si="34"/>
        <v>3</v>
      </c>
    </row>
    <row r="286" spans="21:40" ht="12.75" customHeight="1" x14ac:dyDescent="0.2">
      <c r="U286" s="273"/>
      <c r="V286" s="272"/>
      <c r="W286" s="269"/>
      <c r="X286" s="269"/>
      <c r="Y286" s="36"/>
      <c r="Z286" s="269"/>
      <c r="AA286" s="269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13</v>
      </c>
      <c r="AM286" s="263">
        <f t="shared" si="35"/>
        <v>11</v>
      </c>
      <c r="AN286" s="34">
        <f t="shared" si="34"/>
        <v>2.5</v>
      </c>
    </row>
    <row r="287" spans="21:40" ht="12.75" customHeight="1" x14ac:dyDescent="0.2">
      <c r="U287" s="273"/>
      <c r="V287" s="272"/>
      <c r="W287" s="269"/>
      <c r="X287" s="272"/>
      <c r="Y287" s="36"/>
      <c r="Z287" s="269"/>
      <c r="AA287" s="269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10.5</v>
      </c>
      <c r="AM287" s="270">
        <f>ROUNDUP(I2Ext!$H$30*(I2Ext!$H$34/500),1)*5</f>
        <v>8</v>
      </c>
      <c r="AN287" s="44">
        <f t="shared" si="34"/>
        <v>3</v>
      </c>
    </row>
    <row r="288" spans="21:40" ht="12.75" customHeight="1" thickBot="1" x14ac:dyDescent="0.25">
      <c r="U288" s="272"/>
      <c r="V288" s="272"/>
      <c r="W288" s="269"/>
      <c r="X288" s="269"/>
      <c r="Y288" s="36"/>
      <c r="Z288" s="269"/>
      <c r="AA288" s="269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7.5</v>
      </c>
      <c r="AM288" s="271">
        <v>0</v>
      </c>
      <c r="AN288" s="65">
        <f>IF(AM288&gt;AM287,"ALARM",AL288)</f>
        <v>7.5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446" t="s">
        <v>24</v>
      </c>
      <c r="X303" s="447"/>
      <c r="Y303" s="434" t="s">
        <v>17</v>
      </c>
      <c r="Z303" s="443" t="s">
        <v>25</v>
      </c>
      <c r="AA303" s="444"/>
      <c r="AB303" s="17"/>
      <c r="AC303" s="20" t="s">
        <v>6</v>
      </c>
      <c r="AD303" s="21" t="s">
        <v>17</v>
      </c>
      <c r="AE303" s="22"/>
      <c r="AF303" s="441" t="s">
        <v>26</v>
      </c>
      <c r="AG303" s="442"/>
      <c r="AH303" s="23"/>
      <c r="AI303" s="20" t="s">
        <v>6</v>
      </c>
      <c r="AJ303" s="21" t="s">
        <v>17</v>
      </c>
      <c r="AK303" s="24"/>
      <c r="AL303" s="432" t="s">
        <v>27</v>
      </c>
      <c r="AM303" s="433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437" t="s">
        <v>27</v>
      </c>
      <c r="X304" s="438"/>
      <c r="Y304" s="435"/>
      <c r="Z304" s="439" t="s">
        <v>30</v>
      </c>
      <c r="AA304" s="440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435"/>
      <c r="Z305" s="439" t="s">
        <v>34</v>
      </c>
      <c r="AA305" s="440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436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40</v>
      </c>
      <c r="AM306" s="263">
        <f>AL307+0.5</f>
        <v>38.5</v>
      </c>
      <c r="AN306" s="34">
        <f t="shared" ref="AN306:AN320" si="36">IF(AM306&gt;AL306,"ALARM",AL306-AL307)</f>
        <v>2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2</v>
      </c>
      <c r="W307" s="275">
        <f>I3Ext!$H$30</f>
        <v>40</v>
      </c>
      <c r="X307" s="263">
        <f>W308+0.5</f>
        <v>38.5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38</v>
      </c>
      <c r="AM307" s="263">
        <f t="shared" ref="AM307:AM319" si="38">AL308+0.5</f>
        <v>36.5</v>
      </c>
      <c r="AN307" s="34">
        <f t="shared" si="36"/>
        <v>2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2</v>
      </c>
      <c r="W308" s="275">
        <f t="shared" ref="W308:W322" si="39">W307-V307</f>
        <v>38</v>
      </c>
      <c r="X308" s="263">
        <f t="shared" ref="X308:X321" si="40">W309+0.5</f>
        <v>36.5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36</v>
      </c>
      <c r="AM308" s="263">
        <f t="shared" si="38"/>
        <v>34.5</v>
      </c>
      <c r="AN308" s="44">
        <f t="shared" si="36"/>
        <v>2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2</v>
      </c>
      <c r="W309" s="276">
        <f t="shared" si="39"/>
        <v>36</v>
      </c>
      <c r="X309" s="263">
        <f t="shared" si="40"/>
        <v>34.5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34</v>
      </c>
      <c r="AM309" s="263">
        <f t="shared" si="38"/>
        <v>32.5</v>
      </c>
      <c r="AN309" s="34">
        <f t="shared" si="36"/>
        <v>2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2</v>
      </c>
      <c r="W310" s="275">
        <f t="shared" si="39"/>
        <v>34</v>
      </c>
      <c r="X310" s="263">
        <f t="shared" si="40"/>
        <v>32.5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32</v>
      </c>
      <c r="AM310" s="263">
        <f t="shared" si="38"/>
        <v>30.5</v>
      </c>
      <c r="AN310" s="34">
        <f t="shared" si="36"/>
        <v>2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2</v>
      </c>
      <c r="W311" s="275">
        <f t="shared" si="39"/>
        <v>32</v>
      </c>
      <c r="X311" s="263">
        <f t="shared" si="40"/>
        <v>30.5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30</v>
      </c>
      <c r="AM311" s="263">
        <f t="shared" si="38"/>
        <v>28.5</v>
      </c>
      <c r="AN311" s="44">
        <f t="shared" si="36"/>
        <v>2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2</v>
      </c>
      <c r="W312" s="276">
        <f t="shared" si="39"/>
        <v>30</v>
      </c>
      <c r="X312" s="263">
        <f t="shared" si="40"/>
        <v>28.5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28</v>
      </c>
      <c r="AM312" s="263">
        <f t="shared" si="38"/>
        <v>26.5</v>
      </c>
      <c r="AN312" s="34">
        <f t="shared" si="36"/>
        <v>2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2</v>
      </c>
      <c r="W313" s="275">
        <f t="shared" si="39"/>
        <v>28</v>
      </c>
      <c r="X313" s="263">
        <f t="shared" si="40"/>
        <v>26.5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26</v>
      </c>
      <c r="AM313" s="263">
        <f t="shared" si="38"/>
        <v>24.5</v>
      </c>
      <c r="AN313" s="34">
        <f t="shared" si="36"/>
        <v>2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2</v>
      </c>
      <c r="W314" s="275">
        <f t="shared" si="39"/>
        <v>26</v>
      </c>
      <c r="X314" s="263">
        <f t="shared" si="40"/>
        <v>24.5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24</v>
      </c>
      <c r="AM314" s="263">
        <f t="shared" si="38"/>
        <v>22.5</v>
      </c>
      <c r="AN314" s="44">
        <f t="shared" si="36"/>
        <v>2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2</v>
      </c>
      <c r="W315" s="276">
        <f t="shared" si="39"/>
        <v>24</v>
      </c>
      <c r="X315" s="263">
        <f t="shared" si="40"/>
        <v>22.5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22</v>
      </c>
      <c r="AM315" s="263">
        <f t="shared" si="38"/>
        <v>20.5</v>
      </c>
      <c r="AN315" s="34">
        <f t="shared" si="36"/>
        <v>2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2</v>
      </c>
      <c r="W316" s="275">
        <f t="shared" si="39"/>
        <v>22</v>
      </c>
      <c r="X316" s="263">
        <f t="shared" si="40"/>
        <v>20.5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20</v>
      </c>
      <c r="AM316" s="263">
        <f t="shared" si="38"/>
        <v>18.5</v>
      </c>
      <c r="AN316" s="34">
        <f t="shared" si="36"/>
        <v>2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2</v>
      </c>
      <c r="W317" s="275">
        <f t="shared" si="39"/>
        <v>20</v>
      </c>
      <c r="X317" s="263">
        <f t="shared" si="40"/>
        <v>18.5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18</v>
      </c>
      <c r="AM317" s="263">
        <f t="shared" si="38"/>
        <v>16.5</v>
      </c>
      <c r="AN317" s="44">
        <f t="shared" si="36"/>
        <v>2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2</v>
      </c>
      <c r="W318" s="276">
        <f t="shared" si="39"/>
        <v>18</v>
      </c>
      <c r="X318" s="263">
        <f t="shared" si="40"/>
        <v>16.5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16</v>
      </c>
      <c r="AM318" s="263">
        <f t="shared" si="38"/>
        <v>13.5</v>
      </c>
      <c r="AN318" s="34">
        <f t="shared" si="36"/>
        <v>3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3</v>
      </c>
      <c r="W319" s="275">
        <f t="shared" si="39"/>
        <v>16</v>
      </c>
      <c r="X319" s="263">
        <f t="shared" si="40"/>
        <v>13.5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13</v>
      </c>
      <c r="AM319" s="263">
        <f t="shared" si="38"/>
        <v>11</v>
      </c>
      <c r="AN319" s="34">
        <f t="shared" si="36"/>
        <v>2.5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2.5</v>
      </c>
      <c r="W320" s="275">
        <f t="shared" si="39"/>
        <v>13</v>
      </c>
      <c r="X320" s="263">
        <f t="shared" si="40"/>
        <v>11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10.5</v>
      </c>
      <c r="AM320" s="270">
        <f>ROUNDUP(I3Ext!$H$30*(I3Ext!$H$34/500),1)*5</f>
        <v>8</v>
      </c>
      <c r="AN320" s="44">
        <f t="shared" si="36"/>
        <v>3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3</v>
      </c>
      <c r="W321" s="276">
        <f t="shared" si="39"/>
        <v>10.5</v>
      </c>
      <c r="X321" s="263">
        <f t="shared" si="40"/>
        <v>8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7.5</v>
      </c>
      <c r="AM321" s="271">
        <v>0</v>
      </c>
      <c r="AN321" s="65">
        <f>IF(AM321&gt;AM320,"ALARM",AL321)</f>
        <v>7.5</v>
      </c>
    </row>
    <row r="322" spans="21:40" ht="12.75" customHeight="1" thickBot="1" x14ac:dyDescent="0.25">
      <c r="U322" s="14" t="s">
        <v>36</v>
      </c>
      <c r="V322" s="81">
        <f>IF(I3Ext!$H$32="M",+W322,W364)</f>
        <v>7.5</v>
      </c>
      <c r="W322" s="278">
        <f t="shared" si="39"/>
        <v>7.5</v>
      </c>
      <c r="X322" s="271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68">
        <f t="shared" ref="V325:V340" si="41">+X325</f>
        <v>0</v>
      </c>
      <c r="W325" s="268">
        <f>+W322</f>
        <v>7.5</v>
      </c>
      <c r="X325" s="268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68">
        <f t="shared" si="41"/>
        <v>8</v>
      </c>
      <c r="W326" s="268">
        <f>+W321</f>
        <v>10.5</v>
      </c>
      <c r="X326" s="268">
        <f>+X321</f>
        <v>8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68">
        <f t="shared" si="41"/>
        <v>11</v>
      </c>
      <c r="W327" s="268">
        <f>+W320</f>
        <v>13</v>
      </c>
      <c r="X327" s="268">
        <f>+X320</f>
        <v>11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68">
        <f t="shared" si="41"/>
        <v>13.5</v>
      </c>
      <c r="W328" s="268">
        <f>+W319</f>
        <v>16</v>
      </c>
      <c r="X328" s="268">
        <f>+X319</f>
        <v>13.5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68">
        <f t="shared" si="41"/>
        <v>16.5</v>
      </c>
      <c r="W329" s="268">
        <f>+W318</f>
        <v>18</v>
      </c>
      <c r="X329" s="268">
        <f>+X318</f>
        <v>16.5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68">
        <f t="shared" si="41"/>
        <v>18.5</v>
      </c>
      <c r="W330" s="268">
        <f>+W317</f>
        <v>20</v>
      </c>
      <c r="X330" s="268">
        <f>+X317</f>
        <v>18.5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68">
        <f t="shared" si="41"/>
        <v>20.5</v>
      </c>
      <c r="W331" s="268">
        <f>+W316</f>
        <v>22</v>
      </c>
      <c r="X331" s="268">
        <f>+X316</f>
        <v>20.5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68">
        <f t="shared" si="41"/>
        <v>22.5</v>
      </c>
      <c r="W332" s="268">
        <f>+W315</f>
        <v>24</v>
      </c>
      <c r="X332" s="268">
        <f>+X315</f>
        <v>22.5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68">
        <f t="shared" si="41"/>
        <v>24.5</v>
      </c>
      <c r="W333" s="268">
        <f>+W314</f>
        <v>26</v>
      </c>
      <c r="X333" s="268">
        <f>+X314</f>
        <v>24.5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68">
        <f t="shared" si="41"/>
        <v>26.5</v>
      </c>
      <c r="W334" s="268">
        <f>+W313</f>
        <v>28</v>
      </c>
      <c r="X334" s="268">
        <f>+X313</f>
        <v>26.5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68">
        <f t="shared" si="41"/>
        <v>28.5</v>
      </c>
      <c r="W335" s="268">
        <f>+W312</f>
        <v>30</v>
      </c>
      <c r="X335" s="268">
        <f>+X312</f>
        <v>28.5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68">
        <f t="shared" si="41"/>
        <v>30.5</v>
      </c>
      <c r="W336" s="268">
        <f>+W311</f>
        <v>32</v>
      </c>
      <c r="X336" s="268">
        <f>+X311</f>
        <v>30.5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68">
        <f t="shared" si="41"/>
        <v>32.5</v>
      </c>
      <c r="W337" s="268">
        <f>+W310</f>
        <v>34</v>
      </c>
      <c r="X337" s="268">
        <f>+X310</f>
        <v>32.5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68">
        <f t="shared" si="41"/>
        <v>34.5</v>
      </c>
      <c r="W338" s="268">
        <f>+W309</f>
        <v>36</v>
      </c>
      <c r="X338" s="268">
        <f>+X309</f>
        <v>34.5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68">
        <f t="shared" si="41"/>
        <v>36.5</v>
      </c>
      <c r="W339" s="268">
        <f>+W308</f>
        <v>38</v>
      </c>
      <c r="X339" s="268">
        <f>+X308</f>
        <v>36.5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68">
        <f t="shared" si="41"/>
        <v>38.5</v>
      </c>
      <c r="W340" s="268">
        <f>+W307</f>
        <v>40</v>
      </c>
      <c r="X340" s="268">
        <f>+X307</f>
        <v>38.5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69"/>
      <c r="V345" s="272"/>
      <c r="W345" s="448"/>
      <c r="X345" s="448"/>
      <c r="Y345" s="36"/>
      <c r="Z345" s="448"/>
      <c r="AA345" s="448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73"/>
      <c r="V346" s="272"/>
      <c r="W346" s="438"/>
      <c r="X346" s="438"/>
      <c r="Y346" s="36"/>
      <c r="Z346" s="448"/>
      <c r="AA346" s="448"/>
      <c r="AB346" s="17"/>
      <c r="AC346" s="20" t="s">
        <v>6</v>
      </c>
      <c r="AD346" s="21" t="s">
        <v>17</v>
      </c>
      <c r="AE346" s="22"/>
      <c r="AF346" s="441" t="s">
        <v>26</v>
      </c>
      <c r="AG346" s="442"/>
      <c r="AH346" s="23"/>
      <c r="AI346" s="20" t="s">
        <v>6</v>
      </c>
      <c r="AJ346" s="21" t="s">
        <v>17</v>
      </c>
      <c r="AK346" s="24"/>
      <c r="AL346" s="432" t="s">
        <v>27</v>
      </c>
      <c r="AM346" s="433"/>
      <c r="AN346" s="25" t="s">
        <v>28</v>
      </c>
    </row>
    <row r="347" spans="21:40" ht="12.75" customHeight="1" x14ac:dyDescent="0.2">
      <c r="U347" s="274"/>
      <c r="V347" s="272"/>
      <c r="W347" s="269"/>
      <c r="X347" s="269"/>
      <c r="Y347" s="36"/>
      <c r="Z347" s="448"/>
      <c r="AA347" s="448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72"/>
      <c r="W348" s="269"/>
      <c r="X348" s="269"/>
      <c r="Y348" s="36"/>
      <c r="Z348" s="269"/>
      <c r="AA348" s="269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73"/>
      <c r="V349" s="272"/>
      <c r="W349" s="50"/>
      <c r="X349" s="269"/>
      <c r="Y349" s="36"/>
      <c r="Z349" s="269"/>
      <c r="AA349" s="269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40</v>
      </c>
      <c r="AM349" s="263">
        <f>AL350+0.5</f>
        <v>38</v>
      </c>
      <c r="AN349" s="34">
        <f t="shared" ref="AN349:AN363" si="43">IF(AM349&gt;AL349,"ALARM",AL349-AL350)</f>
        <v>2.5</v>
      </c>
    </row>
    <row r="350" spans="21:40" ht="12.75" customHeight="1" x14ac:dyDescent="0.2">
      <c r="U350" s="273"/>
      <c r="V350" s="272"/>
      <c r="W350" s="269"/>
      <c r="X350" s="269"/>
      <c r="Y350" s="36"/>
      <c r="Z350" s="269"/>
      <c r="AA350" s="269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37.5</v>
      </c>
      <c r="AM350" s="263">
        <f t="shared" ref="AM350:AM362" si="44">AL351+0.5</f>
        <v>35.5</v>
      </c>
      <c r="AN350" s="34">
        <f t="shared" si="43"/>
        <v>2.5</v>
      </c>
    </row>
    <row r="351" spans="21:40" ht="12.75" customHeight="1" x14ac:dyDescent="0.2">
      <c r="U351" s="273"/>
      <c r="V351" s="272"/>
      <c r="W351" s="269"/>
      <c r="X351" s="269"/>
      <c r="Y351" s="36"/>
      <c r="Z351" s="269"/>
      <c r="AA351" s="269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35</v>
      </c>
      <c r="AM351" s="263">
        <f t="shared" si="44"/>
        <v>33</v>
      </c>
      <c r="AN351" s="44">
        <f t="shared" si="43"/>
        <v>2.5</v>
      </c>
    </row>
    <row r="352" spans="21:40" ht="12.75" customHeight="1" x14ac:dyDescent="0.2">
      <c r="U352" s="273"/>
      <c r="V352" s="272"/>
      <c r="W352" s="269"/>
      <c r="X352" s="269"/>
      <c r="Y352" s="36"/>
      <c r="Z352" s="269"/>
      <c r="AA352" s="269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32.5</v>
      </c>
      <c r="AM352" s="263">
        <f t="shared" si="44"/>
        <v>30.5</v>
      </c>
      <c r="AN352" s="34">
        <f t="shared" si="43"/>
        <v>2.5</v>
      </c>
    </row>
    <row r="353" spans="21:40" ht="12.75" customHeight="1" x14ac:dyDescent="0.2">
      <c r="U353" s="273"/>
      <c r="V353" s="272"/>
      <c r="W353" s="269"/>
      <c r="X353" s="269"/>
      <c r="Y353" s="36"/>
      <c r="Z353" s="269"/>
      <c r="AA353" s="269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30</v>
      </c>
      <c r="AM353" s="263">
        <f t="shared" si="44"/>
        <v>28.5</v>
      </c>
      <c r="AN353" s="34">
        <f t="shared" si="43"/>
        <v>2</v>
      </c>
    </row>
    <row r="354" spans="21:40" ht="12.75" customHeight="1" x14ac:dyDescent="0.2">
      <c r="U354" s="273"/>
      <c r="V354" s="272"/>
      <c r="W354" s="269"/>
      <c r="X354" s="269"/>
      <c r="Y354" s="36"/>
      <c r="Z354" s="269"/>
      <c r="AA354" s="269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28</v>
      </c>
      <c r="AM354" s="263">
        <f t="shared" si="44"/>
        <v>26</v>
      </c>
      <c r="AN354" s="44">
        <f t="shared" si="43"/>
        <v>2.5</v>
      </c>
    </row>
    <row r="355" spans="21:40" ht="12.75" customHeight="1" x14ac:dyDescent="0.2">
      <c r="U355" s="273"/>
      <c r="V355" s="272"/>
      <c r="W355" s="269"/>
      <c r="X355" s="269"/>
      <c r="Y355" s="36"/>
      <c r="Z355" s="269"/>
      <c r="AA355" s="269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25.5</v>
      </c>
      <c r="AM355" s="263">
        <f t="shared" si="44"/>
        <v>24.5</v>
      </c>
      <c r="AN355" s="34">
        <f t="shared" si="43"/>
        <v>1.5</v>
      </c>
    </row>
    <row r="356" spans="21:40" ht="12.75" customHeight="1" x14ac:dyDescent="0.2">
      <c r="U356" s="273"/>
      <c r="V356" s="272"/>
      <c r="W356" s="269"/>
      <c r="X356" s="269"/>
      <c r="Y356" s="36"/>
      <c r="Z356" s="269"/>
      <c r="AA356" s="269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24</v>
      </c>
      <c r="AM356" s="263">
        <f t="shared" si="44"/>
        <v>22.5</v>
      </c>
      <c r="AN356" s="34">
        <f t="shared" si="43"/>
        <v>2</v>
      </c>
    </row>
    <row r="357" spans="21:40" ht="12.75" customHeight="1" x14ac:dyDescent="0.2">
      <c r="U357" s="273"/>
      <c r="V357" s="272"/>
      <c r="W357" s="269"/>
      <c r="X357" s="269"/>
      <c r="Y357" s="36"/>
      <c r="Z357" s="269"/>
      <c r="AA357" s="269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22</v>
      </c>
      <c r="AM357" s="263">
        <f t="shared" si="44"/>
        <v>21</v>
      </c>
      <c r="AN357" s="44">
        <f t="shared" si="43"/>
        <v>1.5</v>
      </c>
    </row>
    <row r="358" spans="21:40" ht="12.75" customHeight="1" x14ac:dyDescent="0.2">
      <c r="U358" s="273"/>
      <c r="V358" s="272"/>
      <c r="W358" s="269"/>
      <c r="X358" s="269"/>
      <c r="Y358" s="36"/>
      <c r="Z358" s="269"/>
      <c r="AA358" s="269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20.5</v>
      </c>
      <c r="AM358" s="263">
        <f t="shared" si="44"/>
        <v>19.5</v>
      </c>
      <c r="AN358" s="34">
        <f t="shared" si="43"/>
        <v>1.5</v>
      </c>
    </row>
    <row r="359" spans="21:40" ht="12.75" customHeight="1" x14ac:dyDescent="0.2">
      <c r="U359" s="273"/>
      <c r="V359" s="272"/>
      <c r="W359" s="269"/>
      <c r="X359" s="269"/>
      <c r="Y359" s="36"/>
      <c r="Z359" s="269"/>
      <c r="AA359" s="269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19</v>
      </c>
      <c r="AM359" s="263">
        <f t="shared" si="44"/>
        <v>18</v>
      </c>
      <c r="AN359" s="34">
        <f t="shared" si="43"/>
        <v>1.5</v>
      </c>
    </row>
    <row r="360" spans="21:40" ht="12.75" customHeight="1" x14ac:dyDescent="0.2">
      <c r="U360" s="273"/>
      <c r="V360" s="272"/>
      <c r="W360" s="269"/>
      <c r="X360" s="269"/>
      <c r="Y360" s="36"/>
      <c r="Z360" s="269"/>
      <c r="AA360" s="269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17.5</v>
      </c>
      <c r="AM360" s="263">
        <f t="shared" si="44"/>
        <v>16.5</v>
      </c>
      <c r="AN360" s="44">
        <f t="shared" si="43"/>
        <v>1.5</v>
      </c>
    </row>
    <row r="361" spans="21:40" ht="12.75" customHeight="1" x14ac:dyDescent="0.2">
      <c r="U361" s="273"/>
      <c r="V361" s="272"/>
      <c r="W361" s="269"/>
      <c r="X361" s="269"/>
      <c r="Y361" s="36"/>
      <c r="Z361" s="269"/>
      <c r="AA361" s="269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16</v>
      </c>
      <c r="AM361" s="263">
        <f t="shared" si="44"/>
        <v>13.5</v>
      </c>
      <c r="AN361" s="34">
        <f t="shared" si="43"/>
        <v>3</v>
      </c>
    </row>
    <row r="362" spans="21:40" ht="12.75" customHeight="1" x14ac:dyDescent="0.2">
      <c r="U362" s="273"/>
      <c r="V362" s="272"/>
      <c r="W362" s="269"/>
      <c r="X362" s="269"/>
      <c r="Y362" s="36"/>
      <c r="Z362" s="269"/>
      <c r="AA362" s="269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13</v>
      </c>
      <c r="AM362" s="263">
        <f t="shared" si="44"/>
        <v>11</v>
      </c>
      <c r="AN362" s="34">
        <f t="shared" si="43"/>
        <v>2.5</v>
      </c>
    </row>
    <row r="363" spans="21:40" ht="12.75" customHeight="1" x14ac:dyDescent="0.2">
      <c r="U363" s="273"/>
      <c r="V363" s="272"/>
      <c r="W363" s="269"/>
      <c r="X363" s="272"/>
      <c r="Y363" s="36"/>
      <c r="Z363" s="269"/>
      <c r="AA363" s="269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10.5</v>
      </c>
      <c r="AM363" s="270">
        <f>ROUNDUP(I3Ext!$H$30*(I3Ext!$H$34/500),1)*5</f>
        <v>8</v>
      </c>
      <c r="AN363" s="44">
        <f t="shared" si="43"/>
        <v>3</v>
      </c>
    </row>
    <row r="364" spans="21:40" ht="12.75" customHeight="1" thickBot="1" x14ac:dyDescent="0.25">
      <c r="U364" s="272"/>
      <c r="V364" s="272"/>
      <c r="W364" s="269"/>
      <c r="X364" s="269"/>
      <c r="Y364" s="36"/>
      <c r="Z364" s="269"/>
      <c r="AA364" s="269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7.5</v>
      </c>
      <c r="AM364" s="271">
        <v>0</v>
      </c>
      <c r="AN364" s="65">
        <f>IF(AM364&gt;AM363,"ALARM",AL364+1)</f>
        <v>8.5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446" t="s">
        <v>24</v>
      </c>
      <c r="X374" s="447"/>
      <c r="Y374" s="434" t="s">
        <v>17</v>
      </c>
      <c r="Z374" s="443" t="s">
        <v>25</v>
      </c>
      <c r="AA374" s="444"/>
      <c r="AB374" s="17"/>
      <c r="AC374" s="20" t="s">
        <v>6</v>
      </c>
      <c r="AD374" s="21" t="s">
        <v>17</v>
      </c>
      <c r="AE374" s="22"/>
      <c r="AF374" s="441" t="s">
        <v>26</v>
      </c>
      <c r="AG374" s="442"/>
      <c r="AH374" s="23"/>
      <c r="AI374" s="20" t="s">
        <v>6</v>
      </c>
      <c r="AJ374" s="21" t="s">
        <v>17</v>
      </c>
      <c r="AK374" s="24"/>
      <c r="AL374" s="432" t="s">
        <v>27</v>
      </c>
      <c r="AM374" s="433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437" t="s">
        <v>27</v>
      </c>
      <c r="X375" s="438"/>
      <c r="Y375" s="435"/>
      <c r="Z375" s="439" t="s">
        <v>30</v>
      </c>
      <c r="AA375" s="440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435"/>
      <c r="Z376" s="439" t="s">
        <v>34</v>
      </c>
      <c r="AA376" s="440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436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63">
        <f>AL378+0.5</f>
        <v>38.5</v>
      </c>
      <c r="AN377" s="34">
        <f t="shared" ref="AN377:AN391" si="45">IF(AM377&gt;AL377,"ALARM",AL377-AL378)</f>
        <v>2</v>
      </c>
      <c r="AO377" s="36"/>
      <c r="AP377" s="280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75">
        <f>II1SA!$H$30</f>
        <v>40</v>
      </c>
      <c r="X378" s="263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63">
        <f t="shared" ref="AM378:AM390" si="47">AL379+0.5</f>
        <v>36.5</v>
      </c>
      <c r="AN378" s="34">
        <f t="shared" si="45"/>
        <v>2</v>
      </c>
      <c r="AO378" s="36"/>
      <c r="AP378" s="280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75">
        <f t="shared" ref="W379:W393" si="48">W378-V378</f>
        <v>38</v>
      </c>
      <c r="X379" s="263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63">
        <f t="shared" si="47"/>
        <v>34.5</v>
      </c>
      <c r="AN379" s="44">
        <f t="shared" si="45"/>
        <v>2</v>
      </c>
      <c r="AO379" s="36"/>
      <c r="AP379" s="280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76">
        <f t="shared" si="48"/>
        <v>36</v>
      </c>
      <c r="X380" s="263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63">
        <f t="shared" si="47"/>
        <v>32.5</v>
      </c>
      <c r="AN380" s="34">
        <f t="shared" si="45"/>
        <v>2</v>
      </c>
      <c r="AO380" s="36"/>
      <c r="AP380" s="280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75">
        <f t="shared" si="48"/>
        <v>34</v>
      </c>
      <c r="X381" s="263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63">
        <f t="shared" si="47"/>
        <v>30.5</v>
      </c>
      <c r="AN381" s="34">
        <f t="shared" si="45"/>
        <v>2</v>
      </c>
      <c r="AO381" s="36"/>
      <c r="AP381" s="280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75">
        <f t="shared" si="48"/>
        <v>32</v>
      </c>
      <c r="X382" s="263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63">
        <f t="shared" si="47"/>
        <v>28.5</v>
      </c>
      <c r="AN382" s="44">
        <f t="shared" si="45"/>
        <v>2</v>
      </c>
      <c r="AO382" s="36"/>
      <c r="AP382" s="280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76">
        <f t="shared" si="48"/>
        <v>30</v>
      </c>
      <c r="X383" s="263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63">
        <f t="shared" si="47"/>
        <v>26.5</v>
      </c>
      <c r="AN383" s="34">
        <f t="shared" si="45"/>
        <v>2</v>
      </c>
      <c r="AO383" s="36"/>
      <c r="AP383" s="280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75">
        <f t="shared" si="48"/>
        <v>28</v>
      </c>
      <c r="X384" s="263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63">
        <f t="shared" si="47"/>
        <v>24.5</v>
      </c>
      <c r="AN384" s="34">
        <f t="shared" si="45"/>
        <v>2</v>
      </c>
      <c r="AO384" s="36"/>
      <c r="AP384" s="280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75">
        <f t="shared" si="48"/>
        <v>26</v>
      </c>
      <c r="X385" s="263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63">
        <f t="shared" si="47"/>
        <v>22.5</v>
      </c>
      <c r="AN385" s="44">
        <f t="shared" si="45"/>
        <v>2</v>
      </c>
      <c r="AO385" s="36"/>
      <c r="AP385" s="280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76">
        <f t="shared" si="48"/>
        <v>24</v>
      </c>
      <c r="X386" s="263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63">
        <f t="shared" si="47"/>
        <v>20.5</v>
      </c>
      <c r="AN386" s="34">
        <f t="shared" si="45"/>
        <v>2</v>
      </c>
      <c r="AO386" s="36"/>
      <c r="AP386" s="280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75">
        <f t="shared" si="48"/>
        <v>22</v>
      </c>
      <c r="X387" s="263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63">
        <f t="shared" si="47"/>
        <v>18.5</v>
      </c>
      <c r="AN387" s="34">
        <f t="shared" si="45"/>
        <v>2</v>
      </c>
      <c r="AO387" s="36"/>
      <c r="AP387" s="280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75">
        <f t="shared" si="48"/>
        <v>20</v>
      </c>
      <c r="X388" s="263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63">
        <f t="shared" si="47"/>
        <v>16.5</v>
      </c>
      <c r="AN388" s="44">
        <f t="shared" si="45"/>
        <v>2</v>
      </c>
      <c r="AO388" s="36"/>
      <c r="AP388" s="280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76">
        <f t="shared" si="48"/>
        <v>18</v>
      </c>
      <c r="X389" s="263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63">
        <f t="shared" si="47"/>
        <v>13.5</v>
      </c>
      <c r="AN389" s="34">
        <f t="shared" si="45"/>
        <v>3</v>
      </c>
      <c r="AO389" s="36"/>
      <c r="AP389" s="280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75">
        <f t="shared" si="48"/>
        <v>16</v>
      </c>
      <c r="X390" s="263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63">
        <f t="shared" si="47"/>
        <v>11</v>
      </c>
      <c r="AN390" s="34">
        <f t="shared" si="45"/>
        <v>2.5</v>
      </c>
      <c r="AO390" s="36"/>
      <c r="AP390" s="280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75">
        <f t="shared" si="48"/>
        <v>13</v>
      </c>
      <c r="X391" s="263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70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76">
        <f t="shared" si="48"/>
        <v>10.5</v>
      </c>
      <c r="X392" s="263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71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78">
        <f t="shared" si="48"/>
        <v>7.5</v>
      </c>
      <c r="X393" s="271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68">
        <f t="shared" ref="V396:V411" si="50">+X396</f>
        <v>0</v>
      </c>
      <c r="W396" s="268">
        <f>+W393</f>
        <v>7.5</v>
      </c>
      <c r="X396" s="268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68">
        <f t="shared" si="50"/>
        <v>8</v>
      </c>
      <c r="W397" s="268">
        <f>+W392</f>
        <v>10.5</v>
      </c>
      <c r="X397" s="268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68">
        <f t="shared" si="50"/>
        <v>11</v>
      </c>
      <c r="W398" s="268">
        <f>+W391</f>
        <v>13</v>
      </c>
      <c r="X398" s="268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68">
        <f t="shared" si="50"/>
        <v>13.5</v>
      </c>
      <c r="W399" s="268">
        <f>+W390</f>
        <v>16</v>
      </c>
      <c r="X399" s="268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68">
        <f t="shared" si="50"/>
        <v>16.5</v>
      </c>
      <c r="W400" s="268">
        <f>+W389</f>
        <v>18</v>
      </c>
      <c r="X400" s="268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68">
        <f t="shared" si="50"/>
        <v>18.5</v>
      </c>
      <c r="W401" s="268">
        <f>+W388</f>
        <v>20</v>
      </c>
      <c r="X401" s="268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68">
        <f t="shared" si="50"/>
        <v>20.5</v>
      </c>
      <c r="W402" s="268">
        <f>+W387</f>
        <v>22</v>
      </c>
      <c r="X402" s="268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68">
        <f t="shared" si="50"/>
        <v>22.5</v>
      </c>
      <c r="W403" s="268">
        <f>+W386</f>
        <v>24</v>
      </c>
      <c r="X403" s="268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68">
        <f t="shared" si="50"/>
        <v>24.5</v>
      </c>
      <c r="W404" s="268">
        <f>+W385</f>
        <v>26</v>
      </c>
      <c r="X404" s="268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68">
        <f t="shared" si="50"/>
        <v>26.5</v>
      </c>
      <c r="W405" s="268">
        <f>+W384</f>
        <v>28</v>
      </c>
      <c r="X405" s="268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68">
        <f t="shared" si="50"/>
        <v>28.5</v>
      </c>
      <c r="W406" s="268">
        <f>+W383</f>
        <v>30</v>
      </c>
      <c r="X406" s="268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68">
        <f t="shared" si="50"/>
        <v>30.5</v>
      </c>
      <c r="W407" s="268">
        <f>+W382</f>
        <v>32</v>
      </c>
      <c r="X407" s="268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68">
        <f t="shared" si="50"/>
        <v>32.5</v>
      </c>
      <c r="W408" s="268">
        <f>+W381</f>
        <v>34</v>
      </c>
      <c r="X408" s="268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68">
        <f t="shared" si="50"/>
        <v>34.5</v>
      </c>
      <c r="W409" s="268">
        <f>+W380</f>
        <v>36</v>
      </c>
      <c r="X409" s="268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68">
        <f t="shared" si="50"/>
        <v>36.5</v>
      </c>
      <c r="W410" s="268">
        <f>+W379</f>
        <v>38</v>
      </c>
      <c r="X410" s="268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68">
        <f t="shared" si="50"/>
        <v>38.5</v>
      </c>
      <c r="W411" s="268">
        <f>+W378</f>
        <v>40</v>
      </c>
      <c r="X411" s="268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69"/>
      <c r="V416" s="272"/>
      <c r="W416" s="448"/>
      <c r="X416" s="448"/>
      <c r="Y416" s="36"/>
      <c r="Z416" s="448"/>
      <c r="AA416" s="448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73"/>
      <c r="V417" s="272"/>
      <c r="W417" s="438"/>
      <c r="X417" s="438"/>
      <c r="Y417" s="36"/>
      <c r="Z417" s="448"/>
      <c r="AA417" s="448"/>
      <c r="AB417" s="17"/>
      <c r="AC417" s="20" t="s">
        <v>6</v>
      </c>
      <c r="AD417" s="21" t="s">
        <v>17</v>
      </c>
      <c r="AE417" s="22"/>
      <c r="AF417" s="441" t="s">
        <v>26</v>
      </c>
      <c r="AG417" s="442"/>
      <c r="AH417" s="23"/>
      <c r="AI417" s="20" t="s">
        <v>6</v>
      </c>
      <c r="AJ417" s="21" t="s">
        <v>17</v>
      </c>
      <c r="AK417" s="24"/>
      <c r="AL417" s="432" t="s">
        <v>27</v>
      </c>
      <c r="AM417" s="433"/>
      <c r="AN417" s="25" t="s">
        <v>28</v>
      </c>
      <c r="AO417" s="23"/>
    </row>
    <row r="418" spans="21:41" ht="12.75" customHeight="1" x14ac:dyDescent="0.2">
      <c r="U418" s="274"/>
      <c r="V418" s="272"/>
      <c r="W418" s="269"/>
      <c r="X418" s="269"/>
      <c r="Y418" s="36"/>
      <c r="Z418" s="448"/>
      <c r="AA418" s="448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72"/>
      <c r="W419" s="269"/>
      <c r="X419" s="269"/>
      <c r="Y419" s="36"/>
      <c r="Z419" s="269"/>
      <c r="AA419" s="269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73"/>
      <c r="V420" s="272"/>
      <c r="W420" s="50"/>
      <c r="X420" s="269"/>
      <c r="Y420" s="36"/>
      <c r="Z420" s="269"/>
      <c r="AA420" s="269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63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73"/>
      <c r="V421" s="272"/>
      <c r="W421" s="269"/>
      <c r="X421" s="269"/>
      <c r="Y421" s="36"/>
      <c r="Z421" s="269"/>
      <c r="AA421" s="269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63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73"/>
      <c r="V422" s="272"/>
      <c r="W422" s="269"/>
      <c r="X422" s="269"/>
      <c r="Y422" s="36"/>
      <c r="Z422" s="269"/>
      <c r="AA422" s="269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63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73"/>
      <c r="V423" s="272"/>
      <c r="W423" s="269"/>
      <c r="X423" s="269"/>
      <c r="Y423" s="36"/>
      <c r="Z423" s="269"/>
      <c r="AA423" s="269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63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73"/>
      <c r="V424" s="272"/>
      <c r="W424" s="269"/>
      <c r="X424" s="269"/>
      <c r="Y424" s="36"/>
      <c r="Z424" s="269"/>
      <c r="AA424" s="269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63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73"/>
      <c r="V425" s="272"/>
      <c r="W425" s="269"/>
      <c r="X425" s="269"/>
      <c r="Y425" s="36"/>
      <c r="Z425" s="269"/>
      <c r="AA425" s="269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63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73"/>
      <c r="V426" s="272"/>
      <c r="W426" s="269"/>
      <c r="X426" s="269"/>
      <c r="Y426" s="36"/>
      <c r="Z426" s="269"/>
      <c r="AA426" s="269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63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73"/>
      <c r="V427" s="272"/>
      <c r="W427" s="269"/>
      <c r="X427" s="269"/>
      <c r="Y427" s="36"/>
      <c r="Z427" s="269"/>
      <c r="AA427" s="269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63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73"/>
      <c r="V428" s="272"/>
      <c r="W428" s="269"/>
      <c r="X428" s="269"/>
      <c r="Y428" s="36"/>
      <c r="Z428" s="269"/>
      <c r="AA428" s="269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63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73"/>
      <c r="V429" s="272"/>
      <c r="W429" s="269"/>
      <c r="X429" s="269"/>
      <c r="Y429" s="36"/>
      <c r="Z429" s="269"/>
      <c r="AA429" s="269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63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73"/>
      <c r="V430" s="272"/>
      <c r="W430" s="269"/>
      <c r="X430" s="269"/>
      <c r="Y430" s="36"/>
      <c r="Z430" s="269"/>
      <c r="AA430" s="269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63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73"/>
      <c r="V431" s="272"/>
      <c r="W431" s="269"/>
      <c r="X431" s="269"/>
      <c r="Y431" s="36"/>
      <c r="Z431" s="269"/>
      <c r="AA431" s="269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63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73"/>
      <c r="V432" s="272"/>
      <c r="W432" s="269"/>
      <c r="X432" s="269"/>
      <c r="Y432" s="36"/>
      <c r="Z432" s="269"/>
      <c r="AA432" s="269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63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73"/>
      <c r="V433" s="272"/>
      <c r="W433" s="269"/>
      <c r="X433" s="269"/>
      <c r="Y433" s="36"/>
      <c r="Z433" s="269"/>
      <c r="AA433" s="269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63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73"/>
      <c r="V434" s="272"/>
      <c r="W434" s="269"/>
      <c r="X434" s="272"/>
      <c r="Y434" s="36"/>
      <c r="Z434" s="269"/>
      <c r="AA434" s="269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70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72"/>
      <c r="V435" s="272"/>
      <c r="W435" s="269"/>
      <c r="X435" s="269"/>
      <c r="Y435" s="36"/>
      <c r="Z435" s="269"/>
      <c r="AA435" s="269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71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446" t="s">
        <v>24</v>
      </c>
      <c r="X451" s="447"/>
      <c r="Y451" s="434" t="s">
        <v>17</v>
      </c>
      <c r="Z451" s="443" t="s">
        <v>25</v>
      </c>
      <c r="AA451" s="444"/>
      <c r="AB451" s="17"/>
      <c r="AC451" s="20" t="s">
        <v>6</v>
      </c>
      <c r="AD451" s="21" t="s">
        <v>17</v>
      </c>
      <c r="AE451" s="22"/>
      <c r="AF451" s="441" t="s">
        <v>26</v>
      </c>
      <c r="AG451" s="442"/>
      <c r="AH451" s="23"/>
      <c r="AI451" s="20" t="s">
        <v>6</v>
      </c>
      <c r="AJ451" s="21" t="s">
        <v>17</v>
      </c>
      <c r="AK451" s="24"/>
      <c r="AL451" s="432" t="s">
        <v>27</v>
      </c>
      <c r="AM451" s="433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437" t="s">
        <v>27</v>
      </c>
      <c r="X452" s="438"/>
      <c r="Y452" s="435"/>
      <c r="Z452" s="439" t="s">
        <v>30</v>
      </c>
      <c r="AA452" s="440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435"/>
      <c r="Z453" s="439" t="s">
        <v>34</v>
      </c>
      <c r="AA453" s="440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436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63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75">
        <f>II2SA!$H$30</f>
        <v>40</v>
      </c>
      <c r="X455" s="263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63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75">
        <f t="shared" ref="W456:W470" si="57">W455-V455</f>
        <v>38</v>
      </c>
      <c r="X456" s="263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63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76">
        <f t="shared" si="57"/>
        <v>36</v>
      </c>
      <c r="X457" s="263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63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75">
        <f t="shared" si="57"/>
        <v>34</v>
      </c>
      <c r="X458" s="263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63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75">
        <f t="shared" si="57"/>
        <v>32</v>
      </c>
      <c r="X459" s="263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63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76">
        <f t="shared" si="57"/>
        <v>30</v>
      </c>
      <c r="X460" s="263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63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75">
        <f t="shared" si="57"/>
        <v>28</v>
      </c>
      <c r="X461" s="263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63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75">
        <f t="shared" si="57"/>
        <v>26</v>
      </c>
      <c r="X462" s="263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63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76">
        <f t="shared" si="57"/>
        <v>24</v>
      </c>
      <c r="X463" s="263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63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75">
        <f t="shared" si="57"/>
        <v>22</v>
      </c>
      <c r="X464" s="263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63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75">
        <f t="shared" si="57"/>
        <v>20</v>
      </c>
      <c r="X465" s="263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63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76">
        <f t="shared" si="57"/>
        <v>18</v>
      </c>
      <c r="X466" s="263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63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75">
        <f t="shared" si="57"/>
        <v>16</v>
      </c>
      <c r="X467" s="263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63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75">
        <f t="shared" si="57"/>
        <v>13</v>
      </c>
      <c r="X468" s="263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70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76">
        <f t="shared" si="57"/>
        <v>10.5</v>
      </c>
      <c r="X469" s="263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71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78">
        <f t="shared" si="57"/>
        <v>7.5</v>
      </c>
      <c r="X470" s="271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68">
        <f t="shared" ref="V473:V488" si="59">+X473</f>
        <v>0</v>
      </c>
      <c r="W473" s="268">
        <f>+W470</f>
        <v>7.5</v>
      </c>
      <c r="X473" s="268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68">
        <f t="shared" si="59"/>
        <v>8</v>
      </c>
      <c r="W474" s="268">
        <f>+W469</f>
        <v>10.5</v>
      </c>
      <c r="X474" s="268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68">
        <f t="shared" si="59"/>
        <v>11</v>
      </c>
      <c r="W475" s="268">
        <f>+W468</f>
        <v>13</v>
      </c>
      <c r="X475" s="268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68">
        <f t="shared" si="59"/>
        <v>13.5</v>
      </c>
      <c r="W476" s="268">
        <f>+W467</f>
        <v>16</v>
      </c>
      <c r="X476" s="268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68">
        <f t="shared" si="59"/>
        <v>16.5</v>
      </c>
      <c r="W477" s="268">
        <f>+W466</f>
        <v>18</v>
      </c>
      <c r="X477" s="268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68">
        <f t="shared" si="59"/>
        <v>18.5</v>
      </c>
      <c r="W478" s="268">
        <f>+W465</f>
        <v>20</v>
      </c>
      <c r="X478" s="268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68">
        <f t="shared" si="59"/>
        <v>20.5</v>
      </c>
      <c r="W479" s="268">
        <f>+W464</f>
        <v>22</v>
      </c>
      <c r="X479" s="268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68">
        <f t="shared" si="59"/>
        <v>22.5</v>
      </c>
      <c r="W480" s="268">
        <f>+W463</f>
        <v>24</v>
      </c>
      <c r="X480" s="268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68">
        <f t="shared" si="59"/>
        <v>24.5</v>
      </c>
      <c r="W481" s="268">
        <f>+W462</f>
        <v>26</v>
      </c>
      <c r="X481" s="268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68">
        <f t="shared" si="59"/>
        <v>26.5</v>
      </c>
      <c r="W482" s="268">
        <f>+W461</f>
        <v>28</v>
      </c>
      <c r="X482" s="268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68">
        <f t="shared" si="59"/>
        <v>28.5</v>
      </c>
      <c r="W483" s="268">
        <f>+W460</f>
        <v>30</v>
      </c>
      <c r="X483" s="268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68">
        <f t="shared" si="59"/>
        <v>30.5</v>
      </c>
      <c r="W484" s="268">
        <f>+W459</f>
        <v>32</v>
      </c>
      <c r="X484" s="268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68">
        <f t="shared" si="59"/>
        <v>32.5</v>
      </c>
      <c r="W485" s="268">
        <f>+W458</f>
        <v>34</v>
      </c>
      <c r="X485" s="268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68">
        <f t="shared" si="59"/>
        <v>34.5</v>
      </c>
      <c r="W486" s="268">
        <f>+W457</f>
        <v>36</v>
      </c>
      <c r="X486" s="268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68">
        <f t="shared" si="59"/>
        <v>36.5</v>
      </c>
      <c r="W487" s="268">
        <f>+W456</f>
        <v>38</v>
      </c>
      <c r="X487" s="268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68">
        <f t="shared" si="59"/>
        <v>38.5</v>
      </c>
      <c r="W488" s="268">
        <f>+W455</f>
        <v>40</v>
      </c>
      <c r="X488" s="268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69"/>
      <c r="V493" s="272"/>
      <c r="W493" s="448"/>
      <c r="X493" s="448"/>
      <c r="Y493" s="36"/>
      <c r="Z493" s="448"/>
      <c r="AA493" s="448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73"/>
      <c r="V494" s="272"/>
      <c r="W494" s="438"/>
      <c r="X494" s="438"/>
      <c r="Y494" s="36"/>
      <c r="Z494" s="448"/>
      <c r="AA494" s="448"/>
      <c r="AB494" s="17"/>
      <c r="AC494" s="20" t="s">
        <v>6</v>
      </c>
      <c r="AD494" s="21" t="s">
        <v>17</v>
      </c>
      <c r="AE494" s="22"/>
      <c r="AF494" s="441" t="s">
        <v>26</v>
      </c>
      <c r="AG494" s="442"/>
      <c r="AH494" s="23"/>
      <c r="AI494" s="20" t="s">
        <v>6</v>
      </c>
      <c r="AJ494" s="21" t="s">
        <v>17</v>
      </c>
      <c r="AK494" s="24"/>
      <c r="AL494" s="432" t="s">
        <v>27</v>
      </c>
      <c r="AM494" s="433"/>
      <c r="AN494" s="25" t="s">
        <v>28</v>
      </c>
    </row>
    <row r="495" spans="21:40" ht="12.75" customHeight="1" x14ac:dyDescent="0.2">
      <c r="U495" s="274"/>
      <c r="V495" s="272"/>
      <c r="W495" s="269"/>
      <c r="X495" s="269"/>
      <c r="Y495" s="36"/>
      <c r="Z495" s="448"/>
      <c r="AA495" s="448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72"/>
      <c r="W496" s="269"/>
      <c r="X496" s="269"/>
      <c r="Y496" s="36"/>
      <c r="Z496" s="269"/>
      <c r="AA496" s="269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73"/>
      <c r="V497" s="272"/>
      <c r="W497" s="50"/>
      <c r="X497" s="269"/>
      <c r="Y497" s="36"/>
      <c r="Z497" s="269"/>
      <c r="AA497" s="269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73"/>
      <c r="V498" s="272"/>
      <c r="W498" s="269"/>
      <c r="X498" s="269"/>
      <c r="Y498" s="36"/>
      <c r="Z498" s="269"/>
      <c r="AA498" s="269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62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73"/>
      <c r="V499" s="272"/>
      <c r="W499" s="269"/>
      <c r="X499" s="269"/>
      <c r="Y499" s="36"/>
      <c r="Z499" s="269"/>
      <c r="AA499" s="269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77">
        <f>ROUNDDOWN(II2SA!$H$30*AF499/500,1)*5</f>
        <v>35</v>
      </c>
      <c r="AM499" s="262">
        <f t="shared" si="62"/>
        <v>33</v>
      </c>
      <c r="AN499" s="44">
        <f t="shared" si="61"/>
        <v>2.5</v>
      </c>
    </row>
    <row r="500" spans="21:40" ht="12.75" customHeight="1" x14ac:dyDescent="0.2">
      <c r="U500" s="273"/>
      <c r="V500" s="272"/>
      <c r="W500" s="269"/>
      <c r="X500" s="269"/>
      <c r="Y500" s="36"/>
      <c r="Z500" s="269"/>
      <c r="AA500" s="269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77">
        <f>ROUNDDOWN(II2SA!$H$30*AF500/500,1)*5</f>
        <v>32.5</v>
      </c>
      <c r="AM500" s="262">
        <f t="shared" si="62"/>
        <v>30.5</v>
      </c>
      <c r="AN500" s="34">
        <f t="shared" si="61"/>
        <v>2.5</v>
      </c>
    </row>
    <row r="501" spans="21:40" ht="12.75" customHeight="1" x14ac:dyDescent="0.2">
      <c r="U501" s="273"/>
      <c r="V501" s="272"/>
      <c r="W501" s="269"/>
      <c r="X501" s="269"/>
      <c r="Y501" s="36"/>
      <c r="Z501" s="269"/>
      <c r="AA501" s="269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77">
        <f>ROUNDDOWN(II2SA!$H$30*AF501/500,1)*5</f>
        <v>30</v>
      </c>
      <c r="AM501" s="262">
        <f t="shared" si="62"/>
        <v>28.5</v>
      </c>
      <c r="AN501" s="34">
        <f t="shared" si="61"/>
        <v>2</v>
      </c>
    </row>
    <row r="502" spans="21:40" ht="12.75" customHeight="1" x14ac:dyDescent="0.2">
      <c r="U502" s="273"/>
      <c r="V502" s="272"/>
      <c r="W502" s="269"/>
      <c r="X502" s="269"/>
      <c r="Y502" s="36"/>
      <c r="Z502" s="269"/>
      <c r="AA502" s="269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77">
        <f>ROUNDDOWN(II2SA!$H$30*AF502/500,1)*5</f>
        <v>28</v>
      </c>
      <c r="AM502" s="262">
        <f t="shared" si="62"/>
        <v>26</v>
      </c>
      <c r="AN502" s="44">
        <f t="shared" si="61"/>
        <v>2.5</v>
      </c>
    </row>
    <row r="503" spans="21:40" ht="12.75" customHeight="1" x14ac:dyDescent="0.2">
      <c r="U503" s="273"/>
      <c r="V503" s="272"/>
      <c r="W503" s="269"/>
      <c r="X503" s="269"/>
      <c r="Y503" s="36"/>
      <c r="Z503" s="269"/>
      <c r="AA503" s="269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77">
        <f>ROUNDDOWN(II2SA!$H$30*AF503/500,1)*5</f>
        <v>25.5</v>
      </c>
      <c r="AM503" s="262">
        <f t="shared" si="62"/>
        <v>24.5</v>
      </c>
      <c r="AN503" s="34">
        <f t="shared" si="61"/>
        <v>1.5</v>
      </c>
    </row>
    <row r="504" spans="21:40" ht="12.75" customHeight="1" x14ac:dyDescent="0.2">
      <c r="U504" s="273"/>
      <c r="V504" s="272"/>
      <c r="W504" s="269"/>
      <c r="X504" s="269"/>
      <c r="Y504" s="36"/>
      <c r="Z504" s="269"/>
      <c r="AA504" s="269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77">
        <f>ROUNDDOWN(II2SA!$H$30*AF504/500,1)*5</f>
        <v>24</v>
      </c>
      <c r="AM504" s="262">
        <f t="shared" si="62"/>
        <v>22.5</v>
      </c>
      <c r="AN504" s="34">
        <f t="shared" si="61"/>
        <v>2</v>
      </c>
    </row>
    <row r="505" spans="21:40" ht="12.75" customHeight="1" x14ac:dyDescent="0.2">
      <c r="U505" s="273"/>
      <c r="V505" s="272"/>
      <c r="W505" s="269"/>
      <c r="X505" s="269"/>
      <c r="Y505" s="36"/>
      <c r="Z505" s="269"/>
      <c r="AA505" s="269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77">
        <f>ROUNDDOWN(II2SA!$H$30*AF505/500,1)*5</f>
        <v>22</v>
      </c>
      <c r="AM505" s="262">
        <f t="shared" si="62"/>
        <v>21</v>
      </c>
      <c r="AN505" s="44">
        <f t="shared" si="61"/>
        <v>1.5</v>
      </c>
    </row>
    <row r="506" spans="21:40" ht="12.75" customHeight="1" x14ac:dyDescent="0.2">
      <c r="U506" s="273"/>
      <c r="V506" s="272"/>
      <c r="W506" s="269"/>
      <c r="X506" s="269"/>
      <c r="Y506" s="36"/>
      <c r="Z506" s="269"/>
      <c r="AA506" s="269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77">
        <f>ROUNDDOWN(II2SA!$H$30*AF506/500,1)*5</f>
        <v>20.5</v>
      </c>
      <c r="AM506" s="262">
        <f t="shared" si="62"/>
        <v>19.5</v>
      </c>
      <c r="AN506" s="34">
        <f t="shared" si="61"/>
        <v>1.5</v>
      </c>
    </row>
    <row r="507" spans="21:40" ht="12.75" customHeight="1" x14ac:dyDescent="0.2">
      <c r="U507" s="273"/>
      <c r="V507" s="272"/>
      <c r="W507" s="269"/>
      <c r="X507" s="269"/>
      <c r="Y507" s="36"/>
      <c r="Z507" s="269"/>
      <c r="AA507" s="269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77">
        <f>ROUNDDOWN(II2SA!$H$30*AF507/500,1)*5</f>
        <v>19</v>
      </c>
      <c r="AM507" s="262">
        <f t="shared" si="62"/>
        <v>18</v>
      </c>
      <c r="AN507" s="34">
        <f t="shared" si="61"/>
        <v>1.5</v>
      </c>
    </row>
    <row r="508" spans="21:40" ht="12.75" customHeight="1" x14ac:dyDescent="0.2">
      <c r="U508" s="273"/>
      <c r="V508" s="272"/>
      <c r="W508" s="269"/>
      <c r="X508" s="269"/>
      <c r="Y508" s="36"/>
      <c r="Z508" s="269"/>
      <c r="AA508" s="269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77">
        <f>ROUNDDOWN(II2SA!$H$30*AF508/500,1)*5</f>
        <v>17.5</v>
      </c>
      <c r="AM508" s="262">
        <f t="shared" si="62"/>
        <v>16.5</v>
      </c>
      <c r="AN508" s="44">
        <f t="shared" si="61"/>
        <v>1.5</v>
      </c>
    </row>
    <row r="509" spans="21:40" ht="12.75" customHeight="1" x14ac:dyDescent="0.2">
      <c r="U509" s="273"/>
      <c r="V509" s="272"/>
      <c r="W509" s="269"/>
      <c r="X509" s="269"/>
      <c r="Y509" s="36"/>
      <c r="Z509" s="269"/>
      <c r="AA509" s="269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77">
        <f>ROUNDDOWN(II2SA!$H$30*AF509/500,1)*5</f>
        <v>16</v>
      </c>
      <c r="AM509" s="262">
        <f t="shared" si="62"/>
        <v>13.5</v>
      </c>
      <c r="AN509" s="34">
        <f t="shared" si="61"/>
        <v>3</v>
      </c>
    </row>
    <row r="510" spans="21:40" ht="12.75" customHeight="1" x14ac:dyDescent="0.2">
      <c r="U510" s="273"/>
      <c r="V510" s="272"/>
      <c r="W510" s="269"/>
      <c r="X510" s="269"/>
      <c r="Y510" s="36"/>
      <c r="Z510" s="269"/>
      <c r="AA510" s="269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77">
        <f>ROUNDDOWN(II2SA!$H$30*AF510/500,1)*5</f>
        <v>13</v>
      </c>
      <c r="AM510" s="262">
        <f t="shared" si="62"/>
        <v>11</v>
      </c>
      <c r="AN510" s="34">
        <f t="shared" si="61"/>
        <v>2.5</v>
      </c>
    </row>
    <row r="511" spans="21:40" ht="12.75" customHeight="1" x14ac:dyDescent="0.2">
      <c r="U511" s="273"/>
      <c r="V511" s="272"/>
      <c r="W511" s="269"/>
      <c r="X511" s="272"/>
      <c r="Y511" s="36"/>
      <c r="Z511" s="269"/>
      <c r="AA511" s="269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77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72"/>
      <c r="V512" s="272"/>
      <c r="W512" s="269"/>
      <c r="X512" s="269"/>
      <c r="Y512" s="36"/>
      <c r="Z512" s="269"/>
      <c r="AA512" s="269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446" t="s">
        <v>24</v>
      </c>
      <c r="X518" s="447"/>
      <c r="Y518" s="434" t="s">
        <v>17</v>
      </c>
      <c r="Z518" s="443" t="s">
        <v>25</v>
      </c>
      <c r="AA518" s="444"/>
      <c r="AB518" s="17"/>
      <c r="AC518" s="20" t="s">
        <v>6</v>
      </c>
      <c r="AD518" s="21" t="s">
        <v>17</v>
      </c>
      <c r="AE518" s="22"/>
      <c r="AF518" s="441" t="s">
        <v>26</v>
      </c>
      <c r="AG518" s="442"/>
      <c r="AH518" s="23"/>
      <c r="AI518" s="20" t="s">
        <v>6</v>
      </c>
      <c r="AJ518" s="21" t="s">
        <v>17</v>
      </c>
      <c r="AK518" s="24"/>
      <c r="AL518" s="432" t="s">
        <v>27</v>
      </c>
      <c r="AM518" s="433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437" t="s">
        <v>27</v>
      </c>
      <c r="X519" s="438"/>
      <c r="Y519" s="435"/>
      <c r="Z519" s="439" t="s">
        <v>30</v>
      </c>
      <c r="AA519" s="440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435"/>
      <c r="Z520" s="439" t="s">
        <v>34</v>
      </c>
      <c r="AA520" s="440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436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40</v>
      </c>
      <c r="AM521" s="263">
        <f>AL522+0.5</f>
        <v>38.5</v>
      </c>
      <c r="AN521" s="34">
        <f t="shared" ref="AN521:AN535" si="63">IF(AM521&gt;AL521,"ALARM",AL521-AL522)</f>
        <v>2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2</v>
      </c>
      <c r="W522" s="275">
        <f>II1Ext!$H$30</f>
        <v>40</v>
      </c>
      <c r="X522" s="263">
        <f>W523+0.5</f>
        <v>38.5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38</v>
      </c>
      <c r="AM522" s="263">
        <f t="shared" ref="AM522:AM534" si="65">AL523+0.5</f>
        <v>36.5</v>
      </c>
      <c r="AN522" s="34">
        <f t="shared" si="63"/>
        <v>2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2</v>
      </c>
      <c r="W523" s="275">
        <f t="shared" ref="W523:W537" si="66">W522-V522</f>
        <v>38</v>
      </c>
      <c r="X523" s="263">
        <f t="shared" ref="X523:X536" si="67">W524+0.5</f>
        <v>36.5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36</v>
      </c>
      <c r="AM523" s="263">
        <f t="shared" si="65"/>
        <v>34.5</v>
      </c>
      <c r="AN523" s="44">
        <f t="shared" si="63"/>
        <v>2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2</v>
      </c>
      <c r="W524" s="276">
        <f t="shared" si="66"/>
        <v>36</v>
      </c>
      <c r="X524" s="263">
        <f t="shared" si="67"/>
        <v>34.5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34</v>
      </c>
      <c r="AM524" s="263">
        <f t="shared" si="65"/>
        <v>32.5</v>
      </c>
      <c r="AN524" s="34">
        <f t="shared" si="63"/>
        <v>2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2</v>
      </c>
      <c r="W525" s="275">
        <f t="shared" si="66"/>
        <v>34</v>
      </c>
      <c r="X525" s="263">
        <f t="shared" si="67"/>
        <v>32.5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32</v>
      </c>
      <c r="AM525" s="263">
        <f t="shared" si="65"/>
        <v>30.5</v>
      </c>
      <c r="AN525" s="34">
        <f t="shared" si="63"/>
        <v>2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2</v>
      </c>
      <c r="W526" s="275">
        <f t="shared" si="66"/>
        <v>32</v>
      </c>
      <c r="X526" s="263">
        <f t="shared" si="67"/>
        <v>30.5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30</v>
      </c>
      <c r="AM526" s="263">
        <f t="shared" si="65"/>
        <v>28.5</v>
      </c>
      <c r="AN526" s="44">
        <f t="shared" si="63"/>
        <v>2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2</v>
      </c>
      <c r="W527" s="276">
        <f t="shared" si="66"/>
        <v>30</v>
      </c>
      <c r="X527" s="263">
        <f t="shared" si="67"/>
        <v>28.5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28</v>
      </c>
      <c r="AM527" s="263">
        <f t="shared" si="65"/>
        <v>26.5</v>
      </c>
      <c r="AN527" s="34">
        <f t="shared" si="63"/>
        <v>2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2</v>
      </c>
      <c r="W528" s="275">
        <f t="shared" si="66"/>
        <v>28</v>
      </c>
      <c r="X528" s="263">
        <f t="shared" si="67"/>
        <v>26.5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26</v>
      </c>
      <c r="AM528" s="263">
        <f t="shared" si="65"/>
        <v>24.5</v>
      </c>
      <c r="AN528" s="34">
        <f t="shared" si="63"/>
        <v>2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2</v>
      </c>
      <c r="W529" s="275">
        <f t="shared" si="66"/>
        <v>26</v>
      </c>
      <c r="X529" s="263">
        <f t="shared" si="67"/>
        <v>24.5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24</v>
      </c>
      <c r="AM529" s="263">
        <f t="shared" si="65"/>
        <v>22.5</v>
      </c>
      <c r="AN529" s="44">
        <f t="shared" si="63"/>
        <v>2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2</v>
      </c>
      <c r="W530" s="276">
        <f t="shared" si="66"/>
        <v>24</v>
      </c>
      <c r="X530" s="263">
        <f t="shared" si="67"/>
        <v>22.5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22</v>
      </c>
      <c r="AM530" s="263">
        <f t="shared" si="65"/>
        <v>20.5</v>
      </c>
      <c r="AN530" s="34">
        <f t="shared" si="63"/>
        <v>2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2</v>
      </c>
      <c r="W531" s="275">
        <f t="shared" si="66"/>
        <v>22</v>
      </c>
      <c r="X531" s="263">
        <f t="shared" si="67"/>
        <v>20.5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20</v>
      </c>
      <c r="AM531" s="263">
        <f t="shared" si="65"/>
        <v>18.5</v>
      </c>
      <c r="AN531" s="34">
        <f t="shared" si="63"/>
        <v>2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2</v>
      </c>
      <c r="W532" s="275">
        <f t="shared" si="66"/>
        <v>20</v>
      </c>
      <c r="X532" s="263">
        <f t="shared" si="67"/>
        <v>18.5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18</v>
      </c>
      <c r="AM532" s="263">
        <f t="shared" si="65"/>
        <v>16.5</v>
      </c>
      <c r="AN532" s="44">
        <f t="shared" si="63"/>
        <v>2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2</v>
      </c>
      <c r="W533" s="276">
        <f t="shared" si="66"/>
        <v>18</v>
      </c>
      <c r="X533" s="263">
        <f t="shared" si="67"/>
        <v>16.5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16</v>
      </c>
      <c r="AM533" s="263">
        <f t="shared" si="65"/>
        <v>13.5</v>
      </c>
      <c r="AN533" s="34">
        <f t="shared" si="63"/>
        <v>3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3</v>
      </c>
      <c r="W534" s="275">
        <f t="shared" si="66"/>
        <v>16</v>
      </c>
      <c r="X534" s="263">
        <f t="shared" si="67"/>
        <v>13.5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13</v>
      </c>
      <c r="AM534" s="263">
        <f t="shared" si="65"/>
        <v>11</v>
      </c>
      <c r="AN534" s="34">
        <f t="shared" si="63"/>
        <v>2.5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2.5</v>
      </c>
      <c r="W535" s="275">
        <f t="shared" si="66"/>
        <v>13</v>
      </c>
      <c r="X535" s="263">
        <f t="shared" si="67"/>
        <v>11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10.5</v>
      </c>
      <c r="AM535" s="270">
        <f>ROUNDUP(II1Ext!$H$30*(II1Ext!$H$34/500),1)*5</f>
        <v>8</v>
      </c>
      <c r="AN535" s="44">
        <f t="shared" si="63"/>
        <v>3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3</v>
      </c>
      <c r="W536" s="276">
        <f t="shared" si="66"/>
        <v>10.5</v>
      </c>
      <c r="X536" s="263">
        <f t="shared" si="67"/>
        <v>8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7.5</v>
      </c>
      <c r="AM536" s="271">
        <v>0</v>
      </c>
      <c r="AN536" s="65">
        <f>IF(AM536&gt;AM535,"ALARM",AL536)</f>
        <v>7.5</v>
      </c>
    </row>
    <row r="537" spans="21:40" ht="12.75" customHeight="1" thickBot="1" x14ac:dyDescent="0.25">
      <c r="U537" s="14" t="s">
        <v>36</v>
      </c>
      <c r="V537" s="81">
        <f>IF(II1Ext!$H$32="M",+W537,W579)</f>
        <v>7.5</v>
      </c>
      <c r="W537" s="278">
        <f t="shared" si="66"/>
        <v>7.5</v>
      </c>
      <c r="X537" s="271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68">
        <f t="shared" ref="V540:V555" si="68">+X540</f>
        <v>0</v>
      </c>
      <c r="W540" s="268">
        <f>+W537</f>
        <v>7.5</v>
      </c>
      <c r="X540" s="268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68">
        <f t="shared" si="68"/>
        <v>8</v>
      </c>
      <c r="W541" s="268">
        <f>+W536</f>
        <v>10.5</v>
      </c>
      <c r="X541" s="268">
        <f>+X536</f>
        <v>8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68">
        <f t="shared" si="68"/>
        <v>11</v>
      </c>
      <c r="W542" s="268">
        <f>+W535</f>
        <v>13</v>
      </c>
      <c r="X542" s="268">
        <f>+X535</f>
        <v>11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68">
        <f t="shared" si="68"/>
        <v>13.5</v>
      </c>
      <c r="W543" s="268">
        <f>+W534</f>
        <v>16</v>
      </c>
      <c r="X543" s="268">
        <f>+X534</f>
        <v>13.5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68">
        <f t="shared" si="68"/>
        <v>16.5</v>
      </c>
      <c r="W544" s="268">
        <f>+W533</f>
        <v>18</v>
      </c>
      <c r="X544" s="268">
        <f>+X533</f>
        <v>16.5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68">
        <f t="shared" si="68"/>
        <v>18.5</v>
      </c>
      <c r="W545" s="268">
        <f>+W532</f>
        <v>20</v>
      </c>
      <c r="X545" s="268">
        <f>+X532</f>
        <v>18.5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68">
        <f t="shared" si="68"/>
        <v>20.5</v>
      </c>
      <c r="W546" s="268">
        <f>+W531</f>
        <v>22</v>
      </c>
      <c r="X546" s="268">
        <f>+X531</f>
        <v>20.5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68">
        <f t="shared" si="68"/>
        <v>22.5</v>
      </c>
      <c r="W547" s="268">
        <f>+W530</f>
        <v>24</v>
      </c>
      <c r="X547" s="268">
        <f>+X530</f>
        <v>22.5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68">
        <f t="shared" si="68"/>
        <v>24.5</v>
      </c>
      <c r="W548" s="268">
        <f>+W529</f>
        <v>26</v>
      </c>
      <c r="X548" s="268">
        <f>+X529</f>
        <v>24.5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68">
        <f t="shared" si="68"/>
        <v>26.5</v>
      </c>
      <c r="W549" s="268">
        <f>+W528</f>
        <v>28</v>
      </c>
      <c r="X549" s="268">
        <f>+X528</f>
        <v>26.5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68">
        <f t="shared" si="68"/>
        <v>28.5</v>
      </c>
      <c r="W550" s="268">
        <f>+W527</f>
        <v>30</v>
      </c>
      <c r="X550" s="268">
        <f>+X527</f>
        <v>28.5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68">
        <f t="shared" si="68"/>
        <v>30.5</v>
      </c>
      <c r="W551" s="268">
        <f>+W526</f>
        <v>32</v>
      </c>
      <c r="X551" s="268">
        <f>+X526</f>
        <v>30.5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68">
        <f t="shared" si="68"/>
        <v>32.5</v>
      </c>
      <c r="W552" s="268">
        <f>+W525</f>
        <v>34</v>
      </c>
      <c r="X552" s="268">
        <f>+X525</f>
        <v>32.5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68">
        <f t="shared" si="68"/>
        <v>34.5</v>
      </c>
      <c r="W553" s="268">
        <f>+W524</f>
        <v>36</v>
      </c>
      <c r="X553" s="268">
        <f>+X524</f>
        <v>34.5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68">
        <f t="shared" si="68"/>
        <v>36.5</v>
      </c>
      <c r="W554" s="268">
        <f>+W523</f>
        <v>38</v>
      </c>
      <c r="X554" s="268">
        <f>+X523</f>
        <v>36.5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68">
        <f t="shared" si="68"/>
        <v>38.5</v>
      </c>
      <c r="W555" s="268">
        <f>+W522</f>
        <v>40</v>
      </c>
      <c r="X555" s="268">
        <f>+X522</f>
        <v>38.5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69"/>
      <c r="V560" s="272"/>
      <c r="W560" s="448"/>
      <c r="X560" s="448"/>
      <c r="Y560" s="36"/>
      <c r="Z560" s="448"/>
      <c r="AA560" s="448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73"/>
      <c r="V561" s="272"/>
      <c r="W561" s="438"/>
      <c r="X561" s="438"/>
      <c r="Y561" s="36"/>
      <c r="Z561" s="448"/>
      <c r="AA561" s="448"/>
      <c r="AB561" s="17"/>
      <c r="AC561" s="20" t="s">
        <v>6</v>
      </c>
      <c r="AD561" s="21" t="s">
        <v>17</v>
      </c>
      <c r="AE561" s="22"/>
      <c r="AF561" s="441" t="s">
        <v>26</v>
      </c>
      <c r="AG561" s="442"/>
      <c r="AH561" s="23"/>
      <c r="AI561" s="20" t="s">
        <v>6</v>
      </c>
      <c r="AJ561" s="21" t="s">
        <v>17</v>
      </c>
      <c r="AK561" s="24"/>
      <c r="AL561" s="432" t="s">
        <v>27</v>
      </c>
      <c r="AM561" s="433"/>
      <c r="AN561" s="25" t="s">
        <v>28</v>
      </c>
    </row>
    <row r="562" spans="21:40" ht="12.75" customHeight="1" x14ac:dyDescent="0.2">
      <c r="U562" s="274"/>
      <c r="V562" s="272"/>
      <c r="W562" s="269"/>
      <c r="X562" s="269"/>
      <c r="Y562" s="36"/>
      <c r="Z562" s="448"/>
      <c r="AA562" s="448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72"/>
      <c r="W563" s="269"/>
      <c r="X563" s="269"/>
      <c r="Y563" s="36"/>
      <c r="Z563" s="269"/>
      <c r="AA563" s="269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73"/>
      <c r="V564" s="272"/>
      <c r="W564" s="50"/>
      <c r="X564" s="269"/>
      <c r="Y564" s="36"/>
      <c r="Z564" s="269"/>
      <c r="AA564" s="269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40</v>
      </c>
      <c r="AM564" s="33">
        <f>AL565+0.5</f>
        <v>38</v>
      </c>
      <c r="AN564" s="34">
        <f t="shared" ref="AN564:AN578" si="70">IF(AM564&gt;AL564,"ALARM",AL564-AL565)</f>
        <v>2.5</v>
      </c>
    </row>
    <row r="565" spans="21:40" ht="12.75" customHeight="1" x14ac:dyDescent="0.2">
      <c r="U565" s="273"/>
      <c r="V565" s="272"/>
      <c r="W565" s="269"/>
      <c r="X565" s="269"/>
      <c r="Y565" s="36"/>
      <c r="Z565" s="269"/>
      <c r="AA565" s="269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37.5</v>
      </c>
      <c r="AM565" s="262">
        <f t="shared" ref="AM565:AM577" si="71">AL566+0.5</f>
        <v>35.5</v>
      </c>
      <c r="AN565" s="34">
        <f t="shared" si="70"/>
        <v>2.5</v>
      </c>
    </row>
    <row r="566" spans="21:40" ht="12.75" customHeight="1" x14ac:dyDescent="0.2">
      <c r="U566" s="273"/>
      <c r="V566" s="272"/>
      <c r="W566" s="269"/>
      <c r="X566" s="269"/>
      <c r="Y566" s="36"/>
      <c r="Z566" s="269"/>
      <c r="AA566" s="269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77">
        <f>ROUNDDOWN(II1Ext!$H$30*AF566/500,1)*5</f>
        <v>35</v>
      </c>
      <c r="AM566" s="262">
        <f t="shared" si="71"/>
        <v>33</v>
      </c>
      <c r="AN566" s="44">
        <f t="shared" si="70"/>
        <v>2.5</v>
      </c>
    </row>
    <row r="567" spans="21:40" ht="12.75" customHeight="1" x14ac:dyDescent="0.2">
      <c r="U567" s="273"/>
      <c r="V567" s="272"/>
      <c r="W567" s="269"/>
      <c r="X567" s="269"/>
      <c r="Y567" s="36"/>
      <c r="Z567" s="269"/>
      <c r="AA567" s="269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77">
        <f>ROUNDDOWN(II1Ext!$H$30*AF567/500,1)*5</f>
        <v>32.5</v>
      </c>
      <c r="AM567" s="262">
        <f t="shared" si="71"/>
        <v>30.5</v>
      </c>
      <c r="AN567" s="34">
        <f t="shared" si="70"/>
        <v>2.5</v>
      </c>
    </row>
    <row r="568" spans="21:40" ht="12.75" customHeight="1" x14ac:dyDescent="0.2">
      <c r="U568" s="273"/>
      <c r="V568" s="272"/>
      <c r="W568" s="269"/>
      <c r="X568" s="269"/>
      <c r="Y568" s="36"/>
      <c r="Z568" s="269"/>
      <c r="AA568" s="269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77">
        <f>ROUNDDOWN(II1Ext!$H$30*AF568/500,1)*5</f>
        <v>30</v>
      </c>
      <c r="AM568" s="262">
        <f t="shared" si="71"/>
        <v>28.5</v>
      </c>
      <c r="AN568" s="34">
        <f t="shared" si="70"/>
        <v>2</v>
      </c>
    </row>
    <row r="569" spans="21:40" ht="12.75" customHeight="1" x14ac:dyDescent="0.2">
      <c r="U569" s="273"/>
      <c r="V569" s="272"/>
      <c r="W569" s="269"/>
      <c r="X569" s="269"/>
      <c r="Y569" s="36"/>
      <c r="Z569" s="269"/>
      <c r="AA569" s="269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77">
        <f>ROUNDDOWN(II1Ext!$H$30*AF569/500,1)*5</f>
        <v>28</v>
      </c>
      <c r="AM569" s="262">
        <f t="shared" si="71"/>
        <v>26</v>
      </c>
      <c r="AN569" s="44">
        <f t="shared" si="70"/>
        <v>2.5</v>
      </c>
    </row>
    <row r="570" spans="21:40" ht="12.75" customHeight="1" x14ac:dyDescent="0.2">
      <c r="U570" s="273"/>
      <c r="V570" s="272"/>
      <c r="W570" s="269"/>
      <c r="X570" s="269"/>
      <c r="Y570" s="36"/>
      <c r="Z570" s="269"/>
      <c r="AA570" s="269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77">
        <f>ROUNDDOWN(II1Ext!$H$30*AF570/500,1)*5</f>
        <v>25.5</v>
      </c>
      <c r="AM570" s="262">
        <f t="shared" si="71"/>
        <v>24.5</v>
      </c>
      <c r="AN570" s="34">
        <f t="shared" si="70"/>
        <v>1.5</v>
      </c>
    </row>
    <row r="571" spans="21:40" ht="12.75" customHeight="1" x14ac:dyDescent="0.2">
      <c r="U571" s="273"/>
      <c r="V571" s="272"/>
      <c r="W571" s="269"/>
      <c r="X571" s="269"/>
      <c r="Y571" s="36"/>
      <c r="Z571" s="269"/>
      <c r="AA571" s="269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77">
        <f>ROUNDDOWN(II1Ext!$H$30*AF571/500,1)*5</f>
        <v>24</v>
      </c>
      <c r="AM571" s="262">
        <f t="shared" si="71"/>
        <v>22.5</v>
      </c>
      <c r="AN571" s="34">
        <f t="shared" si="70"/>
        <v>2</v>
      </c>
    </row>
    <row r="572" spans="21:40" ht="12.75" customHeight="1" x14ac:dyDescent="0.2">
      <c r="U572" s="273"/>
      <c r="V572" s="272"/>
      <c r="W572" s="269"/>
      <c r="X572" s="269"/>
      <c r="Y572" s="36"/>
      <c r="Z572" s="269"/>
      <c r="AA572" s="269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77">
        <f>ROUNDDOWN(II1Ext!$H$30*AF572/500,1)*5</f>
        <v>22</v>
      </c>
      <c r="AM572" s="262">
        <f t="shared" si="71"/>
        <v>21</v>
      </c>
      <c r="AN572" s="44">
        <f t="shared" si="70"/>
        <v>1.5</v>
      </c>
    </row>
    <row r="573" spans="21:40" ht="12.75" customHeight="1" x14ac:dyDescent="0.2">
      <c r="U573" s="273"/>
      <c r="V573" s="272"/>
      <c r="W573" s="269"/>
      <c r="X573" s="269"/>
      <c r="Y573" s="36"/>
      <c r="Z573" s="269"/>
      <c r="AA573" s="269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77">
        <f>ROUNDDOWN(II1Ext!$H$30*AF573/500,1)*5</f>
        <v>20.5</v>
      </c>
      <c r="AM573" s="262">
        <f t="shared" si="71"/>
        <v>19.5</v>
      </c>
      <c r="AN573" s="34">
        <f t="shared" si="70"/>
        <v>1.5</v>
      </c>
    </row>
    <row r="574" spans="21:40" ht="12.75" customHeight="1" x14ac:dyDescent="0.2">
      <c r="U574" s="273"/>
      <c r="V574" s="272"/>
      <c r="W574" s="269"/>
      <c r="X574" s="269"/>
      <c r="Y574" s="36"/>
      <c r="Z574" s="269"/>
      <c r="AA574" s="269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77">
        <f>ROUNDDOWN(II1Ext!$H$30*AF574/500,1)*5</f>
        <v>19</v>
      </c>
      <c r="AM574" s="262">
        <f t="shared" si="71"/>
        <v>18</v>
      </c>
      <c r="AN574" s="34">
        <f t="shared" si="70"/>
        <v>1.5</v>
      </c>
    </row>
    <row r="575" spans="21:40" ht="12.75" customHeight="1" x14ac:dyDescent="0.2">
      <c r="U575" s="273"/>
      <c r="V575" s="272"/>
      <c r="W575" s="269"/>
      <c r="X575" s="269"/>
      <c r="Y575" s="36"/>
      <c r="Z575" s="269"/>
      <c r="AA575" s="269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77">
        <f>ROUNDDOWN(II1Ext!$H$30*AF575/500,1)*5</f>
        <v>17.5</v>
      </c>
      <c r="AM575" s="262">
        <f t="shared" si="71"/>
        <v>16.5</v>
      </c>
      <c r="AN575" s="44">
        <f t="shared" si="70"/>
        <v>1.5</v>
      </c>
    </row>
    <row r="576" spans="21:40" ht="12.75" customHeight="1" x14ac:dyDescent="0.2">
      <c r="U576" s="273"/>
      <c r="V576" s="272"/>
      <c r="W576" s="269"/>
      <c r="X576" s="269"/>
      <c r="Y576" s="36"/>
      <c r="Z576" s="269"/>
      <c r="AA576" s="269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77">
        <f>ROUNDDOWN(II1Ext!$H$30*AF576/500,1)*5</f>
        <v>16</v>
      </c>
      <c r="AM576" s="262">
        <f t="shared" si="71"/>
        <v>13.5</v>
      </c>
      <c r="AN576" s="34">
        <f t="shared" si="70"/>
        <v>3</v>
      </c>
    </row>
    <row r="577" spans="21:40" ht="12.75" customHeight="1" x14ac:dyDescent="0.2">
      <c r="U577" s="273"/>
      <c r="V577" s="272"/>
      <c r="W577" s="269"/>
      <c r="X577" s="269"/>
      <c r="Y577" s="36"/>
      <c r="Z577" s="269"/>
      <c r="AA577" s="269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77">
        <f>ROUNDDOWN(II1Ext!$H$30*AF577/500,1)*5</f>
        <v>13</v>
      </c>
      <c r="AM577" s="262">
        <f t="shared" si="71"/>
        <v>11</v>
      </c>
      <c r="AN577" s="34">
        <f t="shared" si="70"/>
        <v>2.5</v>
      </c>
    </row>
    <row r="578" spans="21:40" ht="12.75" customHeight="1" x14ac:dyDescent="0.2">
      <c r="U578" s="273"/>
      <c r="V578" s="272"/>
      <c r="W578" s="269"/>
      <c r="X578" s="272"/>
      <c r="Y578" s="36"/>
      <c r="Z578" s="269"/>
      <c r="AA578" s="269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77">
        <f>ROUNDDOWN(II1Ext!$H$30*AF578/500,1)*5</f>
        <v>10.5</v>
      </c>
      <c r="AM578" s="43">
        <f>ROUNDUP(II1Ext!$H$30*(II1Ext!$H$34/500),1)*5</f>
        <v>8</v>
      </c>
      <c r="AN578" s="44">
        <f t="shared" si="70"/>
        <v>3</v>
      </c>
    </row>
    <row r="579" spans="21:40" ht="12.75" customHeight="1" thickBot="1" x14ac:dyDescent="0.25">
      <c r="U579" s="272"/>
      <c r="V579" s="272"/>
      <c r="W579" s="269"/>
      <c r="X579" s="269"/>
      <c r="Y579" s="36"/>
      <c r="Z579" s="269"/>
      <c r="AA579" s="269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7.5</v>
      </c>
      <c r="AM579" s="64">
        <v>0</v>
      </c>
      <c r="AN579" s="65">
        <f>IF(AM579&gt;AM578,"ALARM",AL579)</f>
        <v>7.5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446" t="s">
        <v>24</v>
      </c>
      <c r="X618" s="447"/>
      <c r="Y618" s="434" t="s">
        <v>17</v>
      </c>
      <c r="Z618" s="443" t="s">
        <v>25</v>
      </c>
      <c r="AA618" s="444"/>
      <c r="AB618" s="17"/>
      <c r="AC618" s="20" t="s">
        <v>6</v>
      </c>
      <c r="AD618" s="21" t="s">
        <v>17</v>
      </c>
      <c r="AE618" s="22"/>
      <c r="AF618" s="441" t="s">
        <v>26</v>
      </c>
      <c r="AG618" s="442"/>
      <c r="AH618" s="23"/>
      <c r="AI618" s="20" t="s">
        <v>6</v>
      </c>
      <c r="AJ618" s="21" t="s">
        <v>17</v>
      </c>
      <c r="AK618" s="24"/>
      <c r="AL618" s="432" t="s">
        <v>27</v>
      </c>
      <c r="AM618" s="433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437" t="s">
        <v>27</v>
      </c>
      <c r="X619" s="438"/>
      <c r="Y619" s="435"/>
      <c r="Z619" s="439" t="s">
        <v>30</v>
      </c>
      <c r="AA619" s="440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435"/>
      <c r="Z620" s="439" t="s">
        <v>34</v>
      </c>
      <c r="AA620" s="440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436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40</v>
      </c>
      <c r="AM621" s="33">
        <f>AL622+0.5</f>
        <v>38.5</v>
      </c>
      <c r="AN621" s="34">
        <f t="shared" ref="AN621:AN635" si="72">IF(AM621&gt;AL621,"ALARM",AL621-AL622)</f>
        <v>2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2</v>
      </c>
      <c r="W622" s="275">
        <f>II2Ext!$H$30</f>
        <v>40</v>
      </c>
      <c r="X622" s="263">
        <f>W623+0.5</f>
        <v>38.5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38</v>
      </c>
      <c r="AM622" s="262">
        <f t="shared" ref="AM622:AM634" si="74">AL623+0.5</f>
        <v>36.5</v>
      </c>
      <c r="AN622" s="34">
        <f t="shared" si="72"/>
        <v>2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2</v>
      </c>
      <c r="W623" s="275">
        <f t="shared" ref="W623:W637" si="75">W622-V622</f>
        <v>38</v>
      </c>
      <c r="X623" s="263">
        <f t="shared" ref="X623:X636" si="76">W624+0.5</f>
        <v>36.5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77">
        <f>ROUNDDOWN(II2Ext!$H$30*AF624/500,1)*5</f>
        <v>36</v>
      </c>
      <c r="AM623" s="262">
        <f t="shared" si="74"/>
        <v>34.5</v>
      </c>
      <c r="AN623" s="44">
        <f t="shared" si="72"/>
        <v>2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2</v>
      </c>
      <c r="W624" s="276">
        <f t="shared" si="75"/>
        <v>36</v>
      </c>
      <c r="X624" s="263">
        <f t="shared" si="76"/>
        <v>34.5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77">
        <f>ROUNDDOWN(II2Ext!$H$30*AF625/500,1)*5</f>
        <v>34</v>
      </c>
      <c r="AM624" s="262">
        <f t="shared" si="74"/>
        <v>32.5</v>
      </c>
      <c r="AN624" s="34">
        <f t="shared" si="72"/>
        <v>2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2</v>
      </c>
      <c r="W625" s="275">
        <f t="shared" si="75"/>
        <v>34</v>
      </c>
      <c r="X625" s="263">
        <f t="shared" si="76"/>
        <v>32.5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77">
        <f>ROUNDDOWN(II2Ext!$H$30*AF626/500,1)*5</f>
        <v>32</v>
      </c>
      <c r="AM625" s="262">
        <f t="shared" si="74"/>
        <v>30.5</v>
      </c>
      <c r="AN625" s="34">
        <f t="shared" si="72"/>
        <v>2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2</v>
      </c>
      <c r="W626" s="275">
        <f t="shared" si="75"/>
        <v>32</v>
      </c>
      <c r="X626" s="263">
        <f t="shared" si="76"/>
        <v>30.5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77">
        <f>ROUNDDOWN(II2Ext!$H$30*AF627/500,1)*5</f>
        <v>30</v>
      </c>
      <c r="AM626" s="262">
        <f t="shared" si="74"/>
        <v>28.5</v>
      </c>
      <c r="AN626" s="44">
        <f t="shared" si="72"/>
        <v>2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2</v>
      </c>
      <c r="W627" s="276">
        <f t="shared" si="75"/>
        <v>30</v>
      </c>
      <c r="X627" s="263">
        <f t="shared" si="76"/>
        <v>28.5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77">
        <f>ROUNDDOWN(II2Ext!$H$30*AF628/500,1)*5</f>
        <v>28</v>
      </c>
      <c r="AM627" s="262">
        <f t="shared" si="74"/>
        <v>26.5</v>
      </c>
      <c r="AN627" s="34">
        <f t="shared" si="72"/>
        <v>2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2</v>
      </c>
      <c r="W628" s="275">
        <f t="shared" si="75"/>
        <v>28</v>
      </c>
      <c r="X628" s="263">
        <f t="shared" si="76"/>
        <v>26.5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77">
        <f>ROUNDDOWN(II2Ext!$H$30*AF629/500,1)*5</f>
        <v>26</v>
      </c>
      <c r="AM628" s="262">
        <f t="shared" si="74"/>
        <v>24.5</v>
      </c>
      <c r="AN628" s="34">
        <f t="shared" si="72"/>
        <v>2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2</v>
      </c>
      <c r="W629" s="275">
        <f t="shared" si="75"/>
        <v>26</v>
      </c>
      <c r="X629" s="263">
        <f t="shared" si="76"/>
        <v>24.5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77">
        <f>ROUNDDOWN(II2Ext!$H$30*AF630/500,1)*5</f>
        <v>24</v>
      </c>
      <c r="AM629" s="262">
        <f t="shared" si="74"/>
        <v>22.5</v>
      </c>
      <c r="AN629" s="44">
        <f t="shared" si="72"/>
        <v>2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2</v>
      </c>
      <c r="W630" s="276">
        <f t="shared" si="75"/>
        <v>24</v>
      </c>
      <c r="X630" s="263">
        <f t="shared" si="76"/>
        <v>22.5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77">
        <f>ROUNDDOWN(II2Ext!$H$30*AF631/500,1)*5</f>
        <v>22</v>
      </c>
      <c r="AM630" s="262">
        <f t="shared" si="74"/>
        <v>20.5</v>
      </c>
      <c r="AN630" s="34">
        <f t="shared" si="72"/>
        <v>2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2</v>
      </c>
      <c r="W631" s="275">
        <f t="shared" si="75"/>
        <v>22</v>
      </c>
      <c r="X631" s="263">
        <f t="shared" si="76"/>
        <v>20.5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77">
        <f>ROUNDDOWN(II2Ext!$H$30*AF632/500,1)*5</f>
        <v>20</v>
      </c>
      <c r="AM631" s="262">
        <f t="shared" si="74"/>
        <v>18.5</v>
      </c>
      <c r="AN631" s="34">
        <f t="shared" si="72"/>
        <v>2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2</v>
      </c>
      <c r="W632" s="275">
        <f t="shared" si="75"/>
        <v>20</v>
      </c>
      <c r="X632" s="263">
        <f t="shared" si="76"/>
        <v>18.5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77">
        <f>ROUNDDOWN(II2Ext!$H$30*AF633/500,1)*5</f>
        <v>18</v>
      </c>
      <c r="AM632" s="262">
        <f t="shared" si="74"/>
        <v>16.5</v>
      </c>
      <c r="AN632" s="44">
        <f t="shared" si="72"/>
        <v>2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2</v>
      </c>
      <c r="W633" s="276">
        <f t="shared" si="75"/>
        <v>18</v>
      </c>
      <c r="X633" s="263">
        <f t="shared" si="76"/>
        <v>16.5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77">
        <f>ROUNDDOWN(II2Ext!$H$30*AF634/500,1)*5</f>
        <v>16</v>
      </c>
      <c r="AM633" s="262">
        <f t="shared" si="74"/>
        <v>13.5</v>
      </c>
      <c r="AN633" s="34">
        <f t="shared" si="72"/>
        <v>3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3</v>
      </c>
      <c r="W634" s="275">
        <f t="shared" si="75"/>
        <v>16</v>
      </c>
      <c r="X634" s="263">
        <f t="shared" si="76"/>
        <v>13.5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77">
        <f>ROUNDDOWN(II2Ext!$H$30*AF635/500,1)*5</f>
        <v>13</v>
      </c>
      <c r="AM634" s="262">
        <f t="shared" si="74"/>
        <v>11</v>
      </c>
      <c r="AN634" s="34">
        <f t="shared" si="72"/>
        <v>2.5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2.5</v>
      </c>
      <c r="W635" s="275">
        <f t="shared" si="75"/>
        <v>13</v>
      </c>
      <c r="X635" s="263">
        <f t="shared" si="76"/>
        <v>11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77">
        <f>ROUNDDOWN(II2Ext!$H$30*AF636/500,1)*5</f>
        <v>10.5</v>
      </c>
      <c r="AM635" s="43">
        <f>ROUNDUP(II2Ext!$H$30*(II2Ext!$H$34/500),1)*5</f>
        <v>8</v>
      </c>
      <c r="AN635" s="44">
        <f t="shared" si="72"/>
        <v>3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3</v>
      </c>
      <c r="W636" s="276">
        <f t="shared" si="75"/>
        <v>10.5</v>
      </c>
      <c r="X636" s="263">
        <f t="shared" si="76"/>
        <v>8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7.5</v>
      </c>
      <c r="AM636" s="64">
        <v>0</v>
      </c>
      <c r="AN636" s="65">
        <f>IF(AM636&gt;AM635,"ALARM",AL636)</f>
        <v>7.5</v>
      </c>
    </row>
    <row r="637" spans="21:40" ht="12.75" customHeight="1" thickBot="1" x14ac:dyDescent="0.25">
      <c r="U637" s="14" t="s">
        <v>36</v>
      </c>
      <c r="V637" s="81">
        <f>IF(II2Ext!$H$32="M",+W637,W679)</f>
        <v>7.5</v>
      </c>
      <c r="W637" s="278">
        <f t="shared" si="75"/>
        <v>7.5</v>
      </c>
      <c r="X637" s="271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68">
        <f t="shared" ref="V640:V655" si="77">+X640</f>
        <v>0</v>
      </c>
      <c r="W640" s="268">
        <f>+W637</f>
        <v>7.5</v>
      </c>
      <c r="X640" s="268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68">
        <f t="shared" si="77"/>
        <v>8</v>
      </c>
      <c r="W641" s="268">
        <f>+W636</f>
        <v>10.5</v>
      </c>
      <c r="X641" s="268">
        <f>+X636</f>
        <v>8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68">
        <f t="shared" si="77"/>
        <v>11</v>
      </c>
      <c r="W642" s="268">
        <f>+W635</f>
        <v>13</v>
      </c>
      <c r="X642" s="268">
        <f>+X635</f>
        <v>11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68">
        <f t="shared" si="77"/>
        <v>13.5</v>
      </c>
      <c r="W643" s="268">
        <f>+W634</f>
        <v>16</v>
      </c>
      <c r="X643" s="268">
        <f>+X634</f>
        <v>13.5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68">
        <f t="shared" si="77"/>
        <v>16.5</v>
      </c>
      <c r="W644" s="268">
        <f>+W633</f>
        <v>18</v>
      </c>
      <c r="X644" s="268">
        <f>+X633</f>
        <v>16.5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68">
        <f t="shared" si="77"/>
        <v>18.5</v>
      </c>
      <c r="W645" s="268">
        <f>+W632</f>
        <v>20</v>
      </c>
      <c r="X645" s="268">
        <f>+X632</f>
        <v>18.5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68">
        <f t="shared" si="77"/>
        <v>20.5</v>
      </c>
      <c r="W646" s="268">
        <f>+W631</f>
        <v>22</v>
      </c>
      <c r="X646" s="268">
        <f>+X631</f>
        <v>20.5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68">
        <f t="shared" si="77"/>
        <v>22.5</v>
      </c>
      <c r="W647" s="268">
        <f>+W630</f>
        <v>24</v>
      </c>
      <c r="X647" s="268">
        <f>+X630</f>
        <v>22.5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68">
        <f t="shared" si="77"/>
        <v>24.5</v>
      </c>
      <c r="W648" s="268">
        <f>+W629</f>
        <v>26</v>
      </c>
      <c r="X648" s="268">
        <f>+X629</f>
        <v>24.5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68">
        <f t="shared" si="77"/>
        <v>26.5</v>
      </c>
      <c r="W649" s="268">
        <f>+W628</f>
        <v>28</v>
      </c>
      <c r="X649" s="268">
        <f>+X628</f>
        <v>26.5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68">
        <f t="shared" si="77"/>
        <v>28.5</v>
      </c>
      <c r="W650" s="268">
        <f>+W627</f>
        <v>30</v>
      </c>
      <c r="X650" s="268">
        <f>+X627</f>
        <v>28.5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68">
        <f t="shared" si="77"/>
        <v>30.5</v>
      </c>
      <c r="W651" s="268">
        <f>+W626</f>
        <v>32</v>
      </c>
      <c r="X651" s="268">
        <f>+X626</f>
        <v>30.5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68">
        <f t="shared" si="77"/>
        <v>32.5</v>
      </c>
      <c r="W652" s="268">
        <f>+W625</f>
        <v>34</v>
      </c>
      <c r="X652" s="268">
        <f>+X625</f>
        <v>32.5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68">
        <f t="shared" si="77"/>
        <v>34.5</v>
      </c>
      <c r="W653" s="268">
        <f>+W624</f>
        <v>36</v>
      </c>
      <c r="X653" s="268">
        <f>+X624</f>
        <v>34.5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68">
        <f t="shared" si="77"/>
        <v>36.5</v>
      </c>
      <c r="W654" s="268">
        <f>+W623</f>
        <v>38</v>
      </c>
      <c r="X654" s="268">
        <f>+X623</f>
        <v>36.5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68">
        <f t="shared" si="77"/>
        <v>38.5</v>
      </c>
      <c r="W655" s="268">
        <f>+W622</f>
        <v>40</v>
      </c>
      <c r="X655" s="268">
        <f>+X622</f>
        <v>38.5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69"/>
      <c r="V660" s="272"/>
      <c r="W660" s="448"/>
      <c r="X660" s="448"/>
      <c r="Y660" s="36"/>
      <c r="Z660" s="448"/>
      <c r="AA660" s="448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73"/>
      <c r="V661" s="272"/>
      <c r="W661" s="438"/>
      <c r="X661" s="438"/>
      <c r="Y661" s="36"/>
      <c r="Z661" s="448"/>
      <c r="AA661" s="448"/>
      <c r="AB661" s="17"/>
      <c r="AC661" s="20" t="s">
        <v>6</v>
      </c>
      <c r="AD661" s="21" t="s">
        <v>17</v>
      </c>
      <c r="AE661" s="22"/>
      <c r="AF661" s="441" t="s">
        <v>26</v>
      </c>
      <c r="AG661" s="442"/>
      <c r="AH661" s="23"/>
      <c r="AI661" s="20" t="s">
        <v>6</v>
      </c>
      <c r="AJ661" s="21" t="s">
        <v>17</v>
      </c>
      <c r="AK661" s="24"/>
      <c r="AL661" s="432" t="s">
        <v>27</v>
      </c>
      <c r="AM661" s="433"/>
      <c r="AN661" s="25" t="s">
        <v>28</v>
      </c>
    </row>
    <row r="662" spans="21:40" ht="12.75" customHeight="1" x14ac:dyDescent="0.2">
      <c r="U662" s="274"/>
      <c r="V662" s="272"/>
      <c r="W662" s="269"/>
      <c r="X662" s="269"/>
      <c r="Y662" s="36"/>
      <c r="Z662" s="448"/>
      <c r="AA662" s="448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72"/>
      <c r="W663" s="269"/>
      <c r="X663" s="269"/>
      <c r="Y663" s="36"/>
      <c r="Z663" s="269"/>
      <c r="AA663" s="269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73"/>
      <c r="V664" s="272"/>
      <c r="W664" s="50"/>
      <c r="X664" s="269"/>
      <c r="Y664" s="36"/>
      <c r="Z664" s="269"/>
      <c r="AA664" s="269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40</v>
      </c>
      <c r="AM664" s="263">
        <f>AL665+0.5</f>
        <v>38</v>
      </c>
      <c r="AN664" s="34">
        <f t="shared" ref="AN664:AN678" si="79">IF(AM664&gt;AL664,"ALARM",AL664-AL665)</f>
        <v>2.5</v>
      </c>
    </row>
    <row r="665" spans="21:40" ht="12.75" customHeight="1" x14ac:dyDescent="0.2">
      <c r="U665" s="273"/>
      <c r="V665" s="272"/>
      <c r="W665" s="269"/>
      <c r="X665" s="269"/>
      <c r="Y665" s="36"/>
      <c r="Z665" s="269"/>
      <c r="AA665" s="269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37.5</v>
      </c>
      <c r="AM665" s="263">
        <f t="shared" ref="AM665:AM677" si="80">AL666+0.5</f>
        <v>35.5</v>
      </c>
      <c r="AN665" s="34">
        <f t="shared" si="79"/>
        <v>2.5</v>
      </c>
    </row>
    <row r="666" spans="21:40" ht="12.75" customHeight="1" x14ac:dyDescent="0.2">
      <c r="U666" s="273"/>
      <c r="V666" s="272"/>
      <c r="W666" s="269"/>
      <c r="X666" s="269"/>
      <c r="Y666" s="36"/>
      <c r="Z666" s="269"/>
      <c r="AA666" s="269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35</v>
      </c>
      <c r="AM666" s="263">
        <f t="shared" si="80"/>
        <v>33</v>
      </c>
      <c r="AN666" s="44">
        <f t="shared" si="79"/>
        <v>2.5</v>
      </c>
    </row>
    <row r="667" spans="21:40" ht="12.75" customHeight="1" x14ac:dyDescent="0.2">
      <c r="U667" s="273"/>
      <c r="V667" s="272"/>
      <c r="W667" s="269"/>
      <c r="X667" s="269"/>
      <c r="Y667" s="36"/>
      <c r="Z667" s="269"/>
      <c r="AA667" s="269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32.5</v>
      </c>
      <c r="AM667" s="263">
        <f t="shared" si="80"/>
        <v>30.5</v>
      </c>
      <c r="AN667" s="34">
        <f t="shared" si="79"/>
        <v>2.5</v>
      </c>
    </row>
    <row r="668" spans="21:40" ht="12.75" customHeight="1" x14ac:dyDescent="0.2">
      <c r="U668" s="273"/>
      <c r="V668" s="272"/>
      <c r="W668" s="269"/>
      <c r="X668" s="269"/>
      <c r="Y668" s="36"/>
      <c r="Z668" s="269"/>
      <c r="AA668" s="269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30</v>
      </c>
      <c r="AM668" s="263">
        <f t="shared" si="80"/>
        <v>28.5</v>
      </c>
      <c r="AN668" s="34">
        <f t="shared" si="79"/>
        <v>2</v>
      </c>
    </row>
    <row r="669" spans="21:40" ht="12.75" customHeight="1" x14ac:dyDescent="0.2">
      <c r="U669" s="273"/>
      <c r="V669" s="272"/>
      <c r="W669" s="269"/>
      <c r="X669" s="269"/>
      <c r="Y669" s="36"/>
      <c r="Z669" s="269"/>
      <c r="AA669" s="269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28</v>
      </c>
      <c r="AM669" s="263">
        <f t="shared" si="80"/>
        <v>26</v>
      </c>
      <c r="AN669" s="44">
        <f t="shared" si="79"/>
        <v>2.5</v>
      </c>
    </row>
    <row r="670" spans="21:40" ht="12.75" customHeight="1" x14ac:dyDescent="0.2">
      <c r="U670" s="273"/>
      <c r="V670" s="272"/>
      <c r="W670" s="269"/>
      <c r="X670" s="269"/>
      <c r="Y670" s="36"/>
      <c r="Z670" s="269"/>
      <c r="AA670" s="269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25.5</v>
      </c>
      <c r="AM670" s="263">
        <f t="shared" si="80"/>
        <v>24.5</v>
      </c>
      <c r="AN670" s="34">
        <f t="shared" si="79"/>
        <v>1.5</v>
      </c>
    </row>
    <row r="671" spans="21:40" ht="12.75" customHeight="1" x14ac:dyDescent="0.2">
      <c r="U671" s="273"/>
      <c r="V671" s="272"/>
      <c r="W671" s="269"/>
      <c r="X671" s="269"/>
      <c r="Y671" s="36"/>
      <c r="Z671" s="269"/>
      <c r="AA671" s="269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24</v>
      </c>
      <c r="AM671" s="263">
        <f t="shared" si="80"/>
        <v>22.5</v>
      </c>
      <c r="AN671" s="34">
        <f t="shared" si="79"/>
        <v>2</v>
      </c>
    </row>
    <row r="672" spans="21:40" ht="12.75" customHeight="1" x14ac:dyDescent="0.2">
      <c r="U672" s="273"/>
      <c r="V672" s="272"/>
      <c r="W672" s="269"/>
      <c r="X672" s="269"/>
      <c r="Y672" s="36"/>
      <c r="Z672" s="269"/>
      <c r="AA672" s="269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22</v>
      </c>
      <c r="AM672" s="263">
        <f t="shared" si="80"/>
        <v>21</v>
      </c>
      <c r="AN672" s="44">
        <f t="shared" si="79"/>
        <v>1.5</v>
      </c>
    </row>
    <row r="673" spans="21:40" ht="12.75" customHeight="1" x14ac:dyDescent="0.2">
      <c r="U673" s="273"/>
      <c r="V673" s="272"/>
      <c r="W673" s="269"/>
      <c r="X673" s="269"/>
      <c r="Y673" s="36"/>
      <c r="Z673" s="269"/>
      <c r="AA673" s="269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20.5</v>
      </c>
      <c r="AM673" s="263">
        <f t="shared" si="80"/>
        <v>19.5</v>
      </c>
      <c r="AN673" s="34">
        <f t="shared" si="79"/>
        <v>1.5</v>
      </c>
    </row>
    <row r="674" spans="21:40" ht="12.75" customHeight="1" x14ac:dyDescent="0.2">
      <c r="U674" s="273"/>
      <c r="V674" s="272"/>
      <c r="W674" s="269"/>
      <c r="X674" s="269"/>
      <c r="Y674" s="36"/>
      <c r="Z674" s="269"/>
      <c r="AA674" s="269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19</v>
      </c>
      <c r="AM674" s="263">
        <f t="shared" si="80"/>
        <v>18</v>
      </c>
      <c r="AN674" s="34">
        <f t="shared" si="79"/>
        <v>1.5</v>
      </c>
    </row>
    <row r="675" spans="21:40" ht="12.75" customHeight="1" x14ac:dyDescent="0.2">
      <c r="U675" s="273"/>
      <c r="V675" s="272"/>
      <c r="W675" s="269"/>
      <c r="X675" s="269"/>
      <c r="Y675" s="36"/>
      <c r="Z675" s="269"/>
      <c r="AA675" s="269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17.5</v>
      </c>
      <c r="AM675" s="263">
        <f t="shared" si="80"/>
        <v>16.5</v>
      </c>
      <c r="AN675" s="44">
        <f t="shared" si="79"/>
        <v>1.5</v>
      </c>
    </row>
    <row r="676" spans="21:40" ht="12.75" customHeight="1" x14ac:dyDescent="0.2">
      <c r="U676" s="273"/>
      <c r="V676" s="272"/>
      <c r="W676" s="269"/>
      <c r="X676" s="269"/>
      <c r="Y676" s="36"/>
      <c r="Z676" s="269"/>
      <c r="AA676" s="269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16</v>
      </c>
      <c r="AM676" s="263">
        <f t="shared" si="80"/>
        <v>13.5</v>
      </c>
      <c r="AN676" s="34">
        <f t="shared" si="79"/>
        <v>3</v>
      </c>
    </row>
    <row r="677" spans="21:40" ht="12.75" customHeight="1" x14ac:dyDescent="0.2">
      <c r="U677" s="273"/>
      <c r="V677" s="272"/>
      <c r="W677" s="269"/>
      <c r="X677" s="269"/>
      <c r="Y677" s="36"/>
      <c r="Z677" s="269"/>
      <c r="AA677" s="269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13</v>
      </c>
      <c r="AM677" s="263">
        <f t="shared" si="80"/>
        <v>11</v>
      </c>
      <c r="AN677" s="34">
        <f t="shared" si="79"/>
        <v>2.5</v>
      </c>
    </row>
    <row r="678" spans="21:40" ht="12.75" customHeight="1" x14ac:dyDescent="0.2">
      <c r="U678" s="273"/>
      <c r="V678" s="272"/>
      <c r="W678" s="269"/>
      <c r="X678" s="272"/>
      <c r="Y678" s="36"/>
      <c r="Z678" s="269"/>
      <c r="AA678" s="269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10.5</v>
      </c>
      <c r="AM678" s="270">
        <f>ROUNDUP(II2Ext!$H$30*(II2Ext!$H$34/500),1)*5</f>
        <v>8</v>
      </c>
      <c r="AN678" s="44">
        <f t="shared" si="79"/>
        <v>3</v>
      </c>
    </row>
    <row r="679" spans="21:40" ht="12.75" customHeight="1" thickBot="1" x14ac:dyDescent="0.25">
      <c r="U679" s="272"/>
      <c r="V679" s="272"/>
      <c r="W679" s="269"/>
      <c r="X679" s="269"/>
      <c r="Y679" s="36"/>
      <c r="Z679" s="269"/>
      <c r="AA679" s="269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7.5</v>
      </c>
      <c r="AM679" s="271">
        <v>0</v>
      </c>
      <c r="AN679" s="65">
        <f>IF(AM679&gt;AM678,"ALARM",AL679)</f>
        <v>7.5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446" t="s">
        <v>24</v>
      </c>
      <c r="X718" s="447"/>
      <c r="Y718" s="434" t="s">
        <v>17</v>
      </c>
      <c r="Z718" s="443" t="s">
        <v>25</v>
      </c>
      <c r="AA718" s="444"/>
      <c r="AB718" s="17"/>
      <c r="AC718" s="20" t="s">
        <v>6</v>
      </c>
      <c r="AD718" s="21" t="s">
        <v>17</v>
      </c>
      <c r="AE718" s="22"/>
      <c r="AF718" s="441" t="s">
        <v>26</v>
      </c>
      <c r="AG718" s="442"/>
      <c r="AH718" s="23"/>
      <c r="AI718" s="20" t="s">
        <v>6</v>
      </c>
      <c r="AJ718" s="21" t="s">
        <v>17</v>
      </c>
      <c r="AK718" s="24"/>
      <c r="AL718" s="432" t="s">
        <v>27</v>
      </c>
      <c r="AM718" s="433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437" t="s">
        <v>27</v>
      </c>
      <c r="X719" s="438"/>
      <c r="Y719" s="435"/>
      <c r="Z719" s="439" t="s">
        <v>30</v>
      </c>
      <c r="AA719" s="440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435"/>
      <c r="Z720" s="439" t="s">
        <v>34</v>
      </c>
      <c r="AA720" s="440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436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40</v>
      </c>
      <c r="AM721" s="33">
        <f>AL722+0.5</f>
        <v>38.5</v>
      </c>
      <c r="AN721" s="34">
        <f t="shared" ref="AN721:AN735" si="81">IF(AM721&gt;AL721,"ALARM",AL721-AL722)</f>
        <v>2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2</v>
      </c>
      <c r="W722" s="51">
        <f>II3Ext!$H$30</f>
        <v>40</v>
      </c>
      <c r="X722" s="33">
        <f>W723+0.5</f>
        <v>38.5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38</v>
      </c>
      <c r="AM722" s="262">
        <f t="shared" ref="AM722:AM734" si="83">AL723+0.5</f>
        <v>36.5</v>
      </c>
      <c r="AN722" s="34">
        <f t="shared" si="81"/>
        <v>2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2</v>
      </c>
      <c r="W723" s="27">
        <f t="shared" ref="W723:W737" si="84">W722-V722</f>
        <v>38</v>
      </c>
      <c r="X723" s="262">
        <f t="shared" ref="X723:X736" si="85">W724+0.5</f>
        <v>36.5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77">
        <f>ROUNDDOWN(II3Ext!$H$30*AF724/500,1)*5</f>
        <v>36</v>
      </c>
      <c r="AM723" s="262">
        <f t="shared" si="83"/>
        <v>34.5</v>
      </c>
      <c r="AN723" s="44">
        <f t="shared" si="81"/>
        <v>2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2</v>
      </c>
      <c r="W724" s="46">
        <f t="shared" si="84"/>
        <v>36</v>
      </c>
      <c r="X724" s="262">
        <f t="shared" si="85"/>
        <v>34.5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77">
        <f>ROUNDDOWN(II3Ext!$H$30*AF725/500,1)*5</f>
        <v>34</v>
      </c>
      <c r="AM724" s="262">
        <f t="shared" si="83"/>
        <v>32.5</v>
      </c>
      <c r="AN724" s="34">
        <f t="shared" si="81"/>
        <v>2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2</v>
      </c>
      <c r="W725" s="27">
        <f t="shared" si="84"/>
        <v>34</v>
      </c>
      <c r="X725" s="262">
        <f t="shared" si="85"/>
        <v>32.5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77">
        <f>ROUNDDOWN(II3Ext!$H$30*AF726/500,1)*5</f>
        <v>32</v>
      </c>
      <c r="AM725" s="262">
        <f t="shared" si="83"/>
        <v>30.5</v>
      </c>
      <c r="AN725" s="34">
        <f t="shared" si="81"/>
        <v>2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2</v>
      </c>
      <c r="W726" s="27">
        <f t="shared" si="84"/>
        <v>32</v>
      </c>
      <c r="X726" s="262">
        <f t="shared" si="85"/>
        <v>30.5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77">
        <f>ROUNDDOWN(II3Ext!$H$30*AF727/500,1)*5</f>
        <v>30</v>
      </c>
      <c r="AM726" s="262">
        <f t="shared" si="83"/>
        <v>28.5</v>
      </c>
      <c r="AN726" s="44">
        <f t="shared" si="81"/>
        <v>2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2</v>
      </c>
      <c r="W727" s="46">
        <f t="shared" si="84"/>
        <v>30</v>
      </c>
      <c r="X727" s="262">
        <f t="shared" si="85"/>
        <v>28.5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77">
        <f>ROUNDDOWN(II3Ext!$H$30*AF728/500,1)*5</f>
        <v>28</v>
      </c>
      <c r="AM727" s="262">
        <f t="shared" si="83"/>
        <v>26.5</v>
      </c>
      <c r="AN727" s="34">
        <f t="shared" si="81"/>
        <v>2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2</v>
      </c>
      <c r="W728" s="27">
        <f t="shared" si="84"/>
        <v>28</v>
      </c>
      <c r="X728" s="262">
        <f t="shared" si="85"/>
        <v>26.5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77">
        <f>ROUNDDOWN(II3Ext!$H$30*AF729/500,1)*5</f>
        <v>26</v>
      </c>
      <c r="AM728" s="262">
        <f t="shared" si="83"/>
        <v>24.5</v>
      </c>
      <c r="AN728" s="34">
        <f t="shared" si="81"/>
        <v>2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2</v>
      </c>
      <c r="W729" s="27">
        <f t="shared" si="84"/>
        <v>26</v>
      </c>
      <c r="X729" s="262">
        <f t="shared" si="85"/>
        <v>24.5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77">
        <f>ROUNDDOWN(II3Ext!$H$30*AF730/500,1)*5</f>
        <v>24</v>
      </c>
      <c r="AM729" s="262">
        <f t="shared" si="83"/>
        <v>22.5</v>
      </c>
      <c r="AN729" s="44">
        <f t="shared" si="81"/>
        <v>2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2</v>
      </c>
      <c r="W730" s="46">
        <f t="shared" si="84"/>
        <v>24</v>
      </c>
      <c r="X730" s="262">
        <f t="shared" si="85"/>
        <v>22.5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77">
        <f>ROUNDDOWN(II3Ext!$H$30*AF731/500,1)*5</f>
        <v>22</v>
      </c>
      <c r="AM730" s="262">
        <f t="shared" si="83"/>
        <v>20.5</v>
      </c>
      <c r="AN730" s="34">
        <f t="shared" si="81"/>
        <v>2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2</v>
      </c>
      <c r="W731" s="27">
        <f t="shared" si="84"/>
        <v>22</v>
      </c>
      <c r="X731" s="262">
        <f t="shared" si="85"/>
        <v>20.5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77">
        <f>ROUNDDOWN(II3Ext!$H$30*AF732/500,1)*5</f>
        <v>20</v>
      </c>
      <c r="AM731" s="262">
        <f t="shared" si="83"/>
        <v>18.5</v>
      </c>
      <c r="AN731" s="34">
        <f t="shared" si="81"/>
        <v>2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2</v>
      </c>
      <c r="W732" s="27">
        <f t="shared" si="84"/>
        <v>20</v>
      </c>
      <c r="X732" s="262">
        <f t="shared" si="85"/>
        <v>18.5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77">
        <f>ROUNDDOWN(II3Ext!$H$30*AF733/500,1)*5</f>
        <v>18</v>
      </c>
      <c r="AM732" s="262">
        <f t="shared" si="83"/>
        <v>16.5</v>
      </c>
      <c r="AN732" s="44">
        <f t="shared" si="81"/>
        <v>2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2</v>
      </c>
      <c r="W733" s="46">
        <f t="shared" si="84"/>
        <v>18</v>
      </c>
      <c r="X733" s="262">
        <f t="shared" si="85"/>
        <v>16.5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77">
        <f>ROUNDDOWN(II3Ext!$H$30*AF734/500,1)*5</f>
        <v>16</v>
      </c>
      <c r="AM733" s="262">
        <f t="shared" si="83"/>
        <v>13.5</v>
      </c>
      <c r="AN733" s="34">
        <f t="shared" si="81"/>
        <v>3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3</v>
      </c>
      <c r="W734" s="27">
        <f t="shared" si="84"/>
        <v>16</v>
      </c>
      <c r="X734" s="262">
        <f t="shared" si="85"/>
        <v>13.5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77">
        <f>ROUNDDOWN(II3Ext!$H$30*AF735/500,1)*5</f>
        <v>13</v>
      </c>
      <c r="AM734" s="262">
        <f t="shared" si="83"/>
        <v>11</v>
      </c>
      <c r="AN734" s="34">
        <f t="shared" si="81"/>
        <v>2.5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2.5</v>
      </c>
      <c r="W735" s="27">
        <f t="shared" si="84"/>
        <v>13</v>
      </c>
      <c r="X735" s="262">
        <f t="shared" si="85"/>
        <v>11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77">
        <f>ROUNDDOWN(II3Ext!$H$30*AF736/500,1)*5</f>
        <v>10.5</v>
      </c>
      <c r="AM735" s="43">
        <f>ROUNDUP(II3Ext!$H$30*(II3Ext!$H$34/500),1)*5</f>
        <v>8</v>
      </c>
      <c r="AN735" s="44">
        <f t="shared" si="81"/>
        <v>3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3</v>
      </c>
      <c r="W736" s="46">
        <f t="shared" si="84"/>
        <v>10.5</v>
      </c>
      <c r="X736" s="262">
        <f t="shared" si="85"/>
        <v>8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7.5</v>
      </c>
      <c r="AM736" s="64">
        <v>0</v>
      </c>
      <c r="AN736" s="65">
        <f>IF(AM736&gt;AM735,"ALARM",AL736)</f>
        <v>7.5</v>
      </c>
    </row>
    <row r="737" spans="21:40" ht="12.75" customHeight="1" thickBot="1" x14ac:dyDescent="0.25">
      <c r="U737" s="14" t="s">
        <v>36</v>
      </c>
      <c r="V737" s="81">
        <f>IF(II3Ext!$H$32="M",+W737,W779)</f>
        <v>7.5</v>
      </c>
      <c r="W737" s="66">
        <f t="shared" si="84"/>
        <v>7.5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68">
        <f t="shared" ref="V740:V755" si="86">+X740</f>
        <v>0</v>
      </c>
      <c r="W740" s="268">
        <f>+W737</f>
        <v>7.5</v>
      </c>
      <c r="X740" s="268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68">
        <f t="shared" si="86"/>
        <v>8</v>
      </c>
      <c r="W741" s="268">
        <f>+W736</f>
        <v>10.5</v>
      </c>
      <c r="X741" s="268">
        <f>+X736</f>
        <v>8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68">
        <f t="shared" si="86"/>
        <v>11</v>
      </c>
      <c r="W742" s="268">
        <f>+W735</f>
        <v>13</v>
      </c>
      <c r="X742" s="268">
        <f>+X735</f>
        <v>11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68">
        <f t="shared" si="86"/>
        <v>13.5</v>
      </c>
      <c r="W743" s="268">
        <f>+W734</f>
        <v>16</v>
      </c>
      <c r="X743" s="268">
        <f>+X734</f>
        <v>13.5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68">
        <f t="shared" si="86"/>
        <v>16.5</v>
      </c>
      <c r="W744" s="268">
        <f>+W733</f>
        <v>18</v>
      </c>
      <c r="X744" s="268">
        <f>+X733</f>
        <v>16.5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68">
        <f t="shared" si="86"/>
        <v>18.5</v>
      </c>
      <c r="W745" s="268">
        <f>+W732</f>
        <v>20</v>
      </c>
      <c r="X745" s="268">
        <f>+X732</f>
        <v>18.5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68">
        <f t="shared" si="86"/>
        <v>20.5</v>
      </c>
      <c r="W746" s="268">
        <f>+W731</f>
        <v>22</v>
      </c>
      <c r="X746" s="268">
        <f>+X731</f>
        <v>20.5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68">
        <f t="shared" si="86"/>
        <v>22.5</v>
      </c>
      <c r="W747" s="268">
        <f>+W730</f>
        <v>24</v>
      </c>
      <c r="X747" s="268">
        <f>+X730</f>
        <v>22.5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68">
        <f t="shared" si="86"/>
        <v>24.5</v>
      </c>
      <c r="W748" s="268">
        <f>+W729</f>
        <v>26</v>
      </c>
      <c r="X748" s="268">
        <f>+X729</f>
        <v>24.5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68">
        <f t="shared" si="86"/>
        <v>26.5</v>
      </c>
      <c r="W749" s="268">
        <f>+W728</f>
        <v>28</v>
      </c>
      <c r="X749" s="268">
        <f>+X728</f>
        <v>26.5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68">
        <f t="shared" si="86"/>
        <v>28.5</v>
      </c>
      <c r="W750" s="268">
        <f>+W727</f>
        <v>30</v>
      </c>
      <c r="X750" s="268">
        <f>+X727</f>
        <v>28.5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68">
        <f t="shared" si="86"/>
        <v>30.5</v>
      </c>
      <c r="W751" s="268">
        <f>+W726</f>
        <v>32</v>
      </c>
      <c r="X751" s="268">
        <f>+X726</f>
        <v>30.5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68">
        <f t="shared" si="86"/>
        <v>32.5</v>
      </c>
      <c r="W752" s="268">
        <f>+W725</f>
        <v>34</v>
      </c>
      <c r="X752" s="268">
        <f>+X725</f>
        <v>32.5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68">
        <f t="shared" si="86"/>
        <v>34.5</v>
      </c>
      <c r="W753" s="268">
        <f>+W724</f>
        <v>36</v>
      </c>
      <c r="X753" s="268">
        <f>+X724</f>
        <v>34.5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68">
        <f t="shared" si="86"/>
        <v>36.5</v>
      </c>
      <c r="W754" s="268">
        <f>+W723</f>
        <v>38</v>
      </c>
      <c r="X754" s="268">
        <f>+X723</f>
        <v>36.5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68">
        <f t="shared" si="86"/>
        <v>38.5</v>
      </c>
      <c r="W755" s="268">
        <f>+W722</f>
        <v>40</v>
      </c>
      <c r="X755" s="268">
        <f>+X722</f>
        <v>38.5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69"/>
      <c r="V760" s="272"/>
      <c r="W760" s="448"/>
      <c r="X760" s="448"/>
      <c r="Y760" s="36"/>
      <c r="Z760" s="448"/>
      <c r="AA760" s="448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73"/>
      <c r="V761" s="272"/>
      <c r="W761" s="438"/>
      <c r="X761" s="438"/>
      <c r="Y761" s="36"/>
      <c r="Z761" s="448"/>
      <c r="AA761" s="448"/>
      <c r="AB761" s="17"/>
      <c r="AC761" s="20" t="s">
        <v>6</v>
      </c>
      <c r="AD761" s="21" t="s">
        <v>17</v>
      </c>
      <c r="AE761" s="22"/>
      <c r="AF761" s="441" t="s">
        <v>26</v>
      </c>
      <c r="AG761" s="442"/>
      <c r="AH761" s="23"/>
      <c r="AI761" s="20" t="s">
        <v>6</v>
      </c>
      <c r="AJ761" s="21" t="s">
        <v>17</v>
      </c>
      <c r="AK761" s="24"/>
      <c r="AL761" s="432" t="s">
        <v>27</v>
      </c>
      <c r="AM761" s="433"/>
      <c r="AN761" s="25" t="s">
        <v>28</v>
      </c>
    </row>
    <row r="762" spans="21:40" ht="12.75" customHeight="1" x14ac:dyDescent="0.2">
      <c r="U762" s="274"/>
      <c r="V762" s="272"/>
      <c r="W762" s="269"/>
      <c r="X762" s="269"/>
      <c r="Y762" s="36"/>
      <c r="Z762" s="448"/>
      <c r="AA762" s="448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72"/>
      <c r="W763" s="269"/>
      <c r="X763" s="269"/>
      <c r="Y763" s="36"/>
      <c r="Z763" s="269"/>
      <c r="AA763" s="269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73"/>
      <c r="V764" s="272"/>
      <c r="W764" s="50"/>
      <c r="X764" s="269"/>
      <c r="Y764" s="36"/>
      <c r="Z764" s="269"/>
      <c r="AA764" s="269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40</v>
      </c>
      <c r="AM764" s="33">
        <f>AL765+0.5</f>
        <v>38</v>
      </c>
      <c r="AN764" s="34">
        <f t="shared" ref="AN764:AN778" si="88">IF(AM764&gt;AL764,"ALARM",AL764-AL765)</f>
        <v>2.5</v>
      </c>
    </row>
    <row r="765" spans="21:40" ht="12.75" customHeight="1" x14ac:dyDescent="0.2">
      <c r="U765" s="273"/>
      <c r="V765" s="272"/>
      <c r="W765" s="269"/>
      <c r="X765" s="269"/>
      <c r="Y765" s="36"/>
      <c r="Z765" s="269"/>
      <c r="AA765" s="269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37.5</v>
      </c>
      <c r="AM765" s="262">
        <f t="shared" ref="AM765:AM777" si="89">AL766+0.5</f>
        <v>35.5</v>
      </c>
      <c r="AN765" s="34">
        <f t="shared" si="88"/>
        <v>2.5</v>
      </c>
    </row>
    <row r="766" spans="21:40" ht="12.75" customHeight="1" x14ac:dyDescent="0.2">
      <c r="U766" s="273"/>
      <c r="V766" s="272"/>
      <c r="W766" s="269"/>
      <c r="X766" s="269"/>
      <c r="Y766" s="36"/>
      <c r="Z766" s="269"/>
      <c r="AA766" s="269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77">
        <f>ROUNDDOWN(II3Ext!$H$30*AF766/500,1)*5</f>
        <v>35</v>
      </c>
      <c r="AM766" s="262">
        <f t="shared" si="89"/>
        <v>33</v>
      </c>
      <c r="AN766" s="44">
        <f t="shared" si="88"/>
        <v>2.5</v>
      </c>
    </row>
    <row r="767" spans="21:40" ht="12.75" customHeight="1" x14ac:dyDescent="0.2">
      <c r="U767" s="273"/>
      <c r="V767" s="272"/>
      <c r="W767" s="269"/>
      <c r="X767" s="269"/>
      <c r="Y767" s="36"/>
      <c r="Z767" s="269"/>
      <c r="AA767" s="269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77">
        <f>ROUNDDOWN(II3Ext!$H$30*AF767/500,1)*5</f>
        <v>32.5</v>
      </c>
      <c r="AM767" s="262">
        <f t="shared" si="89"/>
        <v>30.5</v>
      </c>
      <c r="AN767" s="34">
        <f t="shared" si="88"/>
        <v>2.5</v>
      </c>
    </row>
    <row r="768" spans="21:40" ht="12.75" customHeight="1" x14ac:dyDescent="0.2">
      <c r="U768" s="273"/>
      <c r="V768" s="272"/>
      <c r="W768" s="269"/>
      <c r="X768" s="269"/>
      <c r="Y768" s="36"/>
      <c r="Z768" s="269"/>
      <c r="AA768" s="269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77">
        <f>ROUNDDOWN(II3Ext!$H$30*AF768/500,1)*5</f>
        <v>30</v>
      </c>
      <c r="AM768" s="262">
        <f t="shared" si="89"/>
        <v>28.5</v>
      </c>
      <c r="AN768" s="34">
        <f t="shared" si="88"/>
        <v>2</v>
      </c>
    </row>
    <row r="769" spans="21:40" ht="12.75" customHeight="1" x14ac:dyDescent="0.2">
      <c r="U769" s="273"/>
      <c r="V769" s="272"/>
      <c r="W769" s="269"/>
      <c r="X769" s="269"/>
      <c r="Y769" s="36"/>
      <c r="Z769" s="269"/>
      <c r="AA769" s="269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77">
        <f>ROUNDDOWN(II3Ext!$H$30*AF769/500,1)*5</f>
        <v>28</v>
      </c>
      <c r="AM769" s="262">
        <f t="shared" si="89"/>
        <v>26</v>
      </c>
      <c r="AN769" s="44">
        <f t="shared" si="88"/>
        <v>2.5</v>
      </c>
    </row>
    <row r="770" spans="21:40" ht="12.75" customHeight="1" x14ac:dyDescent="0.2">
      <c r="U770" s="273"/>
      <c r="V770" s="272"/>
      <c r="W770" s="269"/>
      <c r="X770" s="269"/>
      <c r="Y770" s="36"/>
      <c r="Z770" s="269"/>
      <c r="AA770" s="269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77">
        <f>ROUNDDOWN(II3Ext!$H$30*AF770/500,1)*5</f>
        <v>25.5</v>
      </c>
      <c r="AM770" s="262">
        <f t="shared" si="89"/>
        <v>24.5</v>
      </c>
      <c r="AN770" s="34">
        <f t="shared" si="88"/>
        <v>1.5</v>
      </c>
    </row>
    <row r="771" spans="21:40" ht="12.75" customHeight="1" x14ac:dyDescent="0.2">
      <c r="U771" s="273"/>
      <c r="V771" s="272"/>
      <c r="W771" s="269"/>
      <c r="X771" s="269"/>
      <c r="Y771" s="36"/>
      <c r="Z771" s="269"/>
      <c r="AA771" s="269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77">
        <f>ROUNDDOWN(II3Ext!$H$30*AF771/500,1)*5</f>
        <v>24</v>
      </c>
      <c r="AM771" s="262">
        <f t="shared" si="89"/>
        <v>22.5</v>
      </c>
      <c r="AN771" s="34">
        <f t="shared" si="88"/>
        <v>2</v>
      </c>
    </row>
    <row r="772" spans="21:40" ht="12.75" customHeight="1" x14ac:dyDescent="0.2">
      <c r="U772" s="273"/>
      <c r="V772" s="272"/>
      <c r="W772" s="269"/>
      <c r="X772" s="269"/>
      <c r="Y772" s="36"/>
      <c r="Z772" s="269"/>
      <c r="AA772" s="269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77">
        <f>ROUNDDOWN(II3Ext!$H$30*AF772/500,1)*5</f>
        <v>22</v>
      </c>
      <c r="AM772" s="262">
        <f t="shared" si="89"/>
        <v>21</v>
      </c>
      <c r="AN772" s="44">
        <f t="shared" si="88"/>
        <v>1.5</v>
      </c>
    </row>
    <row r="773" spans="21:40" ht="12.75" customHeight="1" x14ac:dyDescent="0.2">
      <c r="U773" s="273"/>
      <c r="V773" s="272"/>
      <c r="W773" s="269"/>
      <c r="X773" s="269"/>
      <c r="Y773" s="36"/>
      <c r="Z773" s="269"/>
      <c r="AA773" s="269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77">
        <f>ROUNDDOWN(II3Ext!$H$30*AF773/500,1)*5</f>
        <v>20.5</v>
      </c>
      <c r="AM773" s="262">
        <f t="shared" si="89"/>
        <v>19.5</v>
      </c>
      <c r="AN773" s="34">
        <f t="shared" si="88"/>
        <v>1.5</v>
      </c>
    </row>
    <row r="774" spans="21:40" ht="12.75" customHeight="1" x14ac:dyDescent="0.2">
      <c r="U774" s="273"/>
      <c r="V774" s="272"/>
      <c r="W774" s="269"/>
      <c r="X774" s="269"/>
      <c r="Y774" s="36"/>
      <c r="Z774" s="269"/>
      <c r="AA774" s="269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77">
        <f>ROUNDDOWN(II3Ext!$H$30*AF774/500,1)*5</f>
        <v>19</v>
      </c>
      <c r="AM774" s="262">
        <f t="shared" si="89"/>
        <v>18</v>
      </c>
      <c r="AN774" s="34">
        <f t="shared" si="88"/>
        <v>1.5</v>
      </c>
    </row>
    <row r="775" spans="21:40" ht="12.75" customHeight="1" x14ac:dyDescent="0.2">
      <c r="U775" s="273"/>
      <c r="V775" s="272"/>
      <c r="W775" s="269"/>
      <c r="X775" s="269"/>
      <c r="Y775" s="36"/>
      <c r="Z775" s="269"/>
      <c r="AA775" s="269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77">
        <f>ROUNDDOWN(II3Ext!$H$30*AF775/500,1)*5</f>
        <v>17.5</v>
      </c>
      <c r="AM775" s="262">
        <f t="shared" si="89"/>
        <v>16.5</v>
      </c>
      <c r="AN775" s="44">
        <f t="shared" si="88"/>
        <v>1.5</v>
      </c>
    </row>
    <row r="776" spans="21:40" ht="12.75" customHeight="1" x14ac:dyDescent="0.2">
      <c r="U776" s="273"/>
      <c r="V776" s="272"/>
      <c r="W776" s="269"/>
      <c r="X776" s="269"/>
      <c r="Y776" s="36"/>
      <c r="Z776" s="269"/>
      <c r="AA776" s="269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77">
        <f>ROUNDDOWN(II3Ext!$H$30*AF776/500,1)*5</f>
        <v>16</v>
      </c>
      <c r="AM776" s="262">
        <f t="shared" si="89"/>
        <v>13.5</v>
      </c>
      <c r="AN776" s="34">
        <f t="shared" si="88"/>
        <v>3</v>
      </c>
    </row>
    <row r="777" spans="21:40" ht="12.75" customHeight="1" x14ac:dyDescent="0.2">
      <c r="U777" s="273"/>
      <c r="V777" s="272"/>
      <c r="W777" s="269"/>
      <c r="X777" s="269"/>
      <c r="Y777" s="36"/>
      <c r="Z777" s="269"/>
      <c r="AA777" s="269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77">
        <f>ROUNDDOWN(II3Ext!$H$30*AF777/500,1)*5</f>
        <v>13</v>
      </c>
      <c r="AM777" s="262">
        <f t="shared" si="89"/>
        <v>11</v>
      </c>
      <c r="AN777" s="34">
        <f t="shared" si="88"/>
        <v>2.5</v>
      </c>
    </row>
    <row r="778" spans="21:40" ht="12.75" customHeight="1" x14ac:dyDescent="0.2">
      <c r="U778" s="273"/>
      <c r="V778" s="272"/>
      <c r="W778" s="269"/>
      <c r="X778" s="272"/>
      <c r="Y778" s="36"/>
      <c r="Z778" s="269"/>
      <c r="AA778" s="269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77">
        <f>ROUNDDOWN(II3Ext!$H$30*AF778/500,1)*5</f>
        <v>10.5</v>
      </c>
      <c r="AM778" s="43">
        <f>ROUNDUP(II3Ext!$H$30*(II3Ext!$H$34/500),1)*5</f>
        <v>8</v>
      </c>
      <c r="AN778" s="44">
        <f t="shared" si="88"/>
        <v>3</v>
      </c>
    </row>
    <row r="779" spans="21:40" ht="12.75" customHeight="1" thickBot="1" x14ac:dyDescent="0.25">
      <c r="U779" s="272"/>
      <c r="V779" s="272"/>
      <c r="W779" s="269"/>
      <c r="X779" s="269"/>
      <c r="Y779" s="36"/>
      <c r="Z779" s="269"/>
      <c r="AA779" s="269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7.5</v>
      </c>
      <c r="AM779" s="64">
        <v>0</v>
      </c>
      <c r="AN779" s="65">
        <f>IF(AM779&gt;AM778,"ALARM",AL779)</f>
        <v>7.5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446"/>
      <c r="X800" s="447"/>
      <c r="Y800" s="449" t="s">
        <v>17</v>
      </c>
      <c r="Z800" s="443" t="s">
        <v>25</v>
      </c>
      <c r="AA800" s="444"/>
      <c r="AB800" s="17"/>
      <c r="AC800" s="20" t="s">
        <v>6</v>
      </c>
      <c r="AD800" s="21" t="s">
        <v>17</v>
      </c>
      <c r="AE800" s="22"/>
      <c r="AF800" s="441" t="s">
        <v>26</v>
      </c>
      <c r="AG800" s="442"/>
      <c r="AH800" s="23"/>
      <c r="AI800" s="20" t="s">
        <v>6</v>
      </c>
      <c r="AJ800" s="21" t="s">
        <v>17</v>
      </c>
      <c r="AK800" s="24"/>
      <c r="AL800" s="432" t="s">
        <v>27</v>
      </c>
      <c r="AM800" s="433"/>
      <c r="AN800" s="25" t="s">
        <v>28</v>
      </c>
    </row>
    <row r="801" spans="21:40" ht="12.75" customHeight="1" x14ac:dyDescent="0.2">
      <c r="U801" s="26"/>
      <c r="V801" s="130" t="s">
        <v>28</v>
      </c>
      <c r="W801" s="437" t="s">
        <v>27</v>
      </c>
      <c r="X801" s="438"/>
      <c r="Y801" s="450"/>
      <c r="Z801" s="439" t="s">
        <v>30</v>
      </c>
      <c r="AA801" s="440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450"/>
      <c r="Z802" s="439" t="s">
        <v>34</v>
      </c>
      <c r="AA802" s="440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451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AP!$E$44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IF(AP!$E$43="M",AN803,AN846)</f>
        <v>5</v>
      </c>
      <c r="W804" s="50">
        <f>AP!$E$44</f>
        <v>100</v>
      </c>
      <c r="X804" s="33">
        <f t="shared" ref="X804:X818" si="92">W805+1</f>
        <v>96</v>
      </c>
      <c r="Y804" s="133">
        <v>15</v>
      </c>
      <c r="Z804" s="86" t="str">
        <f>IF(ABS(IF(AP!$E$43="M",AL803-W804,AL846-W804))&gt;1,"ALARM"," ")</f>
        <v xml:space="preserve"> </v>
      </c>
      <c r="AA804" s="83" t="str">
        <f>IF(ABS(IF(AP!$E$43="M",AM803-X804,AM846-X804))&gt;1,"ALARM","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AP!$I$44+12*(100-AP!$I$44)/12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ROUNDDOWN(AP!$E$44*AF805/100,0)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IF(AP!$E$43="M",AN804,AN847)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IF(ABS(IF(AP!$E$43="M",AL804-W805,AL847-W805))&gt;1,"ALARM"," ")</f>
        <v xml:space="preserve"> </v>
      </c>
      <c r="AA805" s="34" t="str">
        <f>IF(ABS(IF(AP!$E$43="M",AM804-X805,AM847-X805))&gt;1,"ALARM","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AP!$I$44+11*(100-AP!$I$44)/12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ROUNDDOWN(AP!$E$44*AF806/100,0)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IF(AP!$E$43="M",AN805,AN848)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IF(ABS(IF(AP!$E$43="M",AL805-W806,AL848-W806))&gt;1,"ALARM"," ")</f>
        <v xml:space="preserve"> </v>
      </c>
      <c r="AA806" s="44" t="str">
        <f>IF(ABS(IF(AP!$E$43="M",AM805-X806,AM848-X806))&gt;1,"ALARM","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AP!$I$44+10*(100-AP!$I$44)/12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ROUNDDOWN(AP!$E$44*AF807/100,0)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IF(AP!$E$43="M",AN806,AN849)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IF(ABS(IF(AP!$E$43="M",AL806-W807,AL849-W807))&gt;1,"ALARM"," ")</f>
        <v xml:space="preserve"> </v>
      </c>
      <c r="AA807" s="34" t="str">
        <f>IF(ABS(IF(AP!$E$43="M",AM806-X807,AM849-X807))&gt;1,"ALARM","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AP!$I$44+9*(100-AP!$I$44)/12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ROUNDDOWN(AP!$E$44*AF808/100,0)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IF(AP!$E$43="M",AN807,AN850)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IF(ABS(IF(AP!$E$43="M",AL807-W808,AL850-W808))&gt;1,"ALARM"," ")</f>
        <v xml:space="preserve"> </v>
      </c>
      <c r="AA808" s="34" t="str">
        <f>IF(ABS(IF(AP!$E$43="M",AM807-X808,AM850-X808))&gt;1,"ALARM","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AP!$I$44+8*(100-AP!$I$44)/12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ROUNDDOWN(AP!$E$44*AF809/100,0)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IF(AP!$E$43="M",AN808,AN851)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IF(ABS(IF(AP!$E$43="M",AL808-W809,AL851-W809))&gt;1,"ALARM"," ")</f>
        <v xml:space="preserve"> </v>
      </c>
      <c r="AA809" s="34" t="str">
        <f>IF(ABS(IF(AP!$E$43="M",AM808-X809,AM851-X809))&gt;1,"ALARM","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AP!$I$44+7*(100-AP!$I$44)/12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ROUNDDOWN(AP!$E$44*AF810/100,0)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IF(AP!$E$43="M",AN809,AN852)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IF(ABS(IF(AP!$E$43="M",AL809-W810,AL852-W810))&gt;1,"ALARM"," ")</f>
        <v xml:space="preserve"> </v>
      </c>
      <c r="AA810" s="83" t="str">
        <f>IF(ABS(IF(AP!$E$43="M",AM809-X810,AM852-X810))&gt;1,"ALARM","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AP!$I$44+6*(100-AP!$I$44)/12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ROUNDDOWN(AP!$E$44*AF811/100,0)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IF(AP!$E$43="M",AN810,AN853)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IF(ABS(IF(AP!$E$43="M",AL810-W811,AL853-W811))&gt;1,"ALARM"," ")</f>
        <v xml:space="preserve"> </v>
      </c>
      <c r="AA811" s="34" t="str">
        <f>IF(ABS(IF(AP!$E$43="M",AM810-X811,AM853-X811))&gt;1,"ALARM","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AP!$I$44+5*(100-AP!$I$44)/12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ROUNDDOWN(AP!$E$44*AF812/100,0)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IF(AP!$E$43="M",AN811,AN854)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IF(ABS(IF(AP!$E$43="M",AL811-W812,AL854-W812))&gt;1,"ALARM"," ")</f>
        <v xml:space="preserve"> </v>
      </c>
      <c r="AA812" s="44" t="str">
        <f>IF(ABS(IF(AP!$E$43="M",AM811-X812,AM854-X812))&gt;1,"ALARM","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AP!$I$44+4*(100-AP!$I$44)/12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ROUNDDOWN(AP!$E$44*AF813/100,0)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IF(AP!$E$43="M",AN812,AN855)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IF(ABS(IF(AP!$E$43="M",AL812-W813,AL855-W813))&gt;1,"ALARM"," ")</f>
        <v xml:space="preserve"> </v>
      </c>
      <c r="AA813" s="34" t="str">
        <f>IF(ABS(IF(AP!$E$43="M",AM812-X813,AM855-X813))&gt;1,"ALARM","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AP!$I$44+3*(100-AP!$I$44)/12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ROUNDDOWN(AP!$E$44*AF814/100,0)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IF(AP!$E$43="M",AN813,AN856)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IF(ABS(IF(AP!$E$43="M",AL813-W814,AL856-W814))&gt;1,"ALARM"," ")</f>
        <v xml:space="preserve"> </v>
      </c>
      <c r="AA814" s="34" t="str">
        <f>IF(ABS(IF(AP!$E$43="M",AM813-X814,AM856-X814))&gt;1,"ALARM","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AP!$I$44+2*(100-AP!$I$44)/12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ROUNDDOWN(AP!$E$44*AF815/100,0)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IF(AP!$E$43="M",AN814,AN857)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IF(ABS(IF(AP!$E$43="M",AL814-W815,AL857-W815))&gt;1,"ALARM"," ")</f>
        <v xml:space="preserve"> </v>
      </c>
      <c r="AA815" s="34" t="str">
        <f>IF(ABS(IF(AP!$E$43="M",AM814-X815,AM857-X815))&gt;1,"ALARM","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AP!$I$44+1*(100-AP!$I$44)/12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ROUNDDOWN(AP!$E$44*AF816/100,0)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IF(AP!$E$43="M",AN815,AN858)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IF(ABS(IF(AP!$E$43="M",AL815-W816,AL858-W816))&gt;1,"ALARM"," ")</f>
        <v xml:space="preserve"> </v>
      </c>
      <c r="AA816" s="83" t="str">
        <f>IF(ABS(IF(AP!$E$43="M",AM815-X816,AM858-X816))&gt;1,"ALARM","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AP!$I$44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ROUNDDOWN(AP!$E$44*AF817/100,0)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IF(AP!$E$43="M",AN816,AN859)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IF(ABS(IF(AP!$E$43="M",AL816-W817,AL859-W817))&gt;1,"ALARM"," ")</f>
        <v xml:space="preserve"> </v>
      </c>
      <c r="AA817" s="34" t="str">
        <f>IF(ABS(IF(AP!$E$43="M",AM816-X817,AM859-X817))&gt;1,"ALARM","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ROUNDDOWN(AP!$E$44*AF818/100,0)</f>
        <v>26</v>
      </c>
      <c r="AM817" s="43">
        <f>ROUNDUP(AP!$E$44*(AP!$G$44/100),0)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IF(AP!$E$43="M",AN817,AN860)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IF(ABS(IF(AP!$E$43="M",AL817-W818,AL860-W818))&gt;1,"ALARM"," ")</f>
        <v xml:space="preserve"> </v>
      </c>
      <c r="AA818" s="44" t="str">
        <f>IF(ABS(IF(AP!$E$43="M",AM817-X818,AM860-X818))&gt;1,"ALARM","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AP!$G$44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IF(AP!$E$43="M",+W819+1,W861+1)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IF(ABS(IF(AP!$E$43="M",AL818-W819,AL861-W819))&gt;1,"ALARM"," ")</f>
        <v xml:space="preserve"> </v>
      </c>
      <c r="AA819" s="65" t="str">
        <f>IF(ABS(IF(AP!$E$43="M",AM818-X819,AM861-X819))&gt;1,"ALARM","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69"/>
      <c r="V842" s="272"/>
      <c r="W842" s="448"/>
      <c r="X842" s="448"/>
      <c r="Y842" s="36"/>
      <c r="Z842" s="448"/>
      <c r="AA842" s="448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73"/>
      <c r="V843" s="272"/>
      <c r="W843" s="438"/>
      <c r="X843" s="438"/>
      <c r="Y843" s="36"/>
      <c r="Z843" s="448"/>
      <c r="AA843" s="448"/>
      <c r="AB843" s="17"/>
      <c r="AC843" s="20" t="s">
        <v>6</v>
      </c>
      <c r="AD843" s="21" t="s">
        <v>17</v>
      </c>
      <c r="AE843" s="22"/>
      <c r="AF843" s="441" t="s">
        <v>26</v>
      </c>
      <c r="AG843" s="442"/>
      <c r="AH843" s="23"/>
      <c r="AI843" s="20" t="s">
        <v>6</v>
      </c>
      <c r="AJ843" s="21" t="s">
        <v>17</v>
      </c>
      <c r="AK843" s="24"/>
      <c r="AL843" s="432" t="s">
        <v>27</v>
      </c>
      <c r="AM843" s="433"/>
      <c r="AN843" s="25" t="s">
        <v>28</v>
      </c>
    </row>
    <row r="844" spans="21:40" ht="12.75" customHeight="1" x14ac:dyDescent="0.2">
      <c r="U844" s="274"/>
      <c r="V844" s="272"/>
      <c r="W844" s="269"/>
      <c r="X844" s="269"/>
      <c r="Y844" s="36"/>
      <c r="Z844" s="448"/>
      <c r="AA844" s="448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72"/>
      <c r="W845" s="269"/>
      <c r="X845" s="269"/>
      <c r="Y845" s="36"/>
      <c r="Z845" s="269"/>
      <c r="AA845" s="269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73"/>
      <c r="V846" s="272"/>
      <c r="W846" s="50"/>
      <c r="X846" s="269"/>
      <c r="Y846" s="36"/>
      <c r="Z846" s="269"/>
      <c r="AA846" s="269"/>
      <c r="AB846" s="17"/>
      <c r="AC846" s="49" t="s">
        <v>35</v>
      </c>
      <c r="AD846" s="30">
        <v>15</v>
      </c>
      <c r="AE846" s="36"/>
      <c r="AF846" s="31">
        <f>AP!$I$44+30*(100-AP!$I$44)/30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AP!$E$44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73"/>
      <c r="V847" s="272"/>
      <c r="W847" s="269"/>
      <c r="X847" s="269"/>
      <c r="Y847" s="36"/>
      <c r="Z847" s="269"/>
      <c r="AA847" s="269"/>
      <c r="AB847" s="17"/>
      <c r="AC847" s="29">
        <v>1</v>
      </c>
      <c r="AD847" s="30">
        <v>14</v>
      </c>
      <c r="AE847" s="36"/>
      <c r="AF847" s="31">
        <f>AP!$I$44+27*(100-AP!$I$44)/30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ROUNDDOWN(AP!$E$44*AF847/100,0)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73"/>
      <c r="V848" s="272"/>
      <c r="W848" s="269"/>
      <c r="X848" s="269"/>
      <c r="Y848" s="36"/>
      <c r="Z848" s="269"/>
      <c r="AA848" s="269"/>
      <c r="AB848" s="17"/>
      <c r="AC848" s="52" t="s">
        <v>8</v>
      </c>
      <c r="AD848" s="40">
        <v>13</v>
      </c>
      <c r="AE848" s="41"/>
      <c r="AF848" s="53">
        <f>AP!$I$44+24*(100-AP!$I$44)/30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ROUNDDOWN(AP!$E$44*AF848/100,0)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73"/>
      <c r="V849" s="272"/>
      <c r="W849" s="269"/>
      <c r="X849" s="269"/>
      <c r="Y849" s="36"/>
      <c r="Z849" s="269"/>
      <c r="AA849" s="269"/>
      <c r="AB849" s="17"/>
      <c r="AC849" s="49" t="s">
        <v>35</v>
      </c>
      <c r="AD849" s="30">
        <v>12</v>
      </c>
      <c r="AE849" s="36"/>
      <c r="AF849" s="31">
        <f>AP!$I$44+21*(100-AP!$I$44)/30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ROUNDDOWN(AP!$E$44*AF849/100,0)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73"/>
      <c r="V850" s="272"/>
      <c r="W850" s="269"/>
      <c r="X850" s="269"/>
      <c r="Y850" s="36"/>
      <c r="Z850" s="269"/>
      <c r="AA850" s="269"/>
      <c r="AB850" s="17"/>
      <c r="AC850" s="29">
        <v>2</v>
      </c>
      <c r="AD850" s="30">
        <v>11</v>
      </c>
      <c r="AE850" s="36"/>
      <c r="AF850" s="31">
        <f>AP!$I$44+18*(100-AP!$I$44)/30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ROUNDDOWN(AP!$E$44*AF850/100,0)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73"/>
      <c r="V851" s="272"/>
      <c r="W851" s="269"/>
      <c r="X851" s="269"/>
      <c r="Y851" s="36"/>
      <c r="Z851" s="269"/>
      <c r="AA851" s="269"/>
      <c r="AB851" s="17"/>
      <c r="AC851" s="52" t="s">
        <v>8</v>
      </c>
      <c r="AD851" s="40">
        <v>10</v>
      </c>
      <c r="AE851" s="41"/>
      <c r="AF851" s="53">
        <f>AP!$I$44+15*(100-AP!$I$44)/30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ROUNDDOWN(AP!$E$44*AF851/100,0)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73"/>
      <c r="V852" s="272"/>
      <c r="W852" s="269"/>
      <c r="X852" s="269"/>
      <c r="Y852" s="36"/>
      <c r="Z852" s="269"/>
      <c r="AA852" s="269"/>
      <c r="AB852" s="17"/>
      <c r="AC852" s="49" t="s">
        <v>35</v>
      </c>
      <c r="AD852" s="30">
        <v>9</v>
      </c>
      <c r="AE852" s="36"/>
      <c r="AF852" s="31">
        <f>AP!$I$44+12*(100-AP!$I$44)/30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ROUNDDOWN(AP!$E$44*AF852/100,0)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73"/>
      <c r="V853" s="272"/>
      <c r="W853" s="269"/>
      <c r="X853" s="269"/>
      <c r="Y853" s="36"/>
      <c r="Z853" s="269"/>
      <c r="AA853" s="269"/>
      <c r="AB853" s="17"/>
      <c r="AC853" s="29">
        <v>3</v>
      </c>
      <c r="AD853" s="30">
        <v>8</v>
      </c>
      <c r="AE853" s="36"/>
      <c r="AF853" s="31">
        <f>AP!$I$44+10*(100-AP!$I$44)/30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ROUNDDOWN(AP!$E$44*AF853/100,0)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73"/>
      <c r="V854" s="272"/>
      <c r="W854" s="269"/>
      <c r="X854" s="269"/>
      <c r="Y854" s="36"/>
      <c r="Z854" s="269"/>
      <c r="AA854" s="269"/>
      <c r="AB854" s="17"/>
      <c r="AC854" s="52" t="s">
        <v>8</v>
      </c>
      <c r="AD854" s="40">
        <v>7</v>
      </c>
      <c r="AE854" s="41"/>
      <c r="AF854" s="53">
        <f>AP!$I$44+8*(100-AP!$I$44)/30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ROUNDDOWN(AP!$E$44*AF854/100,0)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73"/>
      <c r="V855" s="272"/>
      <c r="W855" s="269"/>
      <c r="X855" s="269"/>
      <c r="Y855" s="36"/>
      <c r="Z855" s="269"/>
      <c r="AA855" s="269"/>
      <c r="AB855" s="17"/>
      <c r="AC855" s="49" t="s">
        <v>35</v>
      </c>
      <c r="AD855" s="30">
        <v>6</v>
      </c>
      <c r="AE855" s="36"/>
      <c r="AF855" s="31">
        <f>AP!$I$44+6*(100-AP!$I$44)/30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ROUNDDOWN(AP!$E$44*AF855/100,0)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73"/>
      <c r="V856" s="272"/>
      <c r="W856" s="269"/>
      <c r="X856" s="269"/>
      <c r="Y856" s="36"/>
      <c r="Z856" s="269"/>
      <c r="AA856" s="269"/>
      <c r="AB856" s="17"/>
      <c r="AC856" s="29">
        <v>4</v>
      </c>
      <c r="AD856" s="30">
        <v>5</v>
      </c>
      <c r="AE856" s="36"/>
      <c r="AF856" s="31">
        <f>AP!$I$44+4*(100-AP!$I$44)/30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ROUNDDOWN(AP!$E$44*AF856/100,0)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73"/>
      <c r="V857" s="272"/>
      <c r="W857" s="269"/>
      <c r="X857" s="269"/>
      <c r="Y857" s="36"/>
      <c r="Z857" s="269"/>
      <c r="AA857" s="269"/>
      <c r="AB857" s="17"/>
      <c r="AC857" s="52" t="s">
        <v>8</v>
      </c>
      <c r="AD857" s="40">
        <v>4</v>
      </c>
      <c r="AE857" s="41"/>
      <c r="AF857" s="53">
        <f>AP!$I$44+2*(100-AP!$I$44)/30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ROUNDDOWN(AP!$E$44*AF857/100,0)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73"/>
      <c r="V858" s="272"/>
      <c r="W858" s="269"/>
      <c r="X858" s="269"/>
      <c r="Y858" s="36"/>
      <c r="Z858" s="269"/>
      <c r="AA858" s="269"/>
      <c r="AB858" s="17"/>
      <c r="AC858" s="49" t="s">
        <v>35</v>
      </c>
      <c r="AD858" s="30">
        <v>3</v>
      </c>
      <c r="AE858" s="36"/>
      <c r="AF858" s="31">
        <f>AP!$I$44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ROUNDDOWN(AP!$E$44*AF858/100,0)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73"/>
      <c r="V859" s="272"/>
      <c r="W859" s="269"/>
      <c r="X859" s="269"/>
      <c r="Y859" s="36"/>
      <c r="Z859" s="269"/>
      <c r="AA859" s="269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ROUNDDOWN(AP!$E$44*AF859/100,0)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73"/>
      <c r="V860" s="272"/>
      <c r="W860" s="269"/>
      <c r="X860" s="272"/>
      <c r="Y860" s="36"/>
      <c r="Z860" s="269"/>
      <c r="AA860" s="269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AP!$G$44</f>
        <v>20</v>
      </c>
      <c r="AH860" s="36"/>
      <c r="AI860" s="52" t="s">
        <v>8</v>
      </c>
      <c r="AJ860" s="40">
        <v>1</v>
      </c>
      <c r="AK860" s="41"/>
      <c r="AL860" s="42">
        <f>ROUNDDOWN(AP!$E$44*AF860/100,0)</f>
        <v>26</v>
      </c>
      <c r="AM860" s="43">
        <f>ROUNDUP(AP!$E$44*(AP!$G$44/100),0)</f>
        <v>20</v>
      </c>
      <c r="AN860" s="44">
        <f t="shared" si="98"/>
        <v>7</v>
      </c>
    </row>
    <row r="861" spans="21:40" ht="12.75" customHeight="1" thickBot="1" x14ac:dyDescent="0.25">
      <c r="U861" s="272"/>
      <c r="V861" s="272"/>
      <c r="W861" s="269"/>
      <c r="X861" s="269"/>
      <c r="Y861" s="36"/>
      <c r="Z861" s="269"/>
      <c r="AA861" s="269"/>
      <c r="AB861" s="17"/>
      <c r="AC861" s="60">
        <v>6</v>
      </c>
      <c r="AD861" s="61">
        <v>0</v>
      </c>
      <c r="AE861" s="62"/>
      <c r="AF861" s="67">
        <f>AP!$G$44-0.1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password="CC71" sheet="1" objects="1" scenarios="1" formatCells="0" formatColumns="0" formatRows="0" selectLockedCells="1"/>
  <mergeCells count="168"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Z347:AA347"/>
    <mergeCell ref="AF303:AG303"/>
    <mergeCell ref="Z345:AA345"/>
    <mergeCell ref="AL270:AM270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Z269:AA269"/>
    <mergeCell ref="Y303:Y306"/>
    <mergeCell ref="Z271:AA271"/>
    <mergeCell ref="AL303:AM303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W228:X228"/>
    <mergeCell ref="Z228:AA228"/>
    <mergeCell ref="Z229:AA229"/>
    <mergeCell ref="Z227:AA227"/>
    <mergeCell ref="AF227:AG227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140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42</v>
      </c>
      <c r="C1" s="459" t="str">
        <f>IF(Notenbogen!E1="","",Notenbogen!E1)</f>
        <v/>
      </c>
      <c r="D1" s="459"/>
      <c r="E1" s="459"/>
      <c r="F1" s="162" t="s">
        <v>12</v>
      </c>
      <c r="G1" s="457"/>
      <c r="H1" s="458"/>
      <c r="I1" s="163"/>
      <c r="J1" s="163"/>
      <c r="K1" s="164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20"/>
      <c r="L2" s="121"/>
      <c r="M2" s="121"/>
      <c r="N2" s="121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20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IF(D4="","",IF($H$3="BE",LOOKUP(IF(E4="",D4+0.01,D4*$H$30/E4+0.5),NB!$X$24:$X$39,NB!$Y$24:$Y$39),D4))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20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IF(D5="","",IF($H$3="BE",LOOKUP(IF(E5="",D5+0.01,D5*$H$30/E5+0.5),NB!$X$24:$X$39,NB!$Y$24:$Y$39),D5))</f>
        <v/>
      </c>
      <c r="D5" s="6"/>
      <c r="E5" s="111"/>
      <c r="F5" s="455" t="s">
        <v>11</v>
      </c>
      <c r="G5" s="456"/>
      <c r="H5" s="456"/>
      <c r="I5" s="160"/>
      <c r="J5" s="170" t="str">
        <f t="shared" si="0"/>
        <v/>
      </c>
      <c r="K5" s="120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IF(D6="","",IF($H$3="BE",LOOKUP(IF(E6="",D6+0.01,D6*$H$30/E6+0.5),NB!$X$24:$X$39,NB!$Y$24:$Y$39),D6))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20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IF(D7="","",IF($H$3="BE",LOOKUP(IF(E7="",D7+0.01,D7*$H$30/E7+0.5),NB!$X$24:$X$39,NB!$Y$24:$Y$39),D7))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12" si="1">IF(G$25="","",G7/G$25)</f>
        <v>#DIV/0!</v>
      </c>
      <c r="I7" s="160"/>
      <c r="J7" s="170" t="str">
        <f t="shared" si="0"/>
        <v/>
      </c>
      <c r="K7" s="120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IF(D8="","",IF($H$3="BE",LOOKUP(IF(E8="",D8+0.01,D8*$H$30/E8+0.5),NB!$X$24:$X$39,NB!$Y$24:$Y$39),D8))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20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IF(D9="","",IF($H$3="BE",LOOKUP(IF(E9="",D9+0.01,D9*$H$30/E9+0.5),NB!$X$24:$X$39,NB!$Y$24:$Y$39),D9))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20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IF(D10="","",IF($H$3="BE",LOOKUP(IF(E10="",D10+0.01,D10*$H$30/E10+0.5),NB!$X$24:$X$39,NB!$Y$24:$Y$39),D10))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20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IF(D11="","",IF($H$3="BE",LOOKUP(IF(E11="",D11+0.01,D11*$H$30/E11+0.5),NB!$X$24:$X$39,NB!$Y$24:$Y$39),D11))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20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IF(D12="","",IF($H$3="BE",LOOKUP(IF(E12="",D12+0.01,D12*$H$30/E12+0.5),NB!$X$24:$X$39,NB!$Y$24:$Y$39),D12))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20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2"/>
        <v>0</v>
      </c>
      <c r="H13" s="96" t="e">
        <f t="shared" ref="H13:H22" si="3">IF(G$25="","",G13/G$25)</f>
        <v>#DIV/0!</v>
      </c>
      <c r="I13" s="160"/>
      <c r="J13" s="170" t="str">
        <f t="shared" si="0"/>
        <v/>
      </c>
      <c r="K13" s="120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IF(D14="","",IF($H$3="BE",LOOKUP(IF(E14="",D14+0.01,D14*$H$30/E14+0.5),NB!$X$24:$X$39,NB!$Y$24:$Y$39),D14))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3"/>
        <v>#DIV/0!</v>
      </c>
      <c r="I14" s="112" t="e">
        <f>+H13+H14+H15</f>
        <v>#DIV/0!</v>
      </c>
      <c r="J14" s="170" t="str">
        <f t="shared" si="0"/>
        <v/>
      </c>
      <c r="K14" s="120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3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3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3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IF(D18="","",IF($H$3="BE",LOOKUP(IF(E18="",D18+0.01,D18*$H$30/E18+0.5),NB!$X$24:$X$39,NB!$Y$24:$Y$39),D18))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3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IF(D19="","",IF($H$3="BE",LOOKUP(IF(E19="",D19+0.01,D19*$H$30/E19+0.5),NB!$X$24:$X$39,NB!$Y$24:$Y$39),D19))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3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IF(D20="","",IF($H$3="BE",LOOKUP(IF(E20="",D20+0.01,D20*$H$30/E20+0.5),NB!$X$24:$X$39,NB!$Y$24:$Y$39),D20))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3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IF(D21="","",IF($H$3="BE",LOOKUP(IF(E21="",D21+0.01,D21*$H$30/E21+0.5),NB!$X$24:$X$39,NB!$Y$24:$Y$39),D21))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3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IF(D22="","",IF($H$3="BE",LOOKUP(IF(E22="",D22+0.01,D22*$H$30/E22+0.5),NB!$X$24:$X$39,NB!$Y$24:$Y$39),D22))</f>
        <v/>
      </c>
      <c r="D22" s="6"/>
      <c r="E22" s="111"/>
      <c r="F22" s="209">
        <v>0</v>
      </c>
      <c r="G22" s="210">
        <f t="shared" si="2"/>
        <v>0</v>
      </c>
      <c r="H22" s="211" t="e">
        <f t="shared" si="3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IF(D23="","",IF($H$3="BE",LOOKUP(IF(E23="",D23+0.01,D23*$H$30/E23+0.5),NB!$X$24:$X$39,NB!$Y$24:$Y$39),D23))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IF(D24="","",IF($H$3="BE",LOOKUP(IF(E24="",D24+0.01,D24*$H$30/E24+0.5),NB!$X$24:$X$39,NB!$Y$24:$Y$39),D24))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IF(D25="","",IF($H$3="BE",LOOKUP(IF(E25="",D25+0.01,D25*$H$30/E25+0.5),NB!$X$24:$X$39,NB!$Y$24:$Y$39),D25))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IF(D26="","",IF($H$3="BE",LOOKUP(IF(E26="",D26+0.01,D26*$H$30/E26+0.5),NB!$X$24:$X$39,NB!$Y$24:$Y$39),D26))</f>
        <v/>
      </c>
      <c r="D26" s="6"/>
      <c r="E26" s="111"/>
      <c r="F26" s="180" t="s">
        <v>14</v>
      </c>
      <c r="G26" s="10">
        <f>+G27-G25</f>
        <v>35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IF(D27="","",IF($H$3="BE",LOOKUP(IF(E27="",D27+0.01,D27*$H$30/E27+0.5),NB!$X$24:$X$39,NB!$Y$24:$Y$39),D27))</f>
        <v/>
      </c>
      <c r="D27" s="6"/>
      <c r="E27" s="111"/>
      <c r="F27" s="180" t="s">
        <v>15</v>
      </c>
      <c r="G27" s="10">
        <f>35-COUNTIF(J4:J38,", ")</f>
        <v>35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IF(D28="","",IF($H$3="BE",LOOKUP(IF(E28="",D28+0.01,D28*$H$30/E28+0.5),NB!$X$24:$X$39,NB!$Y$24:$Y$39),D28))</f>
        <v/>
      </c>
      <c r="D28" s="6"/>
      <c r="E28" s="111"/>
      <c r="F28" s="160"/>
      <c r="G28" s="160"/>
      <c r="H28" s="160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IF(D29="","",IF($H$3="BE",LOOKUP(IF(E29="",D29+0.01,D29*$H$30/E29+0.5),NB!$X$24:$X$39,NB!$Y$24:$Y$39),D29))</f>
        <v/>
      </c>
      <c r="D29" s="6"/>
      <c r="E29" s="111"/>
      <c r="F29" s="182" t="s">
        <v>19</v>
      </c>
      <c r="G29" s="160"/>
      <c r="H29" s="160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IF(D30="","",IF($H$3="BE",LOOKUP(IF(E30="",D30+0.01,D30*$H$30/E30+0.5),NB!$X$24:$X$39,NB!$Y$24:$Y$39),D30))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IF(D31="","",IF($H$3="BE",LOOKUP(IF(E31="",D31+0.01,D31*$H$30/E31+0.5),NB!$X$24:$X$39,NB!$Y$24:$Y$39),D31))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IF(D32="","",IF($H$3="BE",LOOKUP(IF(E32="",D32+0.01,D32*$H$30/E32+0.5),NB!$X$24:$X$39,NB!$Y$24:$Y$39),D32))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IF(D33="","",IF($H$3="BE",LOOKUP(IF(E33="",D33+0.01,D33*$H$30/E33+0.5),NB!$X$24:$X$39,NB!$Y$24:$Y$39),D33))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IF(D34="","",IF($H$3="BE",LOOKUP(IF(E34="",D34+0.01,D34*$H$30/E34+0.5),NB!$X$24:$X$39,NB!$Y$24:$Y$39),D34))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IF(D35="","",IF($H$3="BE",LOOKUP(IF(E35="",D35+0.01,D35*$H$30/E35+0.5),NB!$X$24:$X$39,NB!$Y$24:$Y$39),D35))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IF(D36="","",IF($H$3="BE",LOOKUP(IF(E36="",D36+0.01,D36*$H$30/E36+0.5),NB!$X$24:$X$39,NB!$Y$24:$Y$39),D36))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IF(D37="","",IF($H$3="BE",LOOKUP(IF(E37="",D37+0.01,D37*$H$30/E37+0.5),NB!$X$24:$X$39,NB!$Y$24:$Y$39),D37))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IF(D38="","",IF($H$3="BE",LOOKUP(IF(E38="",D38+0.01,D38*$H$30/E38+0.5),NB!$X$24:$X$39,NB!$Y$24:$Y$39),D38))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52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53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54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232"/>
      <c r="B43" s="225" t="str">
        <f>TEXT(NB!V6,"#0")&amp;"                      "&amp;TEXT(NB!Y6,"#0")&amp;"   "</f>
        <v xml:space="preserve">2                      15   </v>
      </c>
      <c r="C43" s="281">
        <f>+NB!W6</f>
        <v>40</v>
      </c>
      <c r="D43" s="264">
        <f>+NB!X6</f>
        <v>38.5</v>
      </c>
      <c r="E43" s="226" t="str">
        <f>+NB!Z6</f>
        <v xml:space="preserve"> </v>
      </c>
      <c r="F43" s="226"/>
      <c r="G43" s="229" t="str">
        <f>+NB!AA6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233"/>
      <c r="B44" s="220" t="str">
        <f>TEXT(NB!V7,"#0")&amp;"                      "&amp;TEXT(NB!Y7,"#0")&amp;"   "</f>
        <v xml:space="preserve">2                      14   </v>
      </c>
      <c r="C44" s="282">
        <f>+NB!W7</f>
        <v>38</v>
      </c>
      <c r="D44" s="265">
        <f>+NB!X7</f>
        <v>36.5</v>
      </c>
      <c r="E44" s="121" t="str">
        <f>+NB!Z7</f>
        <v xml:space="preserve"> </v>
      </c>
      <c r="F44" s="121"/>
      <c r="G44" s="221" t="str">
        <f>+NB!AA7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234"/>
      <c r="B45" s="227" t="str">
        <f>TEXT(NB!V8,"#0")&amp;"                      "&amp;TEXT(NB!Y8,"#0")&amp;"   "</f>
        <v xml:space="preserve">2                      13   </v>
      </c>
      <c r="C45" s="283">
        <f>+NB!W8</f>
        <v>36</v>
      </c>
      <c r="D45" s="266">
        <f>+NB!X8</f>
        <v>34.5</v>
      </c>
      <c r="E45" s="228" t="str">
        <f>+NB!Z8</f>
        <v xml:space="preserve"> </v>
      </c>
      <c r="F45" s="228"/>
      <c r="G45" s="230" t="str">
        <f>+NB!AA8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233"/>
      <c r="B46" s="220" t="str">
        <f>TEXT(NB!V9,"#0")&amp;"                      "&amp;TEXT(NB!Y9,"#0")&amp;"   "</f>
        <v xml:space="preserve">2                      12   </v>
      </c>
      <c r="C46" s="282">
        <f>+NB!W9</f>
        <v>34</v>
      </c>
      <c r="D46" s="265">
        <f>+NB!X9</f>
        <v>32.5</v>
      </c>
      <c r="E46" s="121" t="str">
        <f>+NB!Z9</f>
        <v xml:space="preserve"> </v>
      </c>
      <c r="F46" s="121"/>
      <c r="G46" s="221" t="str">
        <f>+NB!AA9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233"/>
      <c r="B47" s="220" t="str">
        <f>TEXT(NB!V10,"#0")&amp;"                      "&amp;TEXT(NB!Y10,"#0")&amp;"   "</f>
        <v xml:space="preserve">2                      11   </v>
      </c>
      <c r="C47" s="282">
        <f>+NB!W10</f>
        <v>32</v>
      </c>
      <c r="D47" s="265">
        <f>+NB!X10</f>
        <v>30.5</v>
      </c>
      <c r="E47" s="121" t="str">
        <f>+NB!Z10</f>
        <v xml:space="preserve"> </v>
      </c>
      <c r="F47" s="121"/>
      <c r="G47" s="221" t="str">
        <f>+NB!AA10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233"/>
      <c r="B48" s="220" t="str">
        <f>TEXT(NB!V11,"#0")&amp;"                      "&amp;TEXT(NB!Y11,"#0")&amp;"   "</f>
        <v xml:space="preserve">2                      10   </v>
      </c>
      <c r="C48" s="282">
        <f>+NB!W11</f>
        <v>30</v>
      </c>
      <c r="D48" s="265">
        <f>+NB!X11</f>
        <v>28.5</v>
      </c>
      <c r="E48" s="121" t="str">
        <f>+NB!Z11</f>
        <v xml:space="preserve"> </v>
      </c>
      <c r="F48" s="121"/>
      <c r="G48" s="221" t="str">
        <f>+NB!AA11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232"/>
      <c r="B49" s="225" t="str">
        <f>TEXT(NB!V12,"#0")&amp;"                        "&amp;TEXT(NB!Y12,"#0")&amp;"   "</f>
        <v xml:space="preserve">2                        9   </v>
      </c>
      <c r="C49" s="281">
        <f>+NB!W12</f>
        <v>28</v>
      </c>
      <c r="D49" s="264">
        <f>+NB!X12</f>
        <v>26.5</v>
      </c>
      <c r="E49" s="226" t="str">
        <f>+NB!Z12</f>
        <v xml:space="preserve"> </v>
      </c>
      <c r="F49" s="226"/>
      <c r="G49" s="229" t="str">
        <f>+NB!AA12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233"/>
      <c r="B50" s="220" t="str">
        <f>TEXT(NB!V13,"#0")&amp;"                        "&amp;TEXT(NB!Y13,"#0")&amp;"   "</f>
        <v xml:space="preserve">2                        8   </v>
      </c>
      <c r="C50" s="282">
        <f>+NB!W13</f>
        <v>26</v>
      </c>
      <c r="D50" s="265">
        <f>+NB!X13</f>
        <v>24.5</v>
      </c>
      <c r="E50" s="121" t="str">
        <f>+NB!Z13</f>
        <v xml:space="preserve"> </v>
      </c>
      <c r="F50" s="121"/>
      <c r="G50" s="221" t="str">
        <f>+NB!AA13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234"/>
      <c r="B51" s="227" t="str">
        <f>TEXT(NB!V14,"#0")&amp;"                        "&amp;TEXT(NB!Y14,"#0")&amp;"   "</f>
        <v xml:space="preserve">2                        7   </v>
      </c>
      <c r="C51" s="283">
        <f>+NB!W14</f>
        <v>24</v>
      </c>
      <c r="D51" s="266">
        <f>+NB!X14</f>
        <v>22.5</v>
      </c>
      <c r="E51" s="228" t="str">
        <f>+NB!Z14</f>
        <v xml:space="preserve"> </v>
      </c>
      <c r="F51" s="228"/>
      <c r="G51" s="230" t="str">
        <f>+NB!AA14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233"/>
      <c r="B52" s="220" t="str">
        <f>TEXT(NB!V15,"#0")&amp;"                        "&amp;TEXT(NB!Y15,"#0")&amp;"   "</f>
        <v xml:space="preserve">2                        6   </v>
      </c>
      <c r="C52" s="282">
        <f>+NB!W15</f>
        <v>22</v>
      </c>
      <c r="D52" s="265">
        <f>+NB!X15</f>
        <v>20.5</v>
      </c>
      <c r="E52" s="121" t="str">
        <f>+NB!Z15</f>
        <v xml:space="preserve"> </v>
      </c>
      <c r="F52" s="121"/>
      <c r="G52" s="221" t="str">
        <f>+NB!AA15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233"/>
      <c r="B53" s="220" t="str">
        <f>TEXT(NB!V16,"#0")&amp;"                        "&amp;TEXT(NB!Y16,"#0")&amp;"   "</f>
        <v xml:space="preserve">2                        5   </v>
      </c>
      <c r="C53" s="282">
        <f>+NB!W16</f>
        <v>20</v>
      </c>
      <c r="D53" s="265">
        <f>+NB!X16</f>
        <v>18.5</v>
      </c>
      <c r="E53" s="121" t="str">
        <f>+NB!Z16</f>
        <v xml:space="preserve"> </v>
      </c>
      <c r="F53" s="121"/>
      <c r="G53" s="221" t="str">
        <f>+NB!AA16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233"/>
      <c r="B54" s="220" t="str">
        <f>TEXT(NB!V17,"#0")&amp;"                        "&amp;TEXT(NB!Y17,"#0")&amp;"   "</f>
        <v xml:space="preserve">2                        4   </v>
      </c>
      <c r="C54" s="282">
        <f>+NB!W17</f>
        <v>18</v>
      </c>
      <c r="D54" s="265">
        <f>+NB!X17</f>
        <v>16.5</v>
      </c>
      <c r="E54" s="121" t="str">
        <f>+NB!Z17</f>
        <v xml:space="preserve"> </v>
      </c>
      <c r="F54" s="121"/>
      <c r="G54" s="221" t="str">
        <f>+NB!AA17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232"/>
      <c r="B55" s="225" t="str">
        <f>TEXT(NB!V18,"#0")&amp;"                        "&amp;TEXT(NB!Y18,"#0")&amp;"   "</f>
        <v xml:space="preserve">3                        3   </v>
      </c>
      <c r="C55" s="281">
        <f>+NB!W18</f>
        <v>16</v>
      </c>
      <c r="D55" s="264">
        <f>+NB!X18</f>
        <v>13.5</v>
      </c>
      <c r="E55" s="226" t="str">
        <f>+NB!Z18</f>
        <v xml:space="preserve"> </v>
      </c>
      <c r="F55" s="226"/>
      <c r="G55" s="229" t="str">
        <f>+NB!AA18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233"/>
      <c r="B56" s="220" t="str">
        <f>TEXT(NB!V19,"#0")&amp;"                        "&amp;TEXT(NB!Y19,"#0")&amp;"   "</f>
        <v xml:space="preserve">3                        2   </v>
      </c>
      <c r="C56" s="282">
        <f>+NB!W19</f>
        <v>13</v>
      </c>
      <c r="D56" s="265">
        <f>+NB!X19</f>
        <v>11</v>
      </c>
      <c r="E56" s="121" t="str">
        <f>+NB!Z19</f>
        <v xml:space="preserve"> </v>
      </c>
      <c r="F56" s="121"/>
      <c r="G56" s="221" t="str">
        <f>+NB!AA19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234"/>
      <c r="B57" s="227" t="str">
        <f>TEXT(NB!V20,"#0")&amp;"                        "&amp;TEXT(NB!Y20,"#0")&amp;"   "</f>
        <v xml:space="preserve">3                        1   </v>
      </c>
      <c r="C57" s="283">
        <f>+NB!W20</f>
        <v>10.5</v>
      </c>
      <c r="D57" s="266">
        <f>+NB!X20</f>
        <v>8</v>
      </c>
      <c r="E57" s="228" t="str">
        <f>+NB!Z20</f>
        <v xml:space="preserve"> </v>
      </c>
      <c r="F57" s="228"/>
      <c r="G57" s="230" t="str">
        <f>+NB!AA20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2.75" customHeight="1" thickBot="1" x14ac:dyDescent="0.25">
      <c r="A58" s="235"/>
      <c r="B58" s="222" t="str">
        <f>TEXT(NB!V21,"#0")&amp;"                        "&amp;TEXT(NB!Y21,"#0")&amp;"   "</f>
        <v xml:space="preserve">8                        0   </v>
      </c>
      <c r="C58" s="284">
        <f>+NB!W21</f>
        <v>7.5</v>
      </c>
      <c r="D58" s="267">
        <f>+NB!X21</f>
        <v>0</v>
      </c>
      <c r="E58" s="223" t="str">
        <f>+NB!Z21</f>
        <v xml:space="preserve"> </v>
      </c>
      <c r="F58" s="223"/>
      <c r="G58" s="224" t="str">
        <f>+NB!AA21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G1" sqref="G1:H1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">
        <v>43</v>
      </c>
      <c r="C1" s="152" t="str">
        <f>IF(Notenbogen!E1="","",Notenbogen!E1)</f>
        <v/>
      </c>
      <c r="D1" s="1"/>
      <c r="E1" s="1"/>
      <c r="F1" s="149" t="s">
        <v>12</v>
      </c>
      <c r="G1" s="473"/>
      <c r="H1" s="473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IF(D5="","",IF($H$3="BE",LOOKUP(IF(E5="",D5+0.01,D5*$H$30/E5+0.5),NB!$X$96:$X$111,NB!$Y$96:$Y$111),D5))</f>
        <v/>
      </c>
      <c r="D5" s="6"/>
      <c r="E5" s="111"/>
      <c r="F5" s="471" t="s">
        <v>11</v>
      </c>
      <c r="G5" s="472"/>
      <c r="H5" s="472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IF(D22="","",IF($H$3="BE",LOOKUP(IF(E22="",D22+0.01,D22*$H$30/E22+0.5),NB!$X$96:$X$111,NB!$Y$96:$Y$111),D22))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>+G27-G25</f>
        <v>35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>35-COUNTIF(J4:J38,", ")</f>
        <v>35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IF(D31="","",IF($H$3="BE",LOOKUP(IF(E31="",D31+0.01,D31*$H$30/E31+0.5),NB!$X$96:$X$111,NB!$Y$96:$Y$111),D31))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IF(D37="","",IF($H$3="BE",LOOKUP(IF(E37="",D37+0.01,D37*$H$30/E37+0.5),NB!$X$96:$X$111,NB!$Y$96:$Y$111),D37))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468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9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70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5" t="str">
        <f>TEXT(NB!V78,"#0")&amp;"                      "&amp;TEXT(NB!Y78,"#0")&amp;"   "</f>
        <v xml:space="preserve">2                      15   </v>
      </c>
      <c r="C43" s="281">
        <f>+NB!W78</f>
        <v>40</v>
      </c>
      <c r="D43" s="264">
        <f>+NB!X78</f>
        <v>38.5</v>
      </c>
      <c r="E43" s="226" t="str">
        <f>+NB!Z78</f>
        <v xml:space="preserve"> </v>
      </c>
      <c r="F43" s="226"/>
      <c r="G43" s="229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0" t="str">
        <f>TEXT(NB!V79,"#0")&amp;"                      "&amp;TEXT(NB!Y79,"#0")&amp;"   "</f>
        <v xml:space="preserve">2                      14   </v>
      </c>
      <c r="C44" s="282">
        <f>+NB!W79</f>
        <v>38</v>
      </c>
      <c r="D44" s="265">
        <f>+NB!X79</f>
        <v>36.5</v>
      </c>
      <c r="E44" s="121" t="str">
        <f>+NB!Z79</f>
        <v xml:space="preserve"> </v>
      </c>
      <c r="F44" s="121"/>
      <c r="G44" s="221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7" t="str">
        <f>TEXT(NB!V80,"#0")&amp;"                      "&amp;TEXT(NB!Y80,"#0")&amp;"   "</f>
        <v xml:space="preserve">2                      13   </v>
      </c>
      <c r="C45" s="283">
        <f>+NB!W80</f>
        <v>36</v>
      </c>
      <c r="D45" s="266">
        <f>+NB!X80</f>
        <v>34.5</v>
      </c>
      <c r="E45" s="228" t="str">
        <f>+NB!Z80</f>
        <v xml:space="preserve"> </v>
      </c>
      <c r="F45" s="228"/>
      <c r="G45" s="230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0" t="str">
        <f>TEXT(NB!V81,"#0")&amp;"                      "&amp;TEXT(NB!Y81,"#0")&amp;"   "</f>
        <v xml:space="preserve">2                      12   </v>
      </c>
      <c r="C46" s="282">
        <f>+NB!W81</f>
        <v>34</v>
      </c>
      <c r="D46" s="265">
        <f>+NB!X81</f>
        <v>32.5</v>
      </c>
      <c r="E46" s="121" t="str">
        <f>+NB!Z81</f>
        <v xml:space="preserve"> </v>
      </c>
      <c r="F46" s="121"/>
      <c r="G46" s="221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0" t="str">
        <f>TEXT(NB!V82,"#0")&amp;"                      "&amp;TEXT(NB!Y82,"#0")&amp;"   "</f>
        <v xml:space="preserve">2                      11   </v>
      </c>
      <c r="C47" s="282">
        <f>+NB!W82</f>
        <v>32</v>
      </c>
      <c r="D47" s="265">
        <f>+NB!X82</f>
        <v>30.5</v>
      </c>
      <c r="E47" s="121" t="str">
        <f>+NB!Z82</f>
        <v xml:space="preserve"> </v>
      </c>
      <c r="F47" s="121"/>
      <c r="G47" s="221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0" t="str">
        <f>TEXT(NB!V83,"#0")&amp;"                      "&amp;TEXT(NB!Y83,"#0")&amp;"   "</f>
        <v xml:space="preserve">2                      10   </v>
      </c>
      <c r="C48" s="282">
        <f>+NB!W83</f>
        <v>30</v>
      </c>
      <c r="D48" s="265">
        <f>+NB!X83</f>
        <v>28.5</v>
      </c>
      <c r="E48" s="121" t="str">
        <f>+NB!Z83</f>
        <v xml:space="preserve"> </v>
      </c>
      <c r="F48" s="121"/>
      <c r="G48" s="221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5" t="str">
        <f>TEXT(NB!V84,"#0")&amp;"                        "&amp;TEXT(NB!Y84,"#0")&amp;"   "</f>
        <v xml:space="preserve">2                        9   </v>
      </c>
      <c r="C49" s="281">
        <f>+NB!W84</f>
        <v>28</v>
      </c>
      <c r="D49" s="264">
        <f>+NB!X84</f>
        <v>26.5</v>
      </c>
      <c r="E49" s="226" t="str">
        <f>+NB!Z84</f>
        <v xml:space="preserve"> </v>
      </c>
      <c r="F49" s="226"/>
      <c r="G49" s="229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0" t="str">
        <f>TEXT(NB!V85,"#0")&amp;"                        "&amp;TEXT(NB!Y85,"#0")&amp;"   "</f>
        <v xml:space="preserve">2                        8   </v>
      </c>
      <c r="C50" s="282">
        <f>+NB!W85</f>
        <v>26</v>
      </c>
      <c r="D50" s="265">
        <f>+NB!X85</f>
        <v>24.5</v>
      </c>
      <c r="E50" s="121" t="str">
        <f>+NB!Z85</f>
        <v xml:space="preserve"> </v>
      </c>
      <c r="F50" s="121"/>
      <c r="G50" s="221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7" t="str">
        <f>TEXT(NB!V86,"#0")&amp;"                        "&amp;TEXT(NB!Y86,"#0")&amp;"   "</f>
        <v xml:space="preserve">2                        7   </v>
      </c>
      <c r="C51" s="283">
        <f>+NB!W86</f>
        <v>24</v>
      </c>
      <c r="D51" s="266">
        <f>+NB!X86</f>
        <v>22.5</v>
      </c>
      <c r="E51" s="228" t="str">
        <f>+NB!Z86</f>
        <v xml:space="preserve"> </v>
      </c>
      <c r="F51" s="228"/>
      <c r="G51" s="230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0" t="str">
        <f>TEXT(NB!V87,"#0")&amp;"                        "&amp;TEXT(NB!Y87,"#0")&amp;"   "</f>
        <v xml:space="preserve">2                        6   </v>
      </c>
      <c r="C52" s="282">
        <f>+NB!W87</f>
        <v>22</v>
      </c>
      <c r="D52" s="265">
        <f>+NB!X87</f>
        <v>20.5</v>
      </c>
      <c r="E52" s="121" t="str">
        <f>+NB!Z87</f>
        <v xml:space="preserve"> </v>
      </c>
      <c r="F52" s="121"/>
      <c r="G52" s="221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0" t="str">
        <f>TEXT(NB!V88,"#0")&amp;"                        "&amp;TEXT(NB!Y88,"#0")&amp;"   "</f>
        <v xml:space="preserve">2                        5   </v>
      </c>
      <c r="C53" s="282">
        <f>+NB!W88</f>
        <v>20</v>
      </c>
      <c r="D53" s="265">
        <f>+NB!X88</f>
        <v>18.5</v>
      </c>
      <c r="E53" s="121" t="str">
        <f>+NB!Z88</f>
        <v xml:space="preserve"> </v>
      </c>
      <c r="F53" s="121"/>
      <c r="G53" s="221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0" t="str">
        <f>TEXT(NB!V89,"#0")&amp;"                        "&amp;TEXT(NB!Y89,"#0")&amp;"   "</f>
        <v xml:space="preserve">2                        4   </v>
      </c>
      <c r="C54" s="282">
        <f>+NB!W89</f>
        <v>18</v>
      </c>
      <c r="D54" s="265">
        <f>+NB!X89</f>
        <v>16.5</v>
      </c>
      <c r="E54" s="121" t="str">
        <f>+NB!Z89</f>
        <v xml:space="preserve"> </v>
      </c>
      <c r="F54" s="121"/>
      <c r="G54" s="221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5" t="str">
        <f>TEXT(NB!V90,"#0")&amp;"                        "&amp;TEXT(NB!Y90,"#0")&amp;"   "</f>
        <v xml:space="preserve">3                        3   </v>
      </c>
      <c r="C55" s="281">
        <f>+NB!W90</f>
        <v>16</v>
      </c>
      <c r="D55" s="264">
        <f>+NB!X90</f>
        <v>13.5</v>
      </c>
      <c r="E55" s="226" t="str">
        <f>+NB!Z90</f>
        <v xml:space="preserve"> </v>
      </c>
      <c r="F55" s="226"/>
      <c r="G55" s="229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0" t="str">
        <f>TEXT(NB!V91,"#0")&amp;"                        "&amp;TEXT(NB!Y91,"#0")&amp;"   "</f>
        <v xml:space="preserve">3                        2   </v>
      </c>
      <c r="C56" s="282">
        <f>+NB!W91</f>
        <v>13</v>
      </c>
      <c r="D56" s="265">
        <f>+NB!X91</f>
        <v>11</v>
      </c>
      <c r="E56" s="121" t="str">
        <f>+NB!Z91</f>
        <v xml:space="preserve"> </v>
      </c>
      <c r="F56" s="121"/>
      <c r="G56" s="221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7" t="str">
        <f>TEXT(NB!V92,"#0")&amp;"                        "&amp;TEXT(NB!Y92,"#0")&amp;"   "</f>
        <v xml:space="preserve">3                        1   </v>
      </c>
      <c r="C57" s="283">
        <f>+NB!W92</f>
        <v>10.5</v>
      </c>
      <c r="D57" s="266">
        <f>+NB!X92</f>
        <v>8</v>
      </c>
      <c r="E57" s="228" t="str">
        <f>+NB!Z92</f>
        <v xml:space="preserve"> </v>
      </c>
      <c r="F57" s="228"/>
      <c r="G57" s="230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2" t="str">
        <f>TEXT(NB!V93,"#0")&amp;"                        "&amp;TEXT(NB!Y93,"#0")&amp;"   "</f>
        <v xml:space="preserve">8                        0   </v>
      </c>
      <c r="C58" s="284">
        <f>+NB!W93</f>
        <v>7.5</v>
      </c>
      <c r="D58" s="267">
        <f>+NB!X93</f>
        <v>0</v>
      </c>
      <c r="E58" s="223" t="str">
        <f>+NB!Z93</f>
        <v xml:space="preserve"> </v>
      </c>
      <c r="F58" s="223"/>
      <c r="G58" s="224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208" t="s">
        <v>73</v>
      </c>
      <c r="C1" s="189" t="str">
        <f>IF(Notenbogen!E1="","",Notenbogen!E1)</f>
        <v/>
      </c>
      <c r="D1" s="190"/>
      <c r="E1" s="160"/>
      <c r="F1" s="162" t="s">
        <v>12</v>
      </c>
      <c r="G1" s="473"/>
      <c r="H1" s="474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200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IF(D4="","",IF($H$3="BE",LOOKUP(IF(E4="",D4+0.01,D4*$H$30/E4+0.5),NB!$X$179:$X$194,NB!$Y$179:$Y$194),D4))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IF(D5="","",IF($H$3="BE",LOOKUP(IF(E5="",D5+0.01,D5*$H$30/E5+0.5),NB!$X$179:$X$194,NB!$Y$179:$Y$194),D5))</f>
        <v/>
      </c>
      <c r="D5" s="6"/>
      <c r="E5" s="111"/>
      <c r="F5" s="455" t="s">
        <v>11</v>
      </c>
      <c r="G5" s="456"/>
      <c r="H5" s="456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IF(D6="","",IF($H$3="BE",LOOKUP(IF(E6="",D6+0.01,D6*$H$30/E6+0.5),NB!$X$179:$X$194,NB!$Y$179:$Y$194),D6))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IF(D7="","",IF($H$3="BE",LOOKUP(IF(E7="",D7+0.01,D7*$H$30/E7+0.5),NB!$X$179:$X$194,NB!$Y$179:$Y$194),D7))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IF(D8="","",IF($H$3="BE",LOOKUP(IF(E8="",D8+0.01,D8*$H$30/E8+0.5),NB!$X$179:$X$194,NB!$Y$179:$Y$194),D8))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IF(D9="","",IF($H$3="BE",LOOKUP(IF(E9="",D9+0.01,D9*$H$30/E9+0.5),NB!$X$179:$X$194,NB!$Y$179:$Y$194),D9))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IF(D10="","",IF($H$3="BE",LOOKUP(IF(E10="",D10+0.01,D10*$H$30/E10+0.5),NB!$X$179:$X$194,NB!$Y$179:$Y$194),D10))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IF(D11="","",IF($H$3="BE",LOOKUP(IF(E11="",D11+0.01,D11*$H$30/E11+0.5),NB!$X$179:$X$194,NB!$Y$179:$Y$194),D11))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IF(D12="","",IF($H$3="BE",LOOKUP(IF(E12="",D12+0.01,D12*$H$30/E12+0.5),NB!$X$179:$X$194,NB!$Y$179:$Y$194),D12))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IF(D14="","",IF($H$3="BE",LOOKUP(IF(E14="",D14+0.01,D14*$H$30/E14+0.5),NB!$X$179:$X$194,NB!$Y$179:$Y$194),D14))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IF(D18="","",IF($H$3="BE",LOOKUP(IF(E18="",D18+0.01,D18*$H$30/E18+0.5),NB!$X$179:$X$194,NB!$Y$179:$Y$194),D18))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IF(D19="","",IF($H$3="BE",LOOKUP(IF(E19="",D19+0.01,D19*$H$30/E19+0.5),NB!$X$179:$X$194,NB!$Y$179:$Y$194),D19))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IF(D20="","",IF($H$3="BE",LOOKUP(IF(E20="",D20+0.01,D20*$H$30/E20+0.5),NB!$X$179:$X$194,NB!$Y$179:$Y$194),D20))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IF(D21="","",IF($H$3="BE",LOOKUP(IF(E21="",D21+0.01,D21*$H$30/E21+0.5),NB!$X$179:$X$194,NB!$Y$179:$Y$194),D21))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IF(D22="","",IF($H$3="BE",LOOKUP(IF(E22="",D22+0.01,D22*$H$30/E22+0.5),NB!$X$179:$X$194,NB!$Y$179:$Y$194),D22))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IF(D23="","",IF($H$3="BE",LOOKUP(IF(E23="",D23+0.01,D23*$H$30/E23+0.5),NB!$X$179:$X$194,NB!$Y$179:$Y$194),D23))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IF(D24="","",IF($H$3="BE",LOOKUP(IF(E24="",D24+0.01,D24*$H$30/E24+0.5),NB!$X$179:$X$194,NB!$Y$179:$Y$194),D24))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IF(D25="","",IF($H$3="BE",LOOKUP(IF(E25="",D25+0.01,D25*$H$30/E25+0.5),NB!$X$179:$X$194,NB!$Y$179:$Y$194),D25))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IF(D26="","",IF($H$3="BE",LOOKUP(IF(E26="",D26+0.01,D26*$H$30/E26+0.5),NB!$X$179:$X$194,NB!$Y$179:$Y$194),D26))</f>
        <v/>
      </c>
      <c r="D26" s="6"/>
      <c r="E26" s="111"/>
      <c r="F26" s="180" t="s">
        <v>14</v>
      </c>
      <c r="G26" s="10">
        <f>+G27-G25</f>
        <v>35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IF(D27="","",IF($H$3="BE",LOOKUP(IF(E27="",D27+0.01,D27*$H$30/E27+0.5),NB!$X$179:$X$194,NB!$Y$179:$Y$194),D27))</f>
        <v/>
      </c>
      <c r="D27" s="6"/>
      <c r="E27" s="111"/>
      <c r="F27" s="180" t="s">
        <v>15</v>
      </c>
      <c r="G27" s="10">
        <f>35-COUNTIF(J4:J38,", ")</f>
        <v>35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IF(D28="","",IF($H$3="BE",LOOKUP(IF(E28="",D28+0.01,D28*$H$30/E28+0.5),NB!$X$179:$X$194,NB!$Y$179:$Y$194),D28))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IF(D29="","",IF($H$3="BE",LOOKUP(IF(E29="",D29+0.01,D29*$H$30/E29+0.5),NB!$X$179:$X$194,NB!$Y$179:$Y$194),D29))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IF(D30="","",IF($H$3="BE",LOOKUP(IF(E30="",D30+0.01,D30*$H$30/E30+0.5),NB!$X$179:$X$194,NB!$Y$179:$Y$194),D30))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IF(D31="","",IF($H$3="BE",LOOKUP(IF(E31="",D31+0.01,D31*$H$30/E31+0.5),NB!$X$179:$X$194,NB!$Y$179:$Y$194),D31))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IF(D32="","",IF($H$3="BE",LOOKUP(IF(E32="",D32+0.01,D32*$H$30/E32+0.5),NB!$X$179:$X$194,NB!$Y$179:$Y$194),D32))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IF(D33="","",IF($H$3="BE",LOOKUP(IF(E33="",D33+0.01,D33*$H$30/E33+0.5),NB!$X$179:$X$194,NB!$Y$179:$Y$194),D33))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IF(D34="","",IF($H$3="BE",LOOKUP(IF(E34="",D34+0.01,D34*$H$30/E34+0.5),NB!$X$179:$X$194,NB!$Y$179:$Y$194),D34))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IF(D35="","",IF($H$3="BE",LOOKUP(IF(E35="",D35+0.01,D35*$H$30/E35+0.5),NB!$X$179:$X$194,NB!$Y$179:$Y$194),D35))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IF(D36="","",IF($H$3="BE",LOOKUP(IF(E36="",D36+0.01,D36*$H$30/E36+0.5),NB!$X$179:$X$194,NB!$Y$179:$Y$194),D36))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IF(D37="","",IF($H$3="BE",LOOKUP(IF(E37="",D37+0.01,D37*$H$30/E37+0.5),NB!$X$179:$X$194,NB!$Y$179:$Y$194),D37))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IF(D38="","",IF($H$3="BE",LOOKUP(IF(E38="",D38+0.01,D38*$H$30/E38+0.5),NB!$X$179:$X$194,NB!$Y$179:$Y$194),D38))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8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9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70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TEXT(NB!V161,"#0")&amp;"                      "&amp;TEXT(NB!Y161,"#0")&amp;"   "</f>
        <v xml:space="preserve">2                      15   </v>
      </c>
      <c r="C43" s="281">
        <f>+NB!W161</f>
        <v>40</v>
      </c>
      <c r="D43" s="264">
        <f>+NB!X161</f>
        <v>38.5</v>
      </c>
      <c r="E43" s="226" t="str">
        <f>+NB!Z161</f>
        <v xml:space="preserve"> </v>
      </c>
      <c r="F43" s="226"/>
      <c r="G43" s="229" t="str">
        <f>+NB!AA161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TEXT(NB!V162,"#0")&amp;"                      "&amp;TEXT(NB!Y162,"#0")&amp;"   "</f>
        <v xml:space="preserve">2                      14   </v>
      </c>
      <c r="C44" s="282">
        <f>+NB!W162</f>
        <v>38</v>
      </c>
      <c r="D44" s="265">
        <f>+NB!X162</f>
        <v>36.5</v>
      </c>
      <c r="E44" s="121" t="str">
        <f>+NB!Z162</f>
        <v xml:space="preserve"> </v>
      </c>
      <c r="F44" s="121"/>
      <c r="G44" s="221" t="str">
        <f>+NB!AA162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TEXT(NB!V163,"#0")&amp;"                      "&amp;TEXT(NB!Y163,"#0")&amp;"   "</f>
        <v xml:space="preserve">2                      13   </v>
      </c>
      <c r="C45" s="283">
        <f>+NB!W163</f>
        <v>36</v>
      </c>
      <c r="D45" s="266">
        <f>+NB!X163</f>
        <v>34.5</v>
      </c>
      <c r="E45" s="228" t="str">
        <f>+NB!Z163</f>
        <v xml:space="preserve"> </v>
      </c>
      <c r="F45" s="228"/>
      <c r="G45" s="230" t="str">
        <f>+NB!AA163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TEXT(NB!V164,"#0")&amp;"                      "&amp;TEXT(NB!Y164,"#0")&amp;"   "</f>
        <v xml:space="preserve">2                      12   </v>
      </c>
      <c r="C46" s="282">
        <f>+NB!W164</f>
        <v>34</v>
      </c>
      <c r="D46" s="265">
        <f>+NB!X164</f>
        <v>32.5</v>
      </c>
      <c r="E46" s="121" t="str">
        <f>+NB!Z164</f>
        <v xml:space="preserve"> </v>
      </c>
      <c r="F46" s="121"/>
      <c r="G46" s="221" t="str">
        <f>+NB!AA164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TEXT(NB!V165,"#0")&amp;"                      "&amp;TEXT(NB!Y165,"#0")&amp;"   "</f>
        <v xml:space="preserve">2                      11   </v>
      </c>
      <c r="C47" s="282">
        <f>+NB!W165</f>
        <v>32</v>
      </c>
      <c r="D47" s="265">
        <f>+NB!X165</f>
        <v>30.5</v>
      </c>
      <c r="E47" s="121" t="str">
        <f>+NB!Z165</f>
        <v xml:space="preserve"> </v>
      </c>
      <c r="F47" s="121"/>
      <c r="G47" s="221" t="str">
        <f>+NB!AA165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TEXT(NB!V166,"#0")&amp;"                      "&amp;TEXT(NB!Y166,"#0")&amp;"   "</f>
        <v xml:space="preserve">2                      10   </v>
      </c>
      <c r="C48" s="282">
        <f>+NB!W166</f>
        <v>30</v>
      </c>
      <c r="D48" s="265">
        <f>+NB!X166</f>
        <v>28.5</v>
      </c>
      <c r="E48" s="121" t="str">
        <f>+NB!Z166</f>
        <v xml:space="preserve"> </v>
      </c>
      <c r="F48" s="121"/>
      <c r="G48" s="221" t="str">
        <f>+NB!AA166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TEXT(NB!V167,"#0")&amp;"                        "&amp;TEXT(NB!Y167,"#0")&amp;"   "</f>
        <v xml:space="preserve">2                        9   </v>
      </c>
      <c r="C49" s="281">
        <f>+NB!W167</f>
        <v>28</v>
      </c>
      <c r="D49" s="264">
        <f>+NB!X167</f>
        <v>26.5</v>
      </c>
      <c r="E49" s="226" t="str">
        <f>+NB!Z167</f>
        <v xml:space="preserve"> </v>
      </c>
      <c r="F49" s="226"/>
      <c r="G49" s="229" t="str">
        <f>+NB!AA167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TEXT(NB!V168,"#0")&amp;"                        "&amp;TEXT(NB!Y168,"#0")&amp;"   "</f>
        <v xml:space="preserve">2                        8   </v>
      </c>
      <c r="C50" s="282">
        <f>+NB!W168</f>
        <v>26</v>
      </c>
      <c r="D50" s="265">
        <f>+NB!X168</f>
        <v>24.5</v>
      </c>
      <c r="E50" s="121" t="str">
        <f>+NB!Z168</f>
        <v xml:space="preserve"> </v>
      </c>
      <c r="F50" s="121"/>
      <c r="G50" s="221" t="str">
        <f>+NB!AA168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TEXT(NB!V169,"#0")&amp;"                        "&amp;TEXT(NB!Y169,"#0")&amp;"   "</f>
        <v xml:space="preserve">2                        7   </v>
      </c>
      <c r="C51" s="283">
        <f>+NB!W169</f>
        <v>24</v>
      </c>
      <c r="D51" s="266">
        <f>+NB!X169</f>
        <v>22.5</v>
      </c>
      <c r="E51" s="228" t="str">
        <f>+NB!Z169</f>
        <v xml:space="preserve"> </v>
      </c>
      <c r="F51" s="228"/>
      <c r="G51" s="230" t="str">
        <f>+NB!AA169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TEXT(NB!V170,"#0")&amp;"                        "&amp;TEXT(NB!Y170,"#0")&amp;"   "</f>
        <v xml:space="preserve">2                        6   </v>
      </c>
      <c r="C52" s="282">
        <f>+NB!W170</f>
        <v>22</v>
      </c>
      <c r="D52" s="265">
        <f>+NB!X170</f>
        <v>20.5</v>
      </c>
      <c r="E52" s="121" t="str">
        <f>+NB!Z170</f>
        <v xml:space="preserve"> </v>
      </c>
      <c r="F52" s="121"/>
      <c r="G52" s="221" t="str">
        <f>+NB!AA170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TEXT(NB!V171,"#0")&amp;"                        "&amp;TEXT(NB!Y171,"#0")&amp;"   "</f>
        <v xml:space="preserve">2                        5   </v>
      </c>
      <c r="C53" s="282">
        <f>+NB!W171</f>
        <v>20</v>
      </c>
      <c r="D53" s="265">
        <f>+NB!X171</f>
        <v>18.5</v>
      </c>
      <c r="E53" s="121" t="str">
        <f>+NB!Z171</f>
        <v xml:space="preserve"> </v>
      </c>
      <c r="F53" s="121"/>
      <c r="G53" s="221" t="str">
        <f>+NB!AA171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TEXT(NB!V172,"#0")&amp;"                        "&amp;TEXT(NB!Y172,"#0")&amp;"   "</f>
        <v xml:space="preserve">2                        4   </v>
      </c>
      <c r="C54" s="282">
        <f>+NB!W172</f>
        <v>18</v>
      </c>
      <c r="D54" s="265">
        <f>+NB!X172</f>
        <v>16.5</v>
      </c>
      <c r="E54" s="121" t="str">
        <f>+NB!Z172</f>
        <v xml:space="preserve"> </v>
      </c>
      <c r="F54" s="121"/>
      <c r="G54" s="221" t="str">
        <f>+NB!AA172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TEXT(NB!V173,"#0")&amp;"                        "&amp;TEXT(NB!Y173,"#0")&amp;"   "</f>
        <v xml:space="preserve">3                        3   </v>
      </c>
      <c r="C55" s="281">
        <f>+NB!W173</f>
        <v>16</v>
      </c>
      <c r="D55" s="264">
        <f>+NB!X173</f>
        <v>13.5</v>
      </c>
      <c r="E55" s="226" t="str">
        <f>+NB!Z173</f>
        <v xml:space="preserve"> </v>
      </c>
      <c r="F55" s="226"/>
      <c r="G55" s="229" t="str">
        <f>+NB!AA173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TEXT(NB!V174,"#0")&amp;"                        "&amp;TEXT(NB!Y174,"#0")&amp;"   "</f>
        <v xml:space="preserve">3                        2   </v>
      </c>
      <c r="C56" s="282">
        <f>+NB!W174</f>
        <v>13</v>
      </c>
      <c r="D56" s="265">
        <f>+NB!X174</f>
        <v>11</v>
      </c>
      <c r="E56" s="121" t="str">
        <f>+NB!Z174</f>
        <v xml:space="preserve"> </v>
      </c>
      <c r="F56" s="121"/>
      <c r="G56" s="221" t="str">
        <f>+NB!AA174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TEXT(NB!V175,"#0")&amp;"                        "&amp;TEXT(NB!Y175,"#0")&amp;"   "</f>
        <v xml:space="preserve">3                        1   </v>
      </c>
      <c r="C57" s="283">
        <f>+NB!W175</f>
        <v>10.5</v>
      </c>
      <c r="D57" s="266">
        <f>+NB!X175</f>
        <v>8</v>
      </c>
      <c r="E57" s="228" t="str">
        <f>+NB!Z175</f>
        <v xml:space="preserve"> </v>
      </c>
      <c r="F57" s="228"/>
      <c r="G57" s="230" t="str">
        <f>+NB!AA175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TEXT(NB!V176,"#0")&amp;"                        "&amp;TEXT(NB!Y176,"#0")&amp;"   "</f>
        <v xml:space="preserve">8                        0   </v>
      </c>
      <c r="C58" s="284">
        <f>+NB!W176</f>
        <v>7.5</v>
      </c>
      <c r="D58" s="267">
        <f>+NB!X176</f>
        <v>0</v>
      </c>
      <c r="E58" s="223" t="str">
        <f>+NB!Z176</f>
        <v xml:space="preserve"> </v>
      </c>
      <c r="F58" s="223"/>
      <c r="G58" s="224" t="str">
        <f>+NB!AA176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C2" sqref="C2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tr">
        <f>IF(LEN(I1Ext!$B$1)=22,"I - 2. Extemporale aus","I - 2. Kurzarbeit aus")</f>
        <v>I - 2. Extemporale aus</v>
      </c>
      <c r="C1" s="189" t="str">
        <f>IF(Notenbogen!E1="","",Notenbogen!E1)</f>
        <v/>
      </c>
      <c r="D1" s="190"/>
      <c r="E1" s="160"/>
      <c r="F1" s="162" t="s">
        <v>12</v>
      </c>
      <c r="G1" s="473"/>
      <c r="H1" s="474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200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IF(D4="","",IF($H$3="BE",LOOKUP(IF(E4="",D4+0.01,D4*$H$30/E4+0.5),NB!$X$249:$X$264,NB!$Y$249:$Y$264),D4))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IF(D5="","",IF($H$3="BE",LOOKUP(IF(E5="",D5+0.01,D5*$H$30/E5+0.5),NB!$X$249:$X$264,NB!$Y$249:$Y$264),D5))</f>
        <v/>
      </c>
      <c r="D5" s="6"/>
      <c r="E5" s="111"/>
      <c r="F5" s="455" t="s">
        <v>11</v>
      </c>
      <c r="G5" s="456"/>
      <c r="H5" s="456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IF(D6="","",IF($H$3="BE",LOOKUP(IF(E6="",D6+0.01,D6*$H$30/E6+0.5),NB!$X$249:$X$264,NB!$Y$249:$Y$264),D6))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IF(D7="","",IF($H$3="BE",LOOKUP(IF(E7="",D7+0.01,D7*$H$30/E7+0.5),NB!$X$249:$X$264,NB!$Y$249:$Y$264),D7))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IF(D8="","",IF($H$3="BE",LOOKUP(IF(E8="",D8+0.01,D8*$H$30/E8+0.5),NB!$X$249:$X$264,NB!$Y$249:$Y$264),D8))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IF(D9="","",IF($H$3="BE",LOOKUP(IF(E9="",D9+0.01,D9*$H$30/E9+0.5),NB!$X$249:$X$264,NB!$Y$249:$Y$264),D9))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IF(D10="","",IF($H$3="BE",LOOKUP(IF(E10="",D10+0.01,D10*$H$30/E10+0.5),NB!$X$249:$X$264,NB!$Y$249:$Y$264),D10))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IF(D11="","",IF($H$3="BE",LOOKUP(IF(E11="",D11+0.01,D11*$H$30/E11+0.5),NB!$X$249:$X$264,NB!$Y$249:$Y$264),D11))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IF(D12="","",IF($H$3="BE",LOOKUP(IF(E12="",D12+0.01,D12*$H$30/E12+0.5),NB!$X$249:$X$264,NB!$Y$249:$Y$264),D12))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IF(D14="","",IF($H$3="BE",LOOKUP(IF(E14="",D14+0.01,D14*$H$30/E14+0.5),NB!$X$249:$X$264,NB!$Y$249:$Y$264),D14))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IF(D18="","",IF($H$3="BE",LOOKUP(IF(E18="",D18+0.01,D18*$H$30/E18+0.5),NB!$X$249:$X$264,NB!$Y$249:$Y$264),D18))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IF(D19="","",IF($H$3="BE",LOOKUP(IF(E19="",D19+0.01,D19*$H$30/E19+0.5),NB!$X$249:$X$264,NB!$Y$249:$Y$264),D19))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IF(D20="","",IF($H$3="BE",LOOKUP(IF(E20="",D20+0.01,D20*$H$30/E20+0.5),NB!$X$249:$X$264,NB!$Y$249:$Y$264),D20))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IF(D21="","",IF($H$3="BE",LOOKUP(IF(E21="",D21+0.01,D21*$H$30/E21+0.5),NB!$X$249:$X$264,NB!$Y$249:$Y$264),D21))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IF(D22="","",IF($H$3="BE",LOOKUP(IF(E22="",D22+0.01,D22*$H$30/E22+0.5),NB!$X$249:$X$264,NB!$Y$249:$Y$264),D22))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IF(D23="","",IF($H$3="BE",LOOKUP(IF(E23="",D23+0.01,D23*$H$30/E23+0.5),NB!$X$249:$X$264,NB!$Y$249:$Y$264),D23))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IF(D24="","",IF($H$3="BE",LOOKUP(IF(E24="",D24+0.01,D24*$H$30/E24+0.5),NB!$X$249:$X$264,NB!$Y$249:$Y$264),D24))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IF(D25="","",IF($H$3="BE",LOOKUP(IF(E25="",D25+0.01,D25*$H$30/E25+0.5),NB!$X$249:$X$264,NB!$Y$249:$Y$264),D25))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IF(D26="","",IF($H$3="BE",LOOKUP(IF(E26="",D26+0.01,D26*$H$30/E26+0.5),NB!$X$249:$X$264,NB!$Y$249:$Y$264),D26))</f>
        <v/>
      </c>
      <c r="D26" s="6"/>
      <c r="E26" s="111"/>
      <c r="F26" s="180" t="s">
        <v>14</v>
      </c>
      <c r="G26" s="10">
        <f>+G27-G25</f>
        <v>35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IF(D27="","",IF($H$3="BE",LOOKUP(IF(E27="",D27+0.01,D27*$H$30/E27+0.5),NB!$X$249:$X$264,NB!$Y$249:$Y$264),D27))</f>
        <v/>
      </c>
      <c r="D27" s="6"/>
      <c r="E27" s="111"/>
      <c r="F27" s="180" t="s">
        <v>15</v>
      </c>
      <c r="G27" s="10">
        <f>35-COUNTIF(J4:J38,", ")</f>
        <v>35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IF(D28="","",IF($H$3="BE",LOOKUP(IF(E28="",D28+0.01,D28*$H$30/E28+0.5),NB!$X$249:$X$264,NB!$Y$249:$Y$264),D28))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IF(D29="","",IF($H$3="BE",LOOKUP(IF(E29="",D29+0.01,D29*$H$30/E29+0.5),NB!$X$249:$X$264,NB!$Y$249:$Y$264),D29))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IF(D30="","",IF($H$3="BE",LOOKUP(IF(E30="",D30+0.01,D30*$H$30/E30+0.5),NB!$X$249:$X$264,NB!$Y$249:$Y$264),D30))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IF(D31="","",IF($H$3="BE",LOOKUP(IF(E31="",D31+0.01,D31*$H$30/E31+0.5),NB!$X$249:$X$264,NB!$Y$249:$Y$264),D31))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IF(D32="","",IF($H$3="BE",LOOKUP(IF(E32="",D32+0.01,D32*$H$30/E32+0.5),NB!$X$249:$X$264,NB!$Y$249:$Y$264),D32))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IF(D33="","",IF($H$3="BE",LOOKUP(IF(E33="",D33+0.01,D33*$H$30/E33+0.5),NB!$X$249:$X$264,NB!$Y$249:$Y$264),D33))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IF(D34="","",IF($H$3="BE",LOOKUP(IF(E34="",D34+0.01,D34*$H$30/E34+0.5),NB!$X$249:$X$264,NB!$Y$249:$Y$264),D34))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IF(D35="","",IF($H$3="BE",LOOKUP(IF(E35="",D35+0.01,D35*$H$30/E35+0.5),NB!$X$249:$X$264,NB!$Y$249:$Y$264),D35))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IF(D36="","",IF($H$3="BE",LOOKUP(IF(E36="",D36+0.01,D36*$H$30/E36+0.5),NB!$X$249:$X$264,NB!$Y$249:$Y$264),D36))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IF(D37="","",IF($H$3="BE",LOOKUP(IF(E37="",D37+0.01,D37*$H$30/E37+0.5),NB!$X$249:$X$264,NB!$Y$249:$Y$264),D37))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IF(D38="","",IF($H$3="BE",LOOKUP(IF(E38="",D38+0.01,D38*$H$30/E38+0.5),NB!$X$249:$X$264,NB!$Y$249:$Y$264),D38))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8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9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70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TEXT(NB!V231,"#0")&amp;"                      "&amp;TEXT(NB!Y231,"#0")&amp;"   "</f>
        <v xml:space="preserve">2                      15   </v>
      </c>
      <c r="C43" s="281">
        <f>+NB!W231</f>
        <v>40</v>
      </c>
      <c r="D43" s="264">
        <f>+NB!X231</f>
        <v>38.5</v>
      </c>
      <c r="E43" s="226" t="str">
        <f>+NB!Z231</f>
        <v xml:space="preserve"> </v>
      </c>
      <c r="F43" s="226"/>
      <c r="G43" s="229" t="str">
        <f>+NB!AA231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TEXT(NB!V232,"#0")&amp;"                      "&amp;TEXT(NB!Y232,"#0")&amp;"   "</f>
        <v xml:space="preserve">2                      14   </v>
      </c>
      <c r="C44" s="282">
        <f>+NB!W232</f>
        <v>38</v>
      </c>
      <c r="D44" s="265">
        <f>+NB!X232</f>
        <v>36.5</v>
      </c>
      <c r="E44" s="121" t="str">
        <f>+NB!Z232</f>
        <v xml:space="preserve"> </v>
      </c>
      <c r="F44" s="121"/>
      <c r="G44" s="221" t="str">
        <f>+NB!AA232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TEXT(NB!V233,"#0")&amp;"                      "&amp;TEXT(NB!Y233,"#0")&amp;"   "</f>
        <v xml:space="preserve">2                      13   </v>
      </c>
      <c r="C45" s="283">
        <f>+NB!W233</f>
        <v>36</v>
      </c>
      <c r="D45" s="266">
        <f>+NB!X233</f>
        <v>34.5</v>
      </c>
      <c r="E45" s="228" t="str">
        <f>+NB!Z233</f>
        <v xml:space="preserve"> </v>
      </c>
      <c r="F45" s="228"/>
      <c r="G45" s="230" t="str">
        <f>+NB!AA233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TEXT(NB!V234,"#0")&amp;"                      "&amp;TEXT(NB!Y234,"#0")&amp;"   "</f>
        <v xml:space="preserve">2                      12   </v>
      </c>
      <c r="C46" s="282">
        <f>+NB!W234</f>
        <v>34</v>
      </c>
      <c r="D46" s="265">
        <f>+NB!X234</f>
        <v>32.5</v>
      </c>
      <c r="E46" s="121" t="str">
        <f>+NB!Z234</f>
        <v xml:space="preserve"> </v>
      </c>
      <c r="F46" s="121"/>
      <c r="G46" s="221" t="str">
        <f>+NB!AA234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TEXT(NB!V235,"#0")&amp;"                      "&amp;TEXT(NB!Y235,"#0")&amp;"   "</f>
        <v xml:space="preserve">2                      11   </v>
      </c>
      <c r="C47" s="282">
        <f>+NB!W235</f>
        <v>32</v>
      </c>
      <c r="D47" s="265">
        <f>+NB!X235</f>
        <v>30.5</v>
      </c>
      <c r="E47" s="121" t="str">
        <f>+NB!Z235</f>
        <v xml:space="preserve"> </v>
      </c>
      <c r="F47" s="121"/>
      <c r="G47" s="221" t="str">
        <f>+NB!AA235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TEXT(NB!V236,"#0")&amp;"                      "&amp;TEXT(NB!Y236,"#0")&amp;"   "</f>
        <v xml:space="preserve">2                      10   </v>
      </c>
      <c r="C48" s="282">
        <f>+NB!W236</f>
        <v>30</v>
      </c>
      <c r="D48" s="265">
        <f>+NB!X236</f>
        <v>28.5</v>
      </c>
      <c r="E48" s="121" t="str">
        <f>+NB!Z236</f>
        <v xml:space="preserve"> </v>
      </c>
      <c r="F48" s="121"/>
      <c r="G48" s="221" t="str">
        <f>+NB!AA236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TEXT(NB!V237,"#0")&amp;"                        "&amp;TEXT(NB!Y237,"#0")&amp;"   "</f>
        <v xml:space="preserve">2                        9   </v>
      </c>
      <c r="C49" s="281">
        <f>+NB!W237</f>
        <v>28</v>
      </c>
      <c r="D49" s="264">
        <f>+NB!X237</f>
        <v>26.5</v>
      </c>
      <c r="E49" s="226" t="str">
        <f>+NB!Z237</f>
        <v xml:space="preserve"> </v>
      </c>
      <c r="F49" s="226"/>
      <c r="G49" s="229" t="str">
        <f>+NB!AA237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TEXT(NB!V238,"#0")&amp;"                        "&amp;TEXT(NB!Y238,"#0")&amp;"   "</f>
        <v xml:space="preserve">2                        8   </v>
      </c>
      <c r="C50" s="282">
        <f>+NB!W238</f>
        <v>26</v>
      </c>
      <c r="D50" s="265">
        <f>+NB!X238</f>
        <v>24.5</v>
      </c>
      <c r="E50" s="121" t="str">
        <f>+NB!Z238</f>
        <v xml:space="preserve"> </v>
      </c>
      <c r="F50" s="121"/>
      <c r="G50" s="221" t="str">
        <f>+NB!AA238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TEXT(NB!V239,"#0")&amp;"                        "&amp;TEXT(NB!Y239,"#0")&amp;"   "</f>
        <v xml:space="preserve">2                        7   </v>
      </c>
      <c r="C51" s="283">
        <f>+NB!W239</f>
        <v>24</v>
      </c>
      <c r="D51" s="266">
        <f>+NB!X239</f>
        <v>22.5</v>
      </c>
      <c r="E51" s="228" t="str">
        <f>+NB!Z239</f>
        <v xml:space="preserve"> </v>
      </c>
      <c r="F51" s="228"/>
      <c r="G51" s="230" t="str">
        <f>+NB!AA239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TEXT(NB!V240,"#0")&amp;"                        "&amp;TEXT(NB!Y240,"#0")&amp;"   "</f>
        <v xml:space="preserve">2                        6   </v>
      </c>
      <c r="C52" s="282">
        <f>+NB!W240</f>
        <v>22</v>
      </c>
      <c r="D52" s="265">
        <f>+NB!X240</f>
        <v>20.5</v>
      </c>
      <c r="E52" s="121" t="str">
        <f>+NB!Z240</f>
        <v xml:space="preserve"> </v>
      </c>
      <c r="F52" s="121"/>
      <c r="G52" s="221" t="str">
        <f>+NB!AA240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TEXT(NB!V241,"#0")&amp;"                        "&amp;TEXT(NB!Y241,"#0")&amp;"   "</f>
        <v xml:space="preserve">2                        5   </v>
      </c>
      <c r="C53" s="282">
        <f>+NB!W241</f>
        <v>20</v>
      </c>
      <c r="D53" s="265">
        <f>+NB!X241</f>
        <v>18.5</v>
      </c>
      <c r="E53" s="121" t="str">
        <f>+NB!Z241</f>
        <v xml:space="preserve"> </v>
      </c>
      <c r="F53" s="121"/>
      <c r="G53" s="221" t="str">
        <f>+NB!AA241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TEXT(NB!V242,"#0")&amp;"                        "&amp;TEXT(NB!Y242,"#0")&amp;"   "</f>
        <v xml:space="preserve">2                        4   </v>
      </c>
      <c r="C54" s="282">
        <f>+NB!W242</f>
        <v>18</v>
      </c>
      <c r="D54" s="265">
        <f>+NB!X242</f>
        <v>16.5</v>
      </c>
      <c r="E54" s="121" t="str">
        <f>+NB!Z242</f>
        <v xml:space="preserve"> </v>
      </c>
      <c r="F54" s="121"/>
      <c r="G54" s="221" t="str">
        <f>+NB!AA242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TEXT(NB!V243,"#0")&amp;"                        "&amp;TEXT(NB!Y243,"#0")&amp;"   "</f>
        <v xml:space="preserve">3                        3   </v>
      </c>
      <c r="C55" s="281">
        <f>+NB!W243</f>
        <v>16</v>
      </c>
      <c r="D55" s="264">
        <f>+NB!X243</f>
        <v>13.5</v>
      </c>
      <c r="E55" s="226" t="str">
        <f>+NB!Z243</f>
        <v xml:space="preserve"> </v>
      </c>
      <c r="F55" s="226"/>
      <c r="G55" s="229" t="str">
        <f>+NB!AA243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TEXT(NB!V244,"#0")&amp;"                        "&amp;TEXT(NB!Y244,"#0")&amp;"   "</f>
        <v xml:space="preserve">3                        2   </v>
      </c>
      <c r="C56" s="282">
        <f>+NB!W244</f>
        <v>13</v>
      </c>
      <c r="D56" s="265">
        <f>+NB!X244</f>
        <v>11</v>
      </c>
      <c r="E56" s="121" t="str">
        <f>+NB!Z244</f>
        <v xml:space="preserve"> </v>
      </c>
      <c r="F56" s="121"/>
      <c r="G56" s="221" t="str">
        <f>+NB!AA244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TEXT(NB!V245,"#0")&amp;"                        "&amp;TEXT(NB!Y245,"#0")&amp;"   "</f>
        <v xml:space="preserve">3                        1   </v>
      </c>
      <c r="C57" s="283">
        <f>+NB!W245</f>
        <v>10.5</v>
      </c>
      <c r="D57" s="266">
        <f>+NB!X245</f>
        <v>8</v>
      </c>
      <c r="E57" s="228" t="str">
        <f>+NB!Z245</f>
        <v xml:space="preserve"> </v>
      </c>
      <c r="F57" s="228"/>
      <c r="G57" s="230" t="str">
        <f>+NB!AA245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TEXT(NB!V246,"#0")&amp;"                        "&amp;TEXT(NB!Y246,"#0")&amp;"   "</f>
        <v xml:space="preserve">8                        0   </v>
      </c>
      <c r="C58" s="284">
        <f>+NB!W246</f>
        <v>7.5</v>
      </c>
      <c r="D58" s="267">
        <f>+NB!X246</f>
        <v>0</v>
      </c>
      <c r="E58" s="223" t="str">
        <f>+NB!Z246</f>
        <v xml:space="preserve"> </v>
      </c>
      <c r="F58" s="223"/>
      <c r="G58" s="224" t="str">
        <f>+NB!AA246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G2" sqref="G2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 - 3. Extemporale aus","I - 3. Kurzarbeit aus")</f>
        <v>I - 3. Extemporale aus</v>
      </c>
      <c r="C1" s="152" t="str">
        <f>IF(Notenbogen!E1="","",Notenbogen!E1)</f>
        <v/>
      </c>
      <c r="D1" s="159"/>
      <c r="E1" s="1"/>
      <c r="F1" s="149" t="s">
        <v>12</v>
      </c>
      <c r="G1" s="473"/>
      <c r="H1" s="474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IF(D5="","",IF($H$3="BE",LOOKUP(IF(E5="",D5+0.01,D5*$H$30/E5+0.5),NB!$X$325:$X$340,NB!$Y$325:$Y$340),D5))</f>
        <v/>
      </c>
      <c r="D5" s="6"/>
      <c r="E5" s="111"/>
      <c r="F5" s="471" t="s">
        <v>11</v>
      </c>
      <c r="G5" s="472"/>
      <c r="H5" s="472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IF(D22="","",IF($H$3="BE",LOOKUP(IF(E22="",D22+0.01,D22*$H$30/E22+0.5),NB!$X$325:$X$340,NB!$Y$325:$Y$340),D22))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>+G27-G25</f>
        <v>35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>35-COUNTIF(J4:J38,", ")</f>
        <v>35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IF(D31="","",IF($H$3="BE",LOOKUP(IF(E31="",D31+0.01,D31*$H$30/E31+0.5),NB!$X$325:$X$340,NB!$Y$325:$Y$340),D31))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IF(D37="","",IF($H$3="BE",LOOKUP(IF(E37="",D37+0.01,D37*$H$30/E37+0.5),NB!$X$325:$X$340,NB!$Y$325:$Y$340),D37))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8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9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70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5" t="str">
        <f>TEXT(NB!V307,"#0")&amp;"                      "&amp;TEXT(NB!Y307,"#0")&amp;"   "</f>
        <v xml:space="preserve">2                      15   </v>
      </c>
      <c r="C43" s="281">
        <f>+NB!W307</f>
        <v>40</v>
      </c>
      <c r="D43" s="264">
        <f>+NB!X307</f>
        <v>38.5</v>
      </c>
      <c r="E43" s="226" t="str">
        <f>+NB!Z307</f>
        <v xml:space="preserve"> </v>
      </c>
      <c r="F43" s="226"/>
      <c r="G43" s="229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0" t="str">
        <f>TEXT(NB!V308,"#0")&amp;"                      "&amp;TEXT(NB!Y308,"#0")&amp;"   "</f>
        <v xml:space="preserve">2                      14   </v>
      </c>
      <c r="C44" s="282">
        <f>+NB!W308</f>
        <v>38</v>
      </c>
      <c r="D44" s="265">
        <f>+NB!X308</f>
        <v>36.5</v>
      </c>
      <c r="E44" s="121" t="str">
        <f>+NB!Z308</f>
        <v xml:space="preserve"> </v>
      </c>
      <c r="F44" s="121"/>
      <c r="G44" s="221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7" t="str">
        <f>TEXT(NB!V309,"#0")&amp;"                      "&amp;TEXT(NB!Y309,"#0")&amp;"   "</f>
        <v xml:space="preserve">2                      13   </v>
      </c>
      <c r="C45" s="283">
        <f>+NB!W309</f>
        <v>36</v>
      </c>
      <c r="D45" s="266">
        <f>+NB!X309</f>
        <v>34.5</v>
      </c>
      <c r="E45" s="228" t="str">
        <f>+NB!Z309</f>
        <v xml:space="preserve"> </v>
      </c>
      <c r="F45" s="228"/>
      <c r="G45" s="230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0" t="str">
        <f>TEXT(NB!V310,"#0")&amp;"                      "&amp;TEXT(NB!Y310,"#0")&amp;"   "</f>
        <v xml:space="preserve">2                      12   </v>
      </c>
      <c r="C46" s="282">
        <f>+NB!W310</f>
        <v>34</v>
      </c>
      <c r="D46" s="265">
        <f>+NB!X310</f>
        <v>32.5</v>
      </c>
      <c r="E46" s="121" t="str">
        <f>+NB!Z310</f>
        <v xml:space="preserve"> </v>
      </c>
      <c r="F46" s="121"/>
      <c r="G46" s="221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0" t="str">
        <f>TEXT(NB!V311,"#0")&amp;"                      "&amp;TEXT(NB!Y311,"#0")&amp;"   "</f>
        <v xml:space="preserve">2                      11   </v>
      </c>
      <c r="C47" s="282">
        <f>+NB!W311</f>
        <v>32</v>
      </c>
      <c r="D47" s="265">
        <f>+NB!X311</f>
        <v>30.5</v>
      </c>
      <c r="E47" s="121" t="str">
        <f>+NB!Z311</f>
        <v xml:space="preserve"> </v>
      </c>
      <c r="F47" s="121"/>
      <c r="G47" s="221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0" t="str">
        <f>TEXT(NB!V312,"#0")&amp;"                      "&amp;TEXT(NB!Y312,"#0")&amp;"   "</f>
        <v xml:space="preserve">2                      10   </v>
      </c>
      <c r="C48" s="282">
        <f>+NB!W312</f>
        <v>30</v>
      </c>
      <c r="D48" s="265">
        <f>+NB!X312</f>
        <v>28.5</v>
      </c>
      <c r="E48" s="121" t="str">
        <f>+NB!Z312</f>
        <v xml:space="preserve"> </v>
      </c>
      <c r="F48" s="121"/>
      <c r="G48" s="221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5" t="str">
        <f>TEXT(NB!V313,"#0")&amp;"                        "&amp;TEXT(NB!Y313,"#0")&amp;"   "</f>
        <v xml:space="preserve">2                        9   </v>
      </c>
      <c r="C49" s="281">
        <f>+NB!W313</f>
        <v>28</v>
      </c>
      <c r="D49" s="264">
        <f>+NB!X313</f>
        <v>26.5</v>
      </c>
      <c r="E49" s="226" t="str">
        <f>+NB!Z313</f>
        <v xml:space="preserve"> </v>
      </c>
      <c r="F49" s="226"/>
      <c r="G49" s="229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0" t="str">
        <f>TEXT(NB!V314,"#0")&amp;"                        "&amp;TEXT(NB!Y314,"#0")&amp;"   "</f>
        <v xml:space="preserve">2                        8   </v>
      </c>
      <c r="C50" s="282">
        <f>+NB!W314</f>
        <v>26</v>
      </c>
      <c r="D50" s="265">
        <f>+NB!X314</f>
        <v>24.5</v>
      </c>
      <c r="E50" s="121" t="str">
        <f>+NB!Z314</f>
        <v xml:space="preserve"> </v>
      </c>
      <c r="F50" s="121"/>
      <c r="G50" s="221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7" t="str">
        <f>TEXT(NB!V315,"#0")&amp;"                        "&amp;TEXT(NB!Y315,"#0")&amp;"   "</f>
        <v xml:space="preserve">2                        7   </v>
      </c>
      <c r="C51" s="283">
        <f>+NB!W315</f>
        <v>24</v>
      </c>
      <c r="D51" s="266">
        <f>+NB!X315</f>
        <v>22.5</v>
      </c>
      <c r="E51" s="228" t="str">
        <f>+NB!Z315</f>
        <v xml:space="preserve"> </v>
      </c>
      <c r="F51" s="228"/>
      <c r="G51" s="230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0" t="str">
        <f>TEXT(NB!V316,"#0")&amp;"                        "&amp;TEXT(NB!Y316,"#0")&amp;"   "</f>
        <v xml:space="preserve">2                        6   </v>
      </c>
      <c r="C52" s="282">
        <f>+NB!W316</f>
        <v>22</v>
      </c>
      <c r="D52" s="265">
        <f>+NB!X316</f>
        <v>20.5</v>
      </c>
      <c r="E52" s="121" t="str">
        <f>+NB!Z316</f>
        <v xml:space="preserve"> </v>
      </c>
      <c r="F52" s="121"/>
      <c r="G52" s="221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0" t="str">
        <f>TEXT(NB!V317,"#0")&amp;"                        "&amp;TEXT(NB!Y317,"#0")&amp;"   "</f>
        <v xml:space="preserve">2                        5   </v>
      </c>
      <c r="C53" s="282">
        <f>+NB!W317</f>
        <v>20</v>
      </c>
      <c r="D53" s="265">
        <f>+NB!X317</f>
        <v>18.5</v>
      </c>
      <c r="E53" s="121" t="str">
        <f>+NB!Z317</f>
        <v xml:space="preserve"> </v>
      </c>
      <c r="F53" s="121"/>
      <c r="G53" s="221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0" t="str">
        <f>TEXT(NB!V318,"#0")&amp;"                        "&amp;TEXT(NB!Y318,"#0")&amp;"   "</f>
        <v xml:space="preserve">2                        4   </v>
      </c>
      <c r="C54" s="282">
        <f>+NB!W318</f>
        <v>18</v>
      </c>
      <c r="D54" s="265">
        <f>+NB!X318</f>
        <v>16.5</v>
      </c>
      <c r="E54" s="121" t="str">
        <f>+NB!Z318</f>
        <v xml:space="preserve"> </v>
      </c>
      <c r="F54" s="121"/>
      <c r="G54" s="221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5" t="str">
        <f>TEXT(NB!V319,"#0")&amp;"                        "&amp;TEXT(NB!Y319,"#0")&amp;"   "</f>
        <v xml:space="preserve">3                        3   </v>
      </c>
      <c r="C55" s="281">
        <f>+NB!W319</f>
        <v>16</v>
      </c>
      <c r="D55" s="264">
        <f>+NB!X319</f>
        <v>13.5</v>
      </c>
      <c r="E55" s="226" t="str">
        <f>+NB!Z319</f>
        <v xml:space="preserve"> </v>
      </c>
      <c r="F55" s="226"/>
      <c r="G55" s="229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0" t="str">
        <f>TEXT(NB!V320,"#0")&amp;"                        "&amp;TEXT(NB!Y320,"#0")&amp;"   "</f>
        <v xml:space="preserve">3                        2   </v>
      </c>
      <c r="C56" s="282">
        <f>+NB!W320</f>
        <v>13</v>
      </c>
      <c r="D56" s="265">
        <f>+NB!X320</f>
        <v>11</v>
      </c>
      <c r="E56" s="121" t="str">
        <f>+NB!Z320</f>
        <v xml:space="preserve"> </v>
      </c>
      <c r="F56" s="121"/>
      <c r="G56" s="221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7" t="str">
        <f>TEXT(NB!V321,"#0")&amp;"                        "&amp;TEXT(NB!Y321,"#0")&amp;"   "</f>
        <v xml:space="preserve">3                        1   </v>
      </c>
      <c r="C57" s="283">
        <f>+NB!W321</f>
        <v>10.5</v>
      </c>
      <c r="D57" s="266">
        <f>+NB!X321</f>
        <v>8</v>
      </c>
      <c r="E57" s="228" t="str">
        <f>+NB!Z321</f>
        <v xml:space="preserve"> </v>
      </c>
      <c r="F57" s="228"/>
      <c r="G57" s="230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2" t="str">
        <f>TEXT(NB!V322,"#0")&amp;"                        "&amp;TEXT(NB!Y322,"#0")&amp;"   "</f>
        <v xml:space="preserve">8                        0   </v>
      </c>
      <c r="C58" s="284">
        <f>+NB!W322</f>
        <v>7.5</v>
      </c>
      <c r="D58" s="267">
        <f>+NB!X322</f>
        <v>0</v>
      </c>
      <c r="E58" s="223" t="str">
        <f>+NB!Z322</f>
        <v xml:space="preserve"> </v>
      </c>
      <c r="F58" s="223"/>
      <c r="G58" s="224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G2" sqref="G2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44</v>
      </c>
      <c r="C1" s="189" t="str">
        <f>IF(Notenbogen!E1="","",Notenbogen!E1)</f>
        <v/>
      </c>
      <c r="D1" s="190"/>
      <c r="E1" s="160"/>
      <c r="F1" s="162" t="s">
        <v>12</v>
      </c>
      <c r="G1" s="473"/>
      <c r="H1" s="474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IF(D4="","",IF($H$3="BE",LOOKUP(IF(E4="",D4+0.01,D4*$H$30/E4+0.5),NB!$X$396:$X$411,NB!$Y$396:$Y$411),D4))</f>
        <v/>
      </c>
      <c r="D4" s="6"/>
      <c r="E4" s="206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IF(D5="","",IF($H$3="BE",LOOKUP(IF(E5="",D5+0.01,D5*$H$30/E5+0.5),NB!$X$396:$X$411,NB!$Y$396:$Y$411),D5))</f>
        <v/>
      </c>
      <c r="D5" s="6"/>
      <c r="E5" s="111"/>
      <c r="F5" s="455" t="s">
        <v>11</v>
      </c>
      <c r="G5" s="456"/>
      <c r="H5" s="456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IF(D6="","",IF($H$3="BE",LOOKUP(IF(E6="",D6+0.01,D6*$H$30/E6+0.5),NB!$X$396:$X$411,NB!$Y$396:$Y$411),D6))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IF(D7="","",IF($H$3="BE",LOOKUP(IF(E7="",D7+0.01,D7*$H$30/E7+0.5),NB!$X$396:$X$411,NB!$Y$396:$Y$411),D7))</f>
        <v/>
      </c>
      <c r="D7" s="6"/>
      <c r="E7" s="111"/>
      <c r="F7" s="172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IF(D8="","",IF($H$3="BE",LOOKUP(IF(E8="",D8+0.01,D8*$H$30/E8+0.5),NB!$X$396:$X$411,NB!$Y$396:$Y$411),D8))</f>
        <v/>
      </c>
      <c r="D8" s="6"/>
      <c r="E8" s="111"/>
      <c r="F8" s="173">
        <v>14</v>
      </c>
      <c r="G8" s="91">
        <f t="shared" si="1"/>
        <v>0</v>
      </c>
      <c r="H8" s="108" t="e">
        <f t="shared" si="2"/>
        <v>#DIV/0!</v>
      </c>
      <c r="I8" s="201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IF(D9="","",IF($H$3="BE",LOOKUP(IF(E9="",D9+0.01,D9*$H$30/E9+0.5),NB!$X$396:$X$411,NB!$Y$396:$Y$411),D9))</f>
        <v/>
      </c>
      <c r="D9" s="6"/>
      <c r="E9" s="111"/>
      <c r="F9" s="174">
        <v>13</v>
      </c>
      <c r="G9" s="100">
        <f t="shared" si="1"/>
        <v>0</v>
      </c>
      <c r="H9" s="109" t="e">
        <f t="shared" si="2"/>
        <v>#DIV/0!</v>
      </c>
      <c r="I9" s="207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IF(D10="","",IF($H$3="BE",LOOKUP(IF(E10="",D10+0.01,D10*$H$30/E10+0.5),NB!$X$396:$X$411,NB!$Y$396:$Y$411),D10))</f>
        <v/>
      </c>
      <c r="D10" s="6"/>
      <c r="E10" s="111"/>
      <c r="F10" s="172">
        <v>12</v>
      </c>
      <c r="G10" s="95">
        <f t="shared" si="1"/>
        <v>0</v>
      </c>
      <c r="H10" s="107" t="e">
        <f t="shared" si="2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IF(D11="","",IF($H$3="BE",LOOKUP(IF(E11="",D11+0.01,D11*$H$30/E11+0.5),NB!$X$396:$X$411,NB!$Y$396:$Y$411),D11))</f>
        <v/>
      </c>
      <c r="D11" s="6"/>
      <c r="E11" s="111"/>
      <c r="F11" s="173">
        <v>11</v>
      </c>
      <c r="G11" s="91">
        <f t="shared" si="1"/>
        <v>0</v>
      </c>
      <c r="H11" s="108" t="e">
        <f t="shared" si="2"/>
        <v>#DIV/0!</v>
      </c>
      <c r="I11" s="201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IF(D12="","",IF($H$3="BE",LOOKUP(IF(E12="",D12+0.01,D12*$H$30/E12+0.5),NB!$X$396:$X$411,NB!$Y$396:$Y$411),D12))</f>
        <v/>
      </c>
      <c r="D12" s="6"/>
      <c r="E12" s="111"/>
      <c r="F12" s="174">
        <v>10</v>
      </c>
      <c r="G12" s="100">
        <f t="shared" si="1"/>
        <v>0</v>
      </c>
      <c r="H12" s="109" t="e">
        <f t="shared" si="2"/>
        <v>#DIV/0!</v>
      </c>
      <c r="I12" s="207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IF(D14="","",IF($H$3="BE",LOOKUP(IF(E14="",D14+0.01,D14*$H$30/E14+0.5),NB!$X$396:$X$411,NB!$Y$396:$Y$411),D14))</f>
        <v/>
      </c>
      <c r="D14" s="6"/>
      <c r="E14" s="111"/>
      <c r="F14" s="173">
        <v>8</v>
      </c>
      <c r="G14" s="91">
        <f t="shared" si="1"/>
        <v>0</v>
      </c>
      <c r="H14" s="108" t="e">
        <f t="shared" si="2"/>
        <v>#DIV/0!</v>
      </c>
      <c r="I14" s="201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207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201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IF(D18="","",IF($H$3="BE",LOOKUP(IF(E18="",D18+0.01,D18*$H$30/E18+0.5),NB!$X$396:$X$411,NB!$Y$396:$Y$411),D18))</f>
        <v/>
      </c>
      <c r="D18" s="6"/>
      <c r="E18" s="111"/>
      <c r="F18" s="174">
        <v>4</v>
      </c>
      <c r="G18" s="100">
        <f t="shared" si="1"/>
        <v>0</v>
      </c>
      <c r="H18" s="109" t="e">
        <f t="shared" si="2"/>
        <v>#DIV/0!</v>
      </c>
      <c r="I18" s="207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IF(D19="","",IF($H$3="BE",LOOKUP(IF(E19="",D19+0.01,D19*$H$30/E19+0.5),NB!$X$396:$X$411,NB!$Y$396:$Y$411),D19))</f>
        <v/>
      </c>
      <c r="D19" s="6"/>
      <c r="E19" s="206"/>
      <c r="F19" s="172">
        <v>3</v>
      </c>
      <c r="G19" s="95">
        <f t="shared" si="1"/>
        <v>0</v>
      </c>
      <c r="H19" s="107" t="e">
        <f t="shared" si="2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IF(D20="","",IF($H$3="BE",LOOKUP(IF(E20="",D20+0.01,D20*$H$30/E20+0.5),NB!$X$396:$X$411,NB!$Y$396:$Y$411),D20))</f>
        <v/>
      </c>
      <c r="D20" s="6"/>
      <c r="E20" s="111"/>
      <c r="F20" s="173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IF(D21="","",IF($H$3="BE",LOOKUP(IF(E21="",D21+0.01,D21*$H$30/E21+0.5),NB!$X$396:$X$411,NB!$Y$396:$Y$411),D21))</f>
        <v/>
      </c>
      <c r="D21" s="6"/>
      <c r="E21" s="111"/>
      <c r="F21" s="174">
        <v>1</v>
      </c>
      <c r="G21" s="100">
        <f t="shared" si="1"/>
        <v>0</v>
      </c>
      <c r="H21" s="109" t="e">
        <f t="shared" si="2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IF(D22="","",IF($H$3="BE",LOOKUP(IF(E22="",D22+0.01,D22*$H$30/E22+0.5),NB!$X$396:$X$411,NB!$Y$396:$Y$411),D22))</f>
        <v/>
      </c>
      <c r="D22" s="6"/>
      <c r="E22" s="111"/>
      <c r="F22" s="176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IF(D23="","",IF($H$3="BE",LOOKUP(IF(E23="",D23+0.01,D23*$H$30/E23+0.5),NB!$X$396:$X$411,NB!$Y$396:$Y$411),D23))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IF(D24="","",IF($H$3="BE",LOOKUP(IF(E24="",D24+0.01,D24*$H$30/E24+0.5),NB!$X$396:$X$411,NB!$Y$396:$Y$411),D24))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IF(D25="","",IF($H$3="BE",LOOKUP(IF(E25="",D25+0.01,D25*$H$30/E25+0.5),NB!$X$396:$X$411,NB!$Y$396:$Y$411),D25))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IF(D26="","",IF($H$3="BE",LOOKUP(IF(E26="",D26+0.01,D26*$H$30/E26+0.5),NB!$X$396:$X$411,NB!$Y$396:$Y$411),D26))</f>
        <v/>
      </c>
      <c r="D26" s="6"/>
      <c r="E26" s="111"/>
      <c r="F26" s="180" t="s">
        <v>14</v>
      </c>
      <c r="G26" s="10">
        <f>+G27-G25</f>
        <v>35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IF(D27="","",IF($H$3="BE",LOOKUP(IF(E27="",D27+0.01,D27*$H$30/E27+0.5),NB!$X$396:$X$411,NB!$Y$396:$Y$411),D27))</f>
        <v/>
      </c>
      <c r="D27" s="6"/>
      <c r="E27" s="111"/>
      <c r="F27" s="180" t="s">
        <v>15</v>
      </c>
      <c r="G27" s="10">
        <f>35-COUNTIF(J4:J38,", ")</f>
        <v>35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IF(D28="","",IF($H$3="BE",LOOKUP(IF(E28="",D28+0.01,D28*$H$30/E28+0.5),NB!$X$396:$X$411,NB!$Y$396:$Y$411),D28))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IF(D29="","",IF($H$3="BE",LOOKUP(IF(E29="",D29+0.01,D29*$H$30/E29+0.5),NB!$X$396:$X$411,NB!$Y$396:$Y$411),D29))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IF(D30="","",IF($H$3="BE",LOOKUP(IF(E30="",D30+0.01,D30*$H$30/E30+0.5),NB!$X$396:$X$411,NB!$Y$396:$Y$411),D30))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IF(D31="","",IF($H$3="BE",LOOKUP(IF(E31="",D31+0.01,D31*$H$30/E31+0.5),NB!$X$396:$X$411,NB!$Y$396:$Y$411),D31))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IF(D32="","",IF($H$3="BE",LOOKUP(IF(E32="",D32+0.01,D32*$H$30/E32+0.5),NB!$X$396:$X$411,NB!$Y$396:$Y$411),D32))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IF(D33="","",IF($H$3="BE",LOOKUP(IF(E33="",D33+0.01,D33*$H$30/E33+0.5),NB!$X$396:$X$411,NB!$Y$396:$Y$411),D33))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IF(D34="","",IF($H$3="BE",LOOKUP(IF(E34="",D34+0.01,D34*$H$30/E34+0.5),NB!$X$396:$X$411,NB!$Y$396:$Y$411),D34))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IF(D35="","",IF($H$3="BE",LOOKUP(IF(E35="",D35+0.01,D35*$H$30/E35+0.5),NB!$X$396:$X$411,NB!$Y$396:$Y$411),D35))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IF(D36="","",IF($H$3="BE",LOOKUP(IF(E36="",D36+0.01,D36*$H$30/E36+0.5),NB!$X$396:$X$411,NB!$Y$396:$Y$411),D36))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IF(D37="","",IF($H$3="BE",LOOKUP(IF(E37="",D37+0.01,D37*$H$30/E37+0.5),NB!$X$396:$X$411,NB!$Y$396:$Y$411),D37))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IF(D38="","",IF($H$3="BE",LOOKUP(IF(E38="",D38+0.01,D38*$H$30/E38+0.5),NB!$X$396:$X$411,NB!$Y$396:$Y$411),D38))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8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9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70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TEXT(NB!V378,"#0")&amp;"                      "&amp;TEXT(NB!Y378,"#0")&amp;"   "</f>
        <v xml:space="preserve">2                      15   </v>
      </c>
      <c r="C43" s="281">
        <f>+NB!W378</f>
        <v>40</v>
      </c>
      <c r="D43" s="264">
        <f>+NB!X378</f>
        <v>38.5</v>
      </c>
      <c r="E43" s="226" t="str">
        <f>+NB!Z378</f>
        <v xml:space="preserve"> </v>
      </c>
      <c r="F43" s="226"/>
      <c r="G43" s="229" t="str">
        <f>+NB!AA378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TEXT(NB!V379,"#0")&amp;"                      "&amp;TEXT(NB!Y379,"#0")&amp;"   "</f>
        <v xml:space="preserve">2                      14   </v>
      </c>
      <c r="C44" s="282">
        <f>+NB!W379</f>
        <v>38</v>
      </c>
      <c r="D44" s="265">
        <f>+NB!X379</f>
        <v>36.5</v>
      </c>
      <c r="E44" s="121" t="str">
        <f>+NB!Z379</f>
        <v xml:space="preserve"> </v>
      </c>
      <c r="F44" s="121"/>
      <c r="G44" s="221" t="str">
        <f>+NB!AA379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TEXT(NB!V380,"#0")&amp;"                      "&amp;TEXT(NB!Y380,"#0")&amp;"   "</f>
        <v xml:space="preserve">2                      13   </v>
      </c>
      <c r="C45" s="283">
        <f>+NB!W380</f>
        <v>36</v>
      </c>
      <c r="D45" s="266">
        <f>+NB!X380</f>
        <v>34.5</v>
      </c>
      <c r="E45" s="228" t="str">
        <f>+NB!Z380</f>
        <v xml:space="preserve"> </v>
      </c>
      <c r="F45" s="228"/>
      <c r="G45" s="230" t="str">
        <f>+NB!AA380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TEXT(NB!V381,"#0")&amp;"                      "&amp;TEXT(NB!Y381,"#0")&amp;"   "</f>
        <v xml:space="preserve">2                      12   </v>
      </c>
      <c r="C46" s="282">
        <f>+NB!W381</f>
        <v>34</v>
      </c>
      <c r="D46" s="265">
        <f>+NB!X381</f>
        <v>32.5</v>
      </c>
      <c r="E46" s="121" t="str">
        <f>+NB!Z381</f>
        <v xml:space="preserve"> </v>
      </c>
      <c r="F46" s="121"/>
      <c r="G46" s="221" t="str">
        <f>+NB!AA381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TEXT(NB!V382,"#0")&amp;"                      "&amp;TEXT(NB!Y382,"#0")&amp;"   "</f>
        <v xml:space="preserve">2                      11   </v>
      </c>
      <c r="C47" s="282">
        <f>+NB!W382</f>
        <v>32</v>
      </c>
      <c r="D47" s="265">
        <f>+NB!X382</f>
        <v>30.5</v>
      </c>
      <c r="E47" s="121" t="str">
        <f>+NB!Z382</f>
        <v xml:space="preserve"> </v>
      </c>
      <c r="F47" s="121"/>
      <c r="G47" s="221" t="str">
        <f>+NB!AA382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TEXT(NB!V383,"#0")&amp;"                      "&amp;TEXT(NB!Y383,"#0")&amp;"   "</f>
        <v xml:space="preserve">2                      10   </v>
      </c>
      <c r="C48" s="282">
        <f>+NB!W383</f>
        <v>30</v>
      </c>
      <c r="D48" s="265">
        <f>+NB!X383</f>
        <v>28.5</v>
      </c>
      <c r="E48" s="121" t="str">
        <f>+NB!Z383</f>
        <v xml:space="preserve"> </v>
      </c>
      <c r="F48" s="121"/>
      <c r="G48" s="221" t="str">
        <f>+NB!AA383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TEXT(NB!V384,"#0")&amp;"                        "&amp;TEXT(NB!Y384,"#0")&amp;"   "</f>
        <v xml:space="preserve">2                        9   </v>
      </c>
      <c r="C49" s="281">
        <f>+NB!W384</f>
        <v>28</v>
      </c>
      <c r="D49" s="264">
        <f>+NB!X384</f>
        <v>26.5</v>
      </c>
      <c r="E49" s="226" t="str">
        <f>+NB!Z384</f>
        <v xml:space="preserve"> </v>
      </c>
      <c r="F49" s="226"/>
      <c r="G49" s="229" t="str">
        <f>+NB!AA384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TEXT(NB!V385,"#0")&amp;"                        "&amp;TEXT(NB!Y385,"#0")&amp;"   "</f>
        <v xml:space="preserve">2                        8   </v>
      </c>
      <c r="C50" s="282">
        <f>+NB!W385</f>
        <v>26</v>
      </c>
      <c r="D50" s="265">
        <f>+NB!X385</f>
        <v>24.5</v>
      </c>
      <c r="E50" s="121" t="str">
        <f>+NB!Z385</f>
        <v xml:space="preserve"> </v>
      </c>
      <c r="F50" s="121"/>
      <c r="G50" s="221" t="str">
        <f>+NB!AA385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TEXT(NB!V386,"#0")&amp;"                        "&amp;TEXT(NB!Y386,"#0")&amp;"   "</f>
        <v xml:space="preserve">2                        7   </v>
      </c>
      <c r="C51" s="283">
        <f>+NB!W386</f>
        <v>24</v>
      </c>
      <c r="D51" s="266">
        <f>+NB!X386</f>
        <v>22.5</v>
      </c>
      <c r="E51" s="228" t="str">
        <f>+NB!Z386</f>
        <v xml:space="preserve"> </v>
      </c>
      <c r="F51" s="228"/>
      <c r="G51" s="230" t="str">
        <f>+NB!AA386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TEXT(NB!V387,"#0")&amp;"                        "&amp;TEXT(NB!Y387,"#0")&amp;"   "</f>
        <v xml:space="preserve">2                        6   </v>
      </c>
      <c r="C52" s="282">
        <f>+NB!W387</f>
        <v>22</v>
      </c>
      <c r="D52" s="265">
        <f>+NB!X387</f>
        <v>20.5</v>
      </c>
      <c r="E52" s="121" t="str">
        <f>+NB!Z387</f>
        <v xml:space="preserve"> </v>
      </c>
      <c r="F52" s="121"/>
      <c r="G52" s="221" t="str">
        <f>+NB!AA387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TEXT(NB!V388,"#0")&amp;"                        "&amp;TEXT(NB!Y388,"#0")&amp;"   "</f>
        <v xml:space="preserve">2                        5   </v>
      </c>
      <c r="C53" s="282">
        <f>+NB!W388</f>
        <v>20</v>
      </c>
      <c r="D53" s="265">
        <f>+NB!X388</f>
        <v>18.5</v>
      </c>
      <c r="E53" s="121" t="str">
        <f>+NB!Z388</f>
        <v xml:space="preserve"> </v>
      </c>
      <c r="F53" s="121"/>
      <c r="G53" s="221" t="str">
        <f>+NB!AA388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TEXT(NB!V389,"#0")&amp;"                        "&amp;TEXT(NB!Y389,"#0")&amp;"   "</f>
        <v xml:space="preserve">2                        4   </v>
      </c>
      <c r="C54" s="282">
        <f>+NB!W389</f>
        <v>18</v>
      </c>
      <c r="D54" s="265">
        <f>+NB!X389</f>
        <v>16.5</v>
      </c>
      <c r="E54" s="121" t="str">
        <f>+NB!Z389</f>
        <v xml:space="preserve"> </v>
      </c>
      <c r="F54" s="121"/>
      <c r="G54" s="221" t="str">
        <f>+NB!AA389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TEXT(NB!V390,"#0")&amp;"                        "&amp;TEXT(NB!Y390,"#0")&amp;"   "</f>
        <v xml:space="preserve">3                        3   </v>
      </c>
      <c r="C55" s="281">
        <f>+NB!W390</f>
        <v>16</v>
      </c>
      <c r="D55" s="264">
        <f>+NB!X390</f>
        <v>13.5</v>
      </c>
      <c r="E55" s="226" t="str">
        <f>+NB!Z390</f>
        <v xml:space="preserve"> </v>
      </c>
      <c r="F55" s="226"/>
      <c r="G55" s="229" t="str">
        <f>+NB!AA390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TEXT(NB!V391,"#0")&amp;"                        "&amp;TEXT(NB!Y391,"#0")&amp;"   "</f>
        <v xml:space="preserve">3                        2   </v>
      </c>
      <c r="C56" s="282">
        <f>+NB!W391</f>
        <v>13</v>
      </c>
      <c r="D56" s="265">
        <f>+NB!X391</f>
        <v>11</v>
      </c>
      <c r="E56" s="121" t="str">
        <f>+NB!Z391</f>
        <v xml:space="preserve"> </v>
      </c>
      <c r="F56" s="121"/>
      <c r="G56" s="221" t="str">
        <f>+NB!AA391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TEXT(NB!V392,"#0")&amp;"                        "&amp;TEXT(NB!Y392,"#0")&amp;"   "</f>
        <v xml:space="preserve">3                        1   </v>
      </c>
      <c r="C57" s="283">
        <f>+NB!W392</f>
        <v>10.5</v>
      </c>
      <c r="D57" s="266">
        <f>+NB!X392</f>
        <v>8</v>
      </c>
      <c r="E57" s="228" t="str">
        <f>+NB!Z392</f>
        <v xml:space="preserve"> </v>
      </c>
      <c r="F57" s="228"/>
      <c r="G57" s="230" t="str">
        <f>+NB!AA392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TEXT(NB!V393,"#0")&amp;"                        "&amp;TEXT(NB!Y393,"#0")&amp;"   "</f>
        <v xml:space="preserve">8                        0   </v>
      </c>
      <c r="C58" s="284">
        <f>+NB!W393</f>
        <v>7.5</v>
      </c>
      <c r="D58" s="267">
        <f>+NB!X393</f>
        <v>0</v>
      </c>
      <c r="E58" s="223" t="str">
        <f>+NB!Z393</f>
        <v xml:space="preserve"> </v>
      </c>
      <c r="F58" s="223"/>
      <c r="G58" s="224" t="str">
        <f>+NB!AA393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G2" sqref="G2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45</v>
      </c>
      <c r="C1" s="189" t="str">
        <f>IF(Notenbogen!E1="","",Notenbogen!E1)</f>
        <v/>
      </c>
      <c r="D1" s="190"/>
      <c r="E1" s="160"/>
      <c r="F1" s="162" t="s">
        <v>12</v>
      </c>
      <c r="G1" s="473"/>
      <c r="H1" s="474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IF(D4="","",IF($H$3="BE",LOOKUP(IF(E4="",D4+0.01,D4*$H$30/E4+0.5),NB!$X$473:$X$488,NB!$Y$473:$Y$488),D4))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L4" s="168"/>
      <c r="M4" s="254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IF(D5="","",IF($H$3="BE",LOOKUP(IF(E5="",D5+0.01,D5*$H$30/E5+0.5),NB!$X$473:$X$488,NB!$Y$473:$Y$488),D5))</f>
        <v/>
      </c>
      <c r="D5" s="6"/>
      <c r="E5" s="111"/>
      <c r="F5" s="455" t="s">
        <v>11</v>
      </c>
      <c r="G5" s="456"/>
      <c r="H5" s="456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IF(D6="","",IF($H$3="BE",LOOKUP(IF(E6="",D6+0.01,D6*$H$30/E6+0.5),NB!$X$473:$X$488,NB!$Y$473:$Y$488),D6))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IF(D7="","",IF($H$3="BE",LOOKUP(IF(E7="",D7+0.01,D7*$H$30/E7+0.5),NB!$X$473:$X$488,NB!$Y$473:$Y$488),D7))</f>
        <v/>
      </c>
      <c r="D7" s="6"/>
      <c r="E7" s="111"/>
      <c r="F7" s="172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IF(D8="","",IF($H$3="BE",LOOKUP(IF(E8="",D8+0.01,D8*$H$30/E8+0.5),NB!$X$473:$X$488,NB!$Y$473:$Y$488),D8))</f>
        <v/>
      </c>
      <c r="D8" s="6"/>
      <c r="E8" s="111"/>
      <c r="F8" s="173">
        <v>14</v>
      </c>
      <c r="G8" s="91">
        <f t="shared" si="1"/>
        <v>0</v>
      </c>
      <c r="H8" s="108" t="e">
        <f t="shared" si="2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IF(D9="","",IF($H$3="BE",LOOKUP(IF(E9="",D9+0.01,D9*$H$30/E9+0.5),NB!$X$473:$X$488,NB!$Y$473:$Y$488),D9))</f>
        <v/>
      </c>
      <c r="D9" s="6"/>
      <c r="E9" s="111"/>
      <c r="F9" s="174">
        <v>13</v>
      </c>
      <c r="G9" s="100">
        <f t="shared" si="1"/>
        <v>0</v>
      </c>
      <c r="H9" s="109" t="e">
        <f t="shared" si="2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IF(D10="","",IF($H$3="BE",LOOKUP(IF(E10="",D10+0.01,D10*$H$30/E10+0.5),NB!$X$473:$X$488,NB!$Y$473:$Y$488),D10))</f>
        <v/>
      </c>
      <c r="D10" s="6"/>
      <c r="E10" s="111"/>
      <c r="F10" s="172">
        <v>12</v>
      </c>
      <c r="G10" s="95">
        <f t="shared" si="1"/>
        <v>0</v>
      </c>
      <c r="H10" s="107" t="e">
        <f t="shared" si="2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IF(D11="","",IF($H$3="BE",LOOKUP(IF(E11="",D11+0.01,D11*$H$30/E11+0.5),NB!$X$473:$X$488,NB!$Y$473:$Y$488),D11))</f>
        <v/>
      </c>
      <c r="D11" s="6"/>
      <c r="E11" s="111"/>
      <c r="F11" s="173">
        <v>11</v>
      </c>
      <c r="G11" s="91">
        <f t="shared" si="1"/>
        <v>0</v>
      </c>
      <c r="H11" s="108" t="e">
        <f t="shared" si="2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IF(D12="","",IF($H$3="BE",LOOKUP(IF(E12="",D12+0.01,D12*$H$30/E12+0.5),NB!$X$473:$X$488,NB!$Y$473:$Y$488),D12))</f>
        <v/>
      </c>
      <c r="D12" s="6"/>
      <c r="E12" s="111"/>
      <c r="F12" s="174">
        <v>10</v>
      </c>
      <c r="G12" s="100">
        <f t="shared" si="1"/>
        <v>0</v>
      </c>
      <c r="H12" s="109" t="e">
        <f t="shared" si="2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IF(D14="","",IF($H$3="BE",LOOKUP(IF(E14="",D14+0.01,D14*$H$30/E14+0.5),NB!$X$473:$X$488,NB!$Y$473:$Y$488),D14))</f>
        <v/>
      </c>
      <c r="D14" s="6"/>
      <c r="E14" s="111"/>
      <c r="F14" s="173">
        <v>8</v>
      </c>
      <c r="G14" s="91">
        <f t="shared" si="1"/>
        <v>0</v>
      </c>
      <c r="H14" s="108" t="e">
        <f t="shared" si="2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IF(D18="","",IF($H$3="BE",LOOKUP(IF(E18="",D18+0.01,D18*$H$30/E18+0.5),NB!$X$473:$X$488,NB!$Y$473:$Y$488),D18))</f>
        <v/>
      </c>
      <c r="D18" s="6"/>
      <c r="E18" s="111"/>
      <c r="F18" s="174">
        <v>4</v>
      </c>
      <c r="G18" s="100">
        <f t="shared" si="1"/>
        <v>0</v>
      </c>
      <c r="H18" s="109" t="e">
        <f t="shared" si="2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IF(D19="","",IF($H$3="BE",LOOKUP(IF(E19="",D19+0.01,D19*$H$30/E19+0.5),NB!$X$473:$X$488,NB!$Y$473:$Y$488),D19))</f>
        <v/>
      </c>
      <c r="D19" s="6"/>
      <c r="E19" s="111"/>
      <c r="F19" s="172">
        <v>3</v>
      </c>
      <c r="G19" s="95">
        <f t="shared" si="1"/>
        <v>0</v>
      </c>
      <c r="H19" s="107" t="e">
        <f t="shared" si="2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IF(D20="","",IF($H$3="BE",LOOKUP(IF(E20="",D20+0.01,D20*$H$30/E20+0.5),NB!$X$473:$X$488,NB!$Y$473:$Y$488),D20))</f>
        <v/>
      </c>
      <c r="D20" s="6"/>
      <c r="E20" s="111"/>
      <c r="F20" s="173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IF(D21="","",IF($H$3="BE",LOOKUP(IF(E21="",D21+0.01,D21*$H$30/E21+0.5),NB!$X$473:$X$488,NB!$Y$473:$Y$488),D21))</f>
        <v/>
      </c>
      <c r="D21" s="6"/>
      <c r="E21" s="111"/>
      <c r="F21" s="174">
        <v>1</v>
      </c>
      <c r="G21" s="100">
        <f t="shared" si="1"/>
        <v>0</v>
      </c>
      <c r="H21" s="109" t="e">
        <f t="shared" si="2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IF(D22="","",IF($H$3="BE",LOOKUP(IF(E22="",D22+0.01,D22*$H$30/E22+0.5),NB!$X$473:$X$488,NB!$Y$473:$Y$488),D22))</f>
        <v/>
      </c>
      <c r="D22" s="6"/>
      <c r="E22" s="111"/>
      <c r="F22" s="176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IF(D23="","",IF($H$3="BE",LOOKUP(IF(E23="",D23+0.01,D23*$H$30/E23+0.5),NB!$X$473:$X$488,NB!$Y$473:$Y$488),D23))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IF(D24="","",IF($H$3="BE",LOOKUP(IF(E24="",D24+0.01,D24*$H$30/E24+0.5),NB!$X$473:$X$488,NB!$Y$473:$Y$488),D24))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IF(D25="","",IF($H$3="BE",LOOKUP(IF(E25="",D25+0.01,D25*$H$30/E25+0.5),NB!$X$473:$X$488,NB!$Y$473:$Y$488),D25))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IF(D26="","",IF($H$3="BE",LOOKUP(IF(E26="",D26+0.01,D26*$H$30/E26+0.5),NB!$X$473:$X$488,NB!$Y$473:$Y$488),D26))</f>
        <v/>
      </c>
      <c r="D26" s="6"/>
      <c r="E26" s="111"/>
      <c r="F26" s="180" t="s">
        <v>14</v>
      </c>
      <c r="G26" s="10">
        <f>+G27-G25</f>
        <v>35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IF(D27="","",IF($H$3="BE",LOOKUP(IF(E27="",D27+0.01,D27*$H$30/E27+0.5),NB!$X$473:$X$488,NB!$Y$473:$Y$488),D27))</f>
        <v/>
      </c>
      <c r="D27" s="6"/>
      <c r="E27" s="111"/>
      <c r="F27" s="180" t="s">
        <v>15</v>
      </c>
      <c r="G27" s="10">
        <f>35-COUNTIF(J4:J38,", ")</f>
        <v>35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IF(D28="","",IF($H$3="BE",LOOKUP(IF(E28="",D28+0.01,D28*$H$30/E28+0.5),NB!$X$473:$X$488,NB!$Y$473:$Y$488),D28))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IF(D29="","",IF($H$3="BE",LOOKUP(IF(E29="",D29+0.01,D29*$H$30/E29+0.5),NB!$X$473:$X$488,NB!$Y$473:$Y$488),D29))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IF(D30="","",IF($H$3="BE",LOOKUP(IF(E30="",D30+0.01,D30*$H$30/E30+0.5),NB!$X$473:$X$488,NB!$Y$473:$Y$488),D30))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IF(D31="","",IF($H$3="BE",LOOKUP(IF(E31="",D31+0.01,D31*$H$30/E31+0.5),NB!$X$473:$X$488,NB!$Y$473:$Y$488),D31))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IF(D32="","",IF($H$3="BE",LOOKUP(IF(E32="",D32+0.01,D32*$H$30/E32+0.5),NB!$X$473:$X$488,NB!$Y$473:$Y$488),D32))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IF(D33="","",IF($H$3="BE",LOOKUP(IF(E33="",D33+0.01,D33*$H$30/E33+0.5),NB!$X$473:$X$488,NB!$Y$473:$Y$488),D33))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IF(D34="","",IF($H$3="BE",LOOKUP(IF(E34="",D34+0.01,D34*$H$30/E34+0.5),NB!$X$473:$X$488,NB!$Y$473:$Y$488),D34))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IF(D35="","",IF($H$3="BE",LOOKUP(IF(E35="",D35+0.01,D35*$H$30/E35+0.5),NB!$X$473:$X$488,NB!$Y$473:$Y$488),D35))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IF(D36="","",IF($H$3="BE",LOOKUP(IF(E36="",D36+0.01,D36*$H$30/E36+0.5),NB!$X$473:$X$488,NB!$Y$473:$Y$488),D36))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IF(D37="","",IF($H$3="BE",LOOKUP(IF(E37="",D37+0.01,D37*$H$30/E37+0.5),NB!$X$473:$X$488,NB!$Y$473:$Y$488),D37))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IF(D38="","",IF($H$3="BE",LOOKUP(IF(E38="",D38+0.01,D38*$H$30/E38+0.5),NB!$X$473:$X$488,NB!$Y$473:$Y$488),D38))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8" t="s">
        <v>107</v>
      </c>
      <c r="B40" s="231" t="s">
        <v>105</v>
      </c>
      <c r="C40" s="460" t="s">
        <v>102</v>
      </c>
      <c r="D40" s="461"/>
      <c r="E40" s="464" t="str">
        <f>+NB!Z2</f>
        <v>Kontrolle</v>
      </c>
      <c r="F40" s="464"/>
      <c r="G40" s="465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9"/>
      <c r="B41" s="121" t="s">
        <v>103</v>
      </c>
      <c r="C41" s="462" t="s">
        <v>104</v>
      </c>
      <c r="D41" s="463"/>
      <c r="E41" s="466" t="str">
        <f>+NB!Z3</f>
        <v>"Alarm" bei Abweichung</v>
      </c>
      <c r="F41" s="466"/>
      <c r="G41" s="467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70"/>
      <c r="B42" s="121"/>
      <c r="C42" s="218" t="s">
        <v>31</v>
      </c>
      <c r="D42" s="219" t="s">
        <v>32</v>
      </c>
      <c r="E42" s="466" t="str">
        <f>+NB!Z4</f>
        <v>um mehr als 1 BE</v>
      </c>
      <c r="F42" s="466"/>
      <c r="G42" s="467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TEXT(NB!V455,"#0")&amp;"                      "&amp;TEXT(NB!Y455,"#0")&amp;"   "</f>
        <v xml:space="preserve">2                      15   </v>
      </c>
      <c r="C43" s="281">
        <f>+NB!W455</f>
        <v>40</v>
      </c>
      <c r="D43" s="264">
        <f>+NB!X455</f>
        <v>38.5</v>
      </c>
      <c r="E43" s="226" t="str">
        <f>+NB!Z455</f>
        <v xml:space="preserve"> </v>
      </c>
      <c r="F43" s="226"/>
      <c r="G43" s="229" t="str">
        <f>+NB!AA455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TEXT(NB!V456,"#0")&amp;"                      "&amp;TEXT(NB!Y456,"#0")&amp;"   "</f>
        <v xml:space="preserve">2                      14   </v>
      </c>
      <c r="C44" s="282">
        <f>+NB!W456</f>
        <v>38</v>
      </c>
      <c r="D44" s="265">
        <f>+NB!X456</f>
        <v>36.5</v>
      </c>
      <c r="E44" s="121" t="str">
        <f>+NB!Z456</f>
        <v xml:space="preserve"> </v>
      </c>
      <c r="F44" s="121"/>
      <c r="G44" s="221" t="str">
        <f>+NB!AA456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TEXT(NB!V457,"#0")&amp;"                      "&amp;TEXT(NB!Y457,"#0")&amp;"   "</f>
        <v xml:space="preserve">2                      13   </v>
      </c>
      <c r="C45" s="283">
        <f>+NB!W457</f>
        <v>36</v>
      </c>
      <c r="D45" s="266">
        <f>+NB!X457</f>
        <v>34.5</v>
      </c>
      <c r="E45" s="228" t="str">
        <f>+NB!Z457</f>
        <v xml:space="preserve"> </v>
      </c>
      <c r="F45" s="228"/>
      <c r="G45" s="230" t="str">
        <f>+NB!AA457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TEXT(NB!V458,"#0")&amp;"                      "&amp;TEXT(NB!Y458,"#0")&amp;"   "</f>
        <v xml:space="preserve">2                      12   </v>
      </c>
      <c r="C46" s="282">
        <f>+NB!W458</f>
        <v>34</v>
      </c>
      <c r="D46" s="265">
        <f>+NB!X458</f>
        <v>32.5</v>
      </c>
      <c r="E46" s="121" t="str">
        <f>+NB!Z458</f>
        <v xml:space="preserve"> </v>
      </c>
      <c r="F46" s="121"/>
      <c r="G46" s="221" t="str">
        <f>+NB!AA458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TEXT(NB!V459,"#0")&amp;"                      "&amp;TEXT(NB!Y459,"#0")&amp;"   "</f>
        <v xml:space="preserve">2                      11   </v>
      </c>
      <c r="C47" s="282">
        <f>+NB!W459</f>
        <v>32</v>
      </c>
      <c r="D47" s="265">
        <f>+NB!X459</f>
        <v>30.5</v>
      </c>
      <c r="E47" s="121" t="str">
        <f>+NB!Z459</f>
        <v xml:space="preserve"> </v>
      </c>
      <c r="F47" s="121"/>
      <c r="G47" s="221" t="str">
        <f>+NB!AA459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TEXT(NB!V460,"#0")&amp;"                      "&amp;TEXT(NB!Y460,"#0")&amp;"   "</f>
        <v xml:space="preserve">2                      10   </v>
      </c>
      <c r="C48" s="282">
        <f>+NB!W460</f>
        <v>30</v>
      </c>
      <c r="D48" s="265">
        <f>+NB!X460</f>
        <v>28.5</v>
      </c>
      <c r="E48" s="121" t="str">
        <f>+NB!Z460</f>
        <v xml:space="preserve"> </v>
      </c>
      <c r="F48" s="121"/>
      <c r="G48" s="221" t="str">
        <f>+NB!AA460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TEXT(NB!V461,"#0")&amp;"                        "&amp;TEXT(NB!Y461,"#0")&amp;"   "</f>
        <v xml:space="preserve">2                        9   </v>
      </c>
      <c r="C49" s="281">
        <f>+NB!W461</f>
        <v>28</v>
      </c>
      <c r="D49" s="264">
        <f>+NB!X461</f>
        <v>26.5</v>
      </c>
      <c r="E49" s="226" t="str">
        <f>+NB!Z461</f>
        <v xml:space="preserve"> </v>
      </c>
      <c r="F49" s="226"/>
      <c r="G49" s="229" t="str">
        <f>+NB!AA461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TEXT(NB!V462,"#0")&amp;"                        "&amp;TEXT(NB!Y462,"#0")&amp;"   "</f>
        <v xml:space="preserve">2                        8   </v>
      </c>
      <c r="C50" s="282">
        <f>+NB!W462</f>
        <v>26</v>
      </c>
      <c r="D50" s="265">
        <f>+NB!X462</f>
        <v>24.5</v>
      </c>
      <c r="E50" s="121" t="str">
        <f>+NB!Z462</f>
        <v xml:space="preserve"> </v>
      </c>
      <c r="F50" s="121"/>
      <c r="G50" s="221" t="str">
        <f>+NB!AA462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TEXT(NB!V463,"#0")&amp;"                        "&amp;TEXT(NB!Y463,"#0")&amp;"   "</f>
        <v xml:space="preserve">2                        7   </v>
      </c>
      <c r="C51" s="283">
        <f>+NB!W463</f>
        <v>24</v>
      </c>
      <c r="D51" s="266">
        <f>+NB!X463</f>
        <v>22.5</v>
      </c>
      <c r="E51" s="228" t="str">
        <f>+NB!Z463</f>
        <v xml:space="preserve"> </v>
      </c>
      <c r="F51" s="228"/>
      <c r="G51" s="230" t="str">
        <f>+NB!AA463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TEXT(NB!V464,"#0")&amp;"                        "&amp;TEXT(NB!Y464,"#0")&amp;"   "</f>
        <v xml:space="preserve">2                        6   </v>
      </c>
      <c r="C52" s="282">
        <f>+NB!W464</f>
        <v>22</v>
      </c>
      <c r="D52" s="265">
        <f>+NB!X464</f>
        <v>20.5</v>
      </c>
      <c r="E52" s="121" t="str">
        <f>+NB!Z464</f>
        <v xml:space="preserve"> </v>
      </c>
      <c r="F52" s="121"/>
      <c r="G52" s="221" t="str">
        <f>+NB!AA464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TEXT(NB!V465,"#0")&amp;"                        "&amp;TEXT(NB!Y465,"#0")&amp;"   "</f>
        <v xml:space="preserve">2                        5   </v>
      </c>
      <c r="C53" s="282">
        <f>+NB!W465</f>
        <v>20</v>
      </c>
      <c r="D53" s="265">
        <f>+NB!X465</f>
        <v>18.5</v>
      </c>
      <c r="E53" s="121" t="str">
        <f>+NB!Z465</f>
        <v xml:space="preserve"> </v>
      </c>
      <c r="F53" s="121"/>
      <c r="G53" s="221" t="str">
        <f>+NB!AA465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TEXT(NB!V466,"#0")&amp;"                        "&amp;TEXT(NB!Y466,"#0")&amp;"   "</f>
        <v xml:space="preserve">2                        4   </v>
      </c>
      <c r="C54" s="282">
        <f>+NB!W466</f>
        <v>18</v>
      </c>
      <c r="D54" s="265">
        <f>+NB!X466</f>
        <v>16.5</v>
      </c>
      <c r="E54" s="121" t="str">
        <f>+NB!Z466</f>
        <v xml:space="preserve"> </v>
      </c>
      <c r="F54" s="121"/>
      <c r="G54" s="221" t="str">
        <f>+NB!AA466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TEXT(NB!V467,"#0")&amp;"                        "&amp;TEXT(NB!Y467,"#0")&amp;"   "</f>
        <v xml:space="preserve">3                        3   </v>
      </c>
      <c r="C55" s="281">
        <f>+NB!W467</f>
        <v>16</v>
      </c>
      <c r="D55" s="264">
        <f>+NB!X467</f>
        <v>13.5</v>
      </c>
      <c r="E55" s="226" t="str">
        <f>+NB!Z467</f>
        <v xml:space="preserve"> </v>
      </c>
      <c r="F55" s="226"/>
      <c r="G55" s="229" t="str">
        <f>+NB!AA467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TEXT(NB!V468,"#0")&amp;"                        "&amp;TEXT(NB!Y468,"#0")&amp;"   "</f>
        <v xml:space="preserve">3                        2   </v>
      </c>
      <c r="C56" s="282">
        <f>+NB!W468</f>
        <v>13</v>
      </c>
      <c r="D56" s="265">
        <f>+NB!X468</f>
        <v>11</v>
      </c>
      <c r="E56" s="121" t="str">
        <f>+NB!Z468</f>
        <v xml:space="preserve"> </v>
      </c>
      <c r="F56" s="121"/>
      <c r="G56" s="221" t="str">
        <f>+NB!AA468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TEXT(NB!V469,"#0")&amp;"                        "&amp;TEXT(NB!Y469,"#0")&amp;"   "</f>
        <v xml:space="preserve">3                        1   </v>
      </c>
      <c r="C57" s="283">
        <f>+NB!W469</f>
        <v>10.5</v>
      </c>
      <c r="D57" s="266">
        <f>+NB!X469</f>
        <v>8</v>
      </c>
      <c r="E57" s="228" t="str">
        <f>+NB!Z469</f>
        <v xml:space="preserve"> </v>
      </c>
      <c r="F57" s="228"/>
      <c r="G57" s="230" t="str">
        <f>+NB!AA469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TEXT(NB!V470,"#0")&amp;"                        "&amp;TEXT(NB!Y470,"#0")&amp;"   "</f>
        <v xml:space="preserve">8                        0   </v>
      </c>
      <c r="C58" s="284">
        <f>+NB!W470</f>
        <v>7.5</v>
      </c>
      <c r="D58" s="267">
        <f>+NB!X470</f>
        <v>0</v>
      </c>
      <c r="E58" s="223" t="str">
        <f>+NB!Z470</f>
        <v xml:space="preserve"> </v>
      </c>
      <c r="F58" s="223"/>
      <c r="G58" s="224" t="str">
        <f>+NB!AA470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11</vt:i4>
      </vt:variant>
    </vt:vector>
  </HeadingPairs>
  <TitlesOfParts>
    <vt:vector size="28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Was wäre wenn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2017-01-03T14:08:40Z</dcterms:modified>
</cp:coreProperties>
</file>