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1" activeTab="1"/>
  </bookViews>
  <sheets>
    <sheet name="Trans" sheetId="29" state="hidden" r:id="rId1"/>
    <sheet name="Notenbogen" sheetId="1" r:id="rId2"/>
    <sheet name="NB" sheetId="21" state="hidden" r:id="rId3"/>
    <sheet name="I1SA" sheetId="5" r:id="rId4"/>
    <sheet name="I2SA" sheetId="6" r:id="rId5"/>
    <sheet name="I3SA" sheetId="20" r:id="rId6"/>
    <sheet name="I1Ext" sheetId="12" r:id="rId7"/>
    <sheet name="I2Ext" sheetId="14" r:id="rId8"/>
    <sheet name="I3Ext" sheetId="15" r:id="rId9"/>
    <sheet name="I4Ext" sheetId="16" r:id="rId10"/>
    <sheet name="II1SA" sheetId="22" r:id="rId11"/>
    <sheet name="II2SA" sheetId="23" r:id="rId12"/>
    <sheet name="II3SA" sheetId="24" r:id="rId13"/>
    <sheet name="II1Ext" sheetId="13" r:id="rId14"/>
    <sheet name="II2Ext" sheetId="17" r:id="rId15"/>
    <sheet name="II3Ext" sheetId="19" r:id="rId16"/>
    <sheet name="II4Ext" sheetId="18" r:id="rId17"/>
    <sheet name="AP" sheetId="27" r:id="rId18"/>
    <sheet name="Ausdruck SAP" sheetId="36" r:id="rId19"/>
    <sheet name="APRohpunkte" sheetId="32" r:id="rId20"/>
    <sheet name="Was wäre wenn" sheetId="31" r:id="rId21"/>
    <sheet name="diNo" sheetId="34" r:id="rId22"/>
  </sheets>
  <definedNames>
    <definedName name="_xlnm.Print_Area" localSheetId="18">'Ausdruck SAP'!$A$1:$G$68</definedName>
    <definedName name="_xlnm.Print_Area" localSheetId="5">I3SA!$A$1:$I$58</definedName>
    <definedName name="_xlnm.Print_Area" localSheetId="9">I4Ext!$A$1:$I$57</definedName>
    <definedName name="_xlnm.Print_Area" localSheetId="1">Notenbogen!$A$1:$AA$76</definedName>
    <definedName name="FR" localSheetId="21">NB!$I$1</definedName>
    <definedName name="FR">NB!$I$1</definedName>
    <definedName name="gew" localSheetId="21">NB!$K$1</definedName>
    <definedName name="gew">NB!$K$1</definedName>
    <definedName name="M" localSheetId="21">I2SA!$O$16</definedName>
    <definedName name="M">I2SA!$O$16</definedName>
    <definedName name="pt">Notenbogen!$AL$1:$AL$16</definedName>
    <definedName name="TZ" localSheetId="21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F11" i="36" l="1"/>
  <c r="D6" i="27"/>
  <c r="F49" i="36"/>
  <c r="F50" i="36"/>
  <c r="F51" i="36"/>
  <c r="F52" i="36"/>
  <c r="F53" i="36"/>
  <c r="F54" i="36"/>
  <c r="F55" i="36"/>
  <c r="F48" i="36"/>
  <c r="C49" i="36"/>
  <c r="C50" i="36"/>
  <c r="C51" i="36"/>
  <c r="C52" i="36"/>
  <c r="C53" i="36"/>
  <c r="C54" i="36"/>
  <c r="C55" i="36"/>
  <c r="C48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11" i="36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4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4" i="19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4" i="17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4" i="13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" i="24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" i="16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4" i="20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AF2" i="32" l="1"/>
  <c r="F12" i="36" l="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11" i="36"/>
  <c r="AF5" i="32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A4" i="36"/>
  <c r="A5" i="36"/>
  <c r="B12" i="36"/>
  <c r="B30" i="36"/>
  <c r="B41" i="36"/>
  <c r="B17" i="36"/>
  <c r="B39" i="36"/>
  <c r="B26" i="36"/>
  <c r="B19" i="36"/>
  <c r="B43" i="36"/>
  <c r="B27" i="36"/>
  <c r="B16" i="36"/>
  <c r="B45" i="36"/>
  <c r="B32" i="36"/>
  <c r="B21" i="36"/>
  <c r="B34" i="36"/>
  <c r="B36" i="36"/>
  <c r="B23" i="36"/>
  <c r="B37" i="36"/>
  <c r="B29" i="36"/>
  <c r="B20" i="36"/>
  <c r="B11" i="36"/>
  <c r="B40" i="36"/>
  <c r="B25" i="36"/>
  <c r="B22" i="36"/>
  <c r="B44" i="36"/>
  <c r="B28" i="36"/>
  <c r="B42" i="36"/>
  <c r="B38" i="36"/>
  <c r="B24" i="36"/>
  <c r="B18" i="36"/>
  <c r="B13" i="36"/>
  <c r="B31" i="36"/>
  <c r="B33" i="36"/>
  <c r="B15" i="36"/>
  <c r="B35" i="36"/>
  <c r="B14" i="36"/>
  <c r="C2" i="34" l="1"/>
  <c r="B13" i="34"/>
  <c r="B36" i="34"/>
  <c r="B7" i="34"/>
  <c r="B14" i="34"/>
  <c r="B35" i="34"/>
  <c r="B25" i="34"/>
  <c r="B15" i="34"/>
  <c r="B5" i="34"/>
  <c r="B24" i="34"/>
  <c r="B10" i="34"/>
  <c r="B23" i="34"/>
  <c r="B16" i="34"/>
  <c r="B19" i="34"/>
  <c r="B31" i="34"/>
  <c r="B4" i="34"/>
  <c r="B27" i="34"/>
  <c r="B32" i="34"/>
  <c r="B38" i="34"/>
  <c r="B6" i="34"/>
  <c r="B17" i="34"/>
  <c r="B21" i="34"/>
  <c r="B28" i="34"/>
  <c r="B30" i="34"/>
  <c r="B26" i="34"/>
  <c r="B11" i="34"/>
  <c r="B8" i="34"/>
  <c r="B37" i="34"/>
  <c r="B9" i="34"/>
  <c r="B20" i="34"/>
  <c r="B29" i="34"/>
  <c r="B22" i="34"/>
  <c r="B34" i="34"/>
  <c r="B12" i="34"/>
  <c r="B33" i="34"/>
  <c r="B18" i="34"/>
  <c r="AN1363" i="21" l="1"/>
  <c r="AL1320" i="21"/>
  <c r="AL1363" i="21"/>
  <c r="AM1362" i="21"/>
  <c r="AM1319" i="21"/>
  <c r="AN1320" i="21" s="1"/>
  <c r="AL1263" i="21"/>
  <c r="AN1263" i="21" s="1"/>
  <c r="AM1262" i="21"/>
  <c r="AM1250" i="21"/>
  <c r="AM1251" i="21"/>
  <c r="AM1254" i="21"/>
  <c r="AM1255" i="21"/>
  <c r="AM1258" i="21"/>
  <c r="AM1259" i="21"/>
  <c r="AM1248" i="21"/>
  <c r="AL1250" i="21"/>
  <c r="AM1249" i="21" s="1"/>
  <c r="AL1251" i="21"/>
  <c r="AL1252" i="21"/>
  <c r="AL1253" i="21"/>
  <c r="AM1252" i="21" s="1"/>
  <c r="AL1254" i="21"/>
  <c r="AM1253" i="21" s="1"/>
  <c r="AL1255" i="21"/>
  <c r="AL1256" i="21"/>
  <c r="AL1257" i="21"/>
  <c r="AM1256" i="21" s="1"/>
  <c r="AL1258" i="21"/>
  <c r="AM1257" i="21" s="1"/>
  <c r="AL1259" i="21"/>
  <c r="AL1260" i="21"/>
  <c r="AL1261" i="21"/>
  <c r="AM1260" i="21" s="1"/>
  <c r="AL1262" i="21"/>
  <c r="AM1261" i="21" s="1"/>
  <c r="AL1249" i="21"/>
  <c r="AM1219" i="21"/>
  <c r="AL1220" i="21" s="1"/>
  <c r="AM1208" i="21"/>
  <c r="AM1209" i="21"/>
  <c r="AM1212" i="21"/>
  <c r="AM1213" i="21"/>
  <c r="AM1216" i="21"/>
  <c r="AM1217" i="21"/>
  <c r="AL1207" i="21"/>
  <c r="AM1206" i="21" s="1"/>
  <c r="AL1208" i="21"/>
  <c r="AM1207" i="21" s="1"/>
  <c r="AL1209" i="21"/>
  <c r="AL1210" i="21"/>
  <c r="AL1211" i="21"/>
  <c r="AM1210" i="21" s="1"/>
  <c r="AL1212" i="21"/>
  <c r="AM1211" i="21" s="1"/>
  <c r="AL1213" i="21"/>
  <c r="AL1214" i="21"/>
  <c r="AL1215" i="21"/>
  <c r="AM1214" i="21" s="1"/>
  <c r="AL1216" i="21"/>
  <c r="AM1215" i="21" s="1"/>
  <c r="AL1217" i="21"/>
  <c r="AL1218" i="21"/>
  <c r="AL1219" i="21"/>
  <c r="AM1218" i="21" s="1"/>
  <c r="AL1206" i="21"/>
  <c r="AM1205" i="21" s="1"/>
  <c r="AN1163" i="21"/>
  <c r="AL1163" i="21"/>
  <c r="AL1150" i="21"/>
  <c r="AL1151" i="21"/>
  <c r="AL1152" i="21"/>
  <c r="AM1151" i="21" s="1"/>
  <c r="AL1153" i="21"/>
  <c r="AM1152" i="21" s="1"/>
  <c r="AL1154" i="21"/>
  <c r="AL1155" i="21"/>
  <c r="AM1154" i="21" s="1"/>
  <c r="AL1156" i="21"/>
  <c r="AM1155" i="21" s="1"/>
  <c r="AL1157" i="21"/>
  <c r="AM1156" i="21" s="1"/>
  <c r="AL1158" i="21"/>
  <c r="AL1159" i="21"/>
  <c r="AM1158" i="21" s="1"/>
  <c r="AL1160" i="21"/>
  <c r="AM1159" i="21" s="1"/>
  <c r="AL1161" i="21"/>
  <c r="AM1160" i="21" s="1"/>
  <c r="AL1162" i="21"/>
  <c r="AL1149" i="21"/>
  <c r="AM1162" i="21"/>
  <c r="AM1149" i="21"/>
  <c r="AM1150" i="21"/>
  <c r="AM1153" i="21"/>
  <c r="AM1157" i="21"/>
  <c r="AM1161" i="21"/>
  <c r="AM1148" i="21"/>
  <c r="AN1120" i="21"/>
  <c r="AM1119" i="21"/>
  <c r="AM1106" i="21"/>
  <c r="AM1107" i="21"/>
  <c r="AM1108" i="21"/>
  <c r="AM1109" i="21"/>
  <c r="AM1110" i="21"/>
  <c r="AM1111" i="21"/>
  <c r="AM1112" i="21"/>
  <c r="AM1113" i="21"/>
  <c r="AM1114" i="21"/>
  <c r="AM1115" i="21"/>
  <c r="AM1116" i="21"/>
  <c r="AM1117" i="21"/>
  <c r="AM1118" i="21"/>
  <c r="AM1105" i="21"/>
  <c r="AL1120" i="21"/>
  <c r="AL1107" i="21"/>
  <c r="AL1108" i="21"/>
  <c r="AL1109" i="21"/>
  <c r="AL1110" i="21"/>
  <c r="AL1111" i="21"/>
  <c r="AL1112" i="21"/>
  <c r="AL1113" i="21"/>
  <c r="AL1114" i="21"/>
  <c r="AL1115" i="21"/>
  <c r="AL1116" i="21"/>
  <c r="AL1117" i="21"/>
  <c r="AL1118" i="21"/>
  <c r="AL1119" i="21"/>
  <c r="AL1106" i="21"/>
  <c r="AM1062" i="21"/>
  <c r="AM1051" i="21"/>
  <c r="AM1052" i="21"/>
  <c r="AM1055" i="21"/>
  <c r="AM1056" i="21"/>
  <c r="AM1059" i="21"/>
  <c r="AM1060" i="21"/>
  <c r="AL1050" i="21"/>
  <c r="AM1049" i="21" s="1"/>
  <c r="AL1051" i="21"/>
  <c r="AM1050" i="21" s="1"/>
  <c r="AL1052" i="21"/>
  <c r="AL1053" i="21"/>
  <c r="AL1054" i="21"/>
  <c r="AM1053" i="21" s="1"/>
  <c r="AL1055" i="21"/>
  <c r="AM1054" i="21" s="1"/>
  <c r="AL1056" i="21"/>
  <c r="AL1057" i="21"/>
  <c r="AL1058" i="21"/>
  <c r="AM1057" i="21" s="1"/>
  <c r="AL1059" i="21"/>
  <c r="AM1058" i="21" s="1"/>
  <c r="AL1060" i="21"/>
  <c r="AL1061" i="21"/>
  <c r="AL1062" i="21"/>
  <c r="AM1061" i="21" s="1"/>
  <c r="AL1049" i="21"/>
  <c r="AM1048" i="21" s="1"/>
  <c r="AL1007" i="21"/>
  <c r="AM1006" i="21" s="1"/>
  <c r="AL1008" i="21"/>
  <c r="AM1007" i="21" s="1"/>
  <c r="AL1009" i="21"/>
  <c r="AM1008" i="21" s="1"/>
  <c r="AL1010" i="21"/>
  <c r="AM1009" i="21" s="1"/>
  <c r="AL1011" i="21"/>
  <c r="AL1012" i="21"/>
  <c r="AM1011" i="21" s="1"/>
  <c r="AL1013" i="21"/>
  <c r="AM1012" i="21" s="1"/>
  <c r="AL1014" i="21"/>
  <c r="AM1013" i="21" s="1"/>
  <c r="AL1015" i="21"/>
  <c r="AL1016" i="21"/>
  <c r="AM1015" i="21" s="1"/>
  <c r="AL1017" i="21"/>
  <c r="AM1016" i="21" s="1"/>
  <c r="AL1018" i="21"/>
  <c r="AM1017" i="21" s="1"/>
  <c r="AL1019" i="21"/>
  <c r="AM1018" i="21" s="1"/>
  <c r="AL1006" i="21"/>
  <c r="AM1005" i="21" s="1"/>
  <c r="AM1019" i="21"/>
  <c r="AM1010" i="21"/>
  <c r="AM1014" i="21"/>
  <c r="AN963" i="21"/>
  <c r="AL963" i="21"/>
  <c r="AM962" i="21"/>
  <c r="AM949" i="21"/>
  <c r="AM950" i="21"/>
  <c r="AM951" i="21"/>
  <c r="AM952" i="21"/>
  <c r="AM953" i="21"/>
  <c r="AM954" i="21"/>
  <c r="AM955" i="21"/>
  <c r="AM956" i="21"/>
  <c r="AM957" i="21"/>
  <c r="AM958" i="21"/>
  <c r="AM959" i="21"/>
  <c r="AM960" i="21"/>
  <c r="AM961" i="21"/>
  <c r="AM948" i="21"/>
  <c r="AL950" i="21"/>
  <c r="AL951" i="21"/>
  <c r="AL952" i="21"/>
  <c r="AL953" i="21"/>
  <c r="AL954" i="21"/>
  <c r="AL955" i="21"/>
  <c r="AL956" i="21"/>
  <c r="AL957" i="21"/>
  <c r="AL958" i="21"/>
  <c r="AL959" i="21"/>
  <c r="AL960" i="21"/>
  <c r="AL961" i="21"/>
  <c r="AL962" i="21"/>
  <c r="AL949" i="21"/>
  <c r="AN920" i="21"/>
  <c r="AL920" i="21"/>
  <c r="AM919" i="21"/>
  <c r="AM906" i="21"/>
  <c r="AM907" i="21"/>
  <c r="AM908" i="21"/>
  <c r="AM909" i="21"/>
  <c r="AM910" i="21"/>
  <c r="AM911" i="21"/>
  <c r="AM912" i="21"/>
  <c r="AM913" i="21"/>
  <c r="AM914" i="21"/>
  <c r="AM915" i="21"/>
  <c r="AM916" i="21"/>
  <c r="AM917" i="21"/>
  <c r="AM918" i="21"/>
  <c r="AM905" i="21"/>
  <c r="AL907" i="21"/>
  <c r="AL908" i="21"/>
  <c r="AL909" i="21"/>
  <c r="AL910" i="21"/>
  <c r="AL911" i="21"/>
  <c r="AL912" i="21"/>
  <c r="AL913" i="21"/>
  <c r="AL914" i="21"/>
  <c r="AL915" i="21"/>
  <c r="AL916" i="21"/>
  <c r="AL917" i="21"/>
  <c r="AL918" i="21"/>
  <c r="AL919" i="21"/>
  <c r="AL906" i="21"/>
  <c r="AL863" i="21"/>
  <c r="AL862" i="21"/>
  <c r="AM861" i="21" s="1"/>
  <c r="AL850" i="21"/>
  <c r="AL851" i="21"/>
  <c r="AL852" i="21"/>
  <c r="AM851" i="21" s="1"/>
  <c r="AL853" i="21"/>
  <c r="AM852" i="21" s="1"/>
  <c r="AL854" i="21"/>
  <c r="AL855" i="21"/>
  <c r="AL856" i="21"/>
  <c r="AM855" i="21" s="1"/>
  <c r="AL857" i="21"/>
  <c r="AM856" i="21" s="1"/>
  <c r="AL858" i="21"/>
  <c r="AL859" i="21"/>
  <c r="AL860" i="21"/>
  <c r="AM859" i="21" s="1"/>
  <c r="AL861" i="21"/>
  <c r="AM860" i="21" s="1"/>
  <c r="AL849" i="21"/>
  <c r="AM848" i="21" s="1"/>
  <c r="AM862" i="21"/>
  <c r="AN863" i="21" s="1"/>
  <c r="AM849" i="21"/>
  <c r="AM850" i="21"/>
  <c r="AM853" i="21"/>
  <c r="AM854" i="21"/>
  <c r="AM857" i="21"/>
  <c r="AM858" i="21"/>
  <c r="AL820" i="21"/>
  <c r="AN820" i="21" s="1"/>
  <c r="AM819" i="21"/>
  <c r="AM807" i="21"/>
  <c r="AM808" i="21"/>
  <c r="AM811" i="21"/>
  <c r="AM812" i="21"/>
  <c r="AM815" i="21"/>
  <c r="AM816" i="21"/>
  <c r="AM805" i="21"/>
  <c r="AL807" i="21"/>
  <c r="AM806" i="21" s="1"/>
  <c r="AL808" i="21"/>
  <c r="AL809" i="21"/>
  <c r="AL810" i="21"/>
  <c r="AM809" i="21" s="1"/>
  <c r="AL811" i="21"/>
  <c r="AM810" i="21" s="1"/>
  <c r="AL812" i="21"/>
  <c r="AL813" i="21"/>
  <c r="AL814" i="21"/>
  <c r="AM813" i="21" s="1"/>
  <c r="AL815" i="21"/>
  <c r="AM814" i="21" s="1"/>
  <c r="AL816" i="21"/>
  <c r="AL817" i="21"/>
  <c r="AL818" i="21"/>
  <c r="AM817" i="21" s="1"/>
  <c r="AL819" i="21"/>
  <c r="AM818" i="21" s="1"/>
  <c r="AL806" i="21"/>
  <c r="AM762" i="21"/>
  <c r="AL763" i="21" s="1"/>
  <c r="AN763" i="21" s="1"/>
  <c r="AM749" i="21"/>
  <c r="AM750" i="21"/>
  <c r="AM753" i="21"/>
  <c r="AM754" i="21"/>
  <c r="AM757" i="21"/>
  <c r="AM758" i="21"/>
  <c r="AM761" i="21"/>
  <c r="AM748" i="21"/>
  <c r="AL750" i="21"/>
  <c r="AL751" i="21"/>
  <c r="AL752" i="21"/>
  <c r="AM751" i="21" s="1"/>
  <c r="AL753" i="21"/>
  <c r="AM752" i="21" s="1"/>
  <c r="AL754" i="21"/>
  <c r="AL755" i="21"/>
  <c r="AL756" i="21"/>
  <c r="AM755" i="21" s="1"/>
  <c r="AL757" i="21"/>
  <c r="AM756" i="21" s="1"/>
  <c r="AL758" i="21"/>
  <c r="AL759" i="21"/>
  <c r="AL760" i="21"/>
  <c r="AM759" i="21" s="1"/>
  <c r="AL761" i="21"/>
  <c r="AM760" i="21" s="1"/>
  <c r="AL762" i="21"/>
  <c r="AL749" i="21"/>
  <c r="AL720" i="21"/>
  <c r="AN720" i="21" s="1"/>
  <c r="AM719" i="21"/>
  <c r="AM707" i="21"/>
  <c r="AM708" i="21"/>
  <c r="AM711" i="21"/>
  <c r="AM712" i="21"/>
  <c r="AM715" i="21"/>
  <c r="AM716" i="21"/>
  <c r="AM705" i="21"/>
  <c r="AL707" i="21"/>
  <c r="AM706" i="21" s="1"/>
  <c r="AL708" i="21"/>
  <c r="AL709" i="21"/>
  <c r="AL710" i="21"/>
  <c r="AM709" i="21" s="1"/>
  <c r="AL711" i="21"/>
  <c r="AM710" i="21" s="1"/>
  <c r="AL712" i="21"/>
  <c r="AL713" i="21"/>
  <c r="AL714" i="21"/>
  <c r="AM713" i="21" s="1"/>
  <c r="AL715" i="21"/>
  <c r="AM714" i="21" s="1"/>
  <c r="AL716" i="21"/>
  <c r="AL717" i="21"/>
  <c r="AL718" i="21"/>
  <c r="AM717" i="21" s="1"/>
  <c r="AL719" i="21"/>
  <c r="AM718" i="21" s="1"/>
  <c r="AL706" i="21"/>
  <c r="AL705" i="21"/>
  <c r="AN663" i="21"/>
  <c r="AL663" i="21"/>
  <c r="AM662" i="21"/>
  <c r="AM649" i="21"/>
  <c r="AM650" i="21"/>
  <c r="AM651" i="21"/>
  <c r="AM652" i="21"/>
  <c r="AM653" i="21"/>
  <c r="AM654" i="21"/>
  <c r="AM655" i="21"/>
  <c r="AM656" i="21"/>
  <c r="AM657" i="21"/>
  <c r="AM658" i="21"/>
  <c r="AM659" i="21"/>
  <c r="AM660" i="21"/>
  <c r="AM661" i="21"/>
  <c r="AM648" i="21"/>
  <c r="AL650" i="21"/>
  <c r="AL651" i="21"/>
  <c r="AL652" i="21"/>
  <c r="AL653" i="21"/>
  <c r="AL654" i="21"/>
  <c r="AL655" i="21"/>
  <c r="AL656" i="21"/>
  <c r="AL657" i="21"/>
  <c r="AL658" i="21"/>
  <c r="AL659" i="21"/>
  <c r="AL660" i="21"/>
  <c r="AL661" i="21"/>
  <c r="AL662" i="21"/>
  <c r="AL649" i="21"/>
  <c r="AN620" i="21"/>
  <c r="AL620" i="21"/>
  <c r="AM619" i="21"/>
  <c r="AM606" i="21"/>
  <c r="AM607" i="21"/>
  <c r="AM608" i="21"/>
  <c r="AM609" i="21"/>
  <c r="AM610" i="21"/>
  <c r="AM611" i="21"/>
  <c r="AM612" i="21"/>
  <c r="AM613" i="21"/>
  <c r="AM614" i="21"/>
  <c r="AM615" i="21"/>
  <c r="AM616" i="21"/>
  <c r="AM617" i="21"/>
  <c r="AM618" i="21"/>
  <c r="AM605" i="21"/>
  <c r="AL619" i="21"/>
  <c r="AL607" i="21"/>
  <c r="AL608" i="21"/>
  <c r="AL609" i="21"/>
  <c r="AL610" i="21"/>
  <c r="AL611" i="21"/>
  <c r="AL612" i="21"/>
  <c r="AL613" i="21"/>
  <c r="AL614" i="21"/>
  <c r="AL615" i="21"/>
  <c r="AL616" i="21"/>
  <c r="AL617" i="21"/>
  <c r="AL618" i="21"/>
  <c r="AL606" i="21"/>
  <c r="AL550" i="21"/>
  <c r="AL551" i="21"/>
  <c r="AL552" i="21"/>
  <c r="AL553" i="21"/>
  <c r="AL554" i="21"/>
  <c r="AL555" i="21"/>
  <c r="AL556" i="21"/>
  <c r="AL557" i="21"/>
  <c r="AL558" i="21"/>
  <c r="AL559" i="21"/>
  <c r="AL560" i="21"/>
  <c r="AM559" i="21" s="1"/>
  <c r="AL561" i="21"/>
  <c r="AM560" i="21" s="1"/>
  <c r="AL562" i="21"/>
  <c r="AL549" i="21"/>
  <c r="AL563" i="21"/>
  <c r="AM562" i="21"/>
  <c r="AM549" i="21"/>
  <c r="AM550" i="21"/>
  <c r="AM551" i="21"/>
  <c r="AM552" i="21"/>
  <c r="AM553" i="21"/>
  <c r="AM554" i="21"/>
  <c r="AM555" i="21"/>
  <c r="AM556" i="21"/>
  <c r="AM557" i="21"/>
  <c r="AM558" i="21"/>
  <c r="AM561" i="21"/>
  <c r="AM548" i="21"/>
  <c r="AN520" i="21"/>
  <c r="AN463" i="21"/>
  <c r="AN420" i="21"/>
  <c r="V421" i="21"/>
  <c r="AN263" i="21"/>
  <c r="V221" i="21"/>
  <c r="AN220" i="21"/>
  <c r="AL520" i="21"/>
  <c r="AM519" i="21"/>
  <c r="AM506" i="21"/>
  <c r="AM507" i="21"/>
  <c r="AM508" i="21"/>
  <c r="AM509" i="21"/>
  <c r="AM510" i="21"/>
  <c r="AM511" i="21"/>
  <c r="AM512" i="21"/>
  <c r="AM513" i="21"/>
  <c r="AM514" i="21"/>
  <c r="AM515" i="21"/>
  <c r="AM516" i="21"/>
  <c r="AM517" i="21"/>
  <c r="AM518" i="21"/>
  <c r="AM505" i="21"/>
  <c r="AL507" i="21"/>
  <c r="AL508" i="21"/>
  <c r="AL509" i="21"/>
  <c r="AL510" i="21"/>
  <c r="AL511" i="21"/>
  <c r="AL512" i="21"/>
  <c r="AL513" i="21"/>
  <c r="AL514" i="21"/>
  <c r="AL515" i="21"/>
  <c r="AL516" i="21"/>
  <c r="AL517" i="21"/>
  <c r="AL518" i="21"/>
  <c r="AL519" i="21"/>
  <c r="AL506" i="21"/>
  <c r="AL463" i="21"/>
  <c r="AM462" i="21"/>
  <c r="AM449" i="21"/>
  <c r="AM450" i="21"/>
  <c r="AM451" i="21"/>
  <c r="AM452" i="21"/>
  <c r="AM453" i="21"/>
  <c r="AM454" i="21"/>
  <c r="AM455" i="21"/>
  <c r="AM456" i="21"/>
  <c r="AM457" i="21"/>
  <c r="AM458" i="21"/>
  <c r="AM459" i="21"/>
  <c r="AM460" i="21"/>
  <c r="AM461" i="21"/>
  <c r="AM448" i="21"/>
  <c r="AL450" i="21"/>
  <c r="AL451" i="21"/>
  <c r="AL452" i="21"/>
  <c r="AL453" i="21"/>
  <c r="AL454" i="21"/>
  <c r="AL455" i="21"/>
  <c r="AL456" i="21"/>
  <c r="AL457" i="21"/>
  <c r="AL458" i="21"/>
  <c r="AL459" i="21"/>
  <c r="AL460" i="21"/>
  <c r="AL461" i="21"/>
  <c r="AL462" i="21"/>
  <c r="AL449" i="21"/>
  <c r="AL420" i="21"/>
  <c r="AM419" i="21"/>
  <c r="AM406" i="21"/>
  <c r="AM407" i="21"/>
  <c r="AM408" i="21"/>
  <c r="AM409" i="21"/>
  <c r="AM410" i="21"/>
  <c r="AM411" i="21"/>
  <c r="AM412" i="21"/>
  <c r="AM413" i="21"/>
  <c r="AM414" i="21"/>
  <c r="AM415" i="21"/>
  <c r="AM416" i="21"/>
  <c r="AM417" i="21"/>
  <c r="AM418" i="21"/>
  <c r="AM405" i="21"/>
  <c r="AL407" i="21"/>
  <c r="AL408" i="21"/>
  <c r="AL409" i="21"/>
  <c r="AL410" i="21"/>
  <c r="AL411" i="21"/>
  <c r="AL412" i="21"/>
  <c r="AL413" i="21"/>
  <c r="AL414" i="21"/>
  <c r="AL415" i="21"/>
  <c r="AL416" i="21"/>
  <c r="AL417" i="21"/>
  <c r="AL418" i="21"/>
  <c r="AL419" i="21"/>
  <c r="AL406" i="21"/>
  <c r="AL350" i="21"/>
  <c r="AL351" i="21"/>
  <c r="AM350" i="21" s="1"/>
  <c r="AL352" i="21"/>
  <c r="AM351" i="21" s="1"/>
  <c r="AL353" i="21"/>
  <c r="AM352" i="21" s="1"/>
  <c r="AL354" i="21"/>
  <c r="AL355" i="21"/>
  <c r="AM354" i="21" s="1"/>
  <c r="AL356" i="21"/>
  <c r="AM355" i="21" s="1"/>
  <c r="AL357" i="21"/>
  <c r="AM356" i="21" s="1"/>
  <c r="AL358" i="21"/>
  <c r="AL359" i="21"/>
  <c r="AM358" i="21" s="1"/>
  <c r="AL360" i="21"/>
  <c r="AM359" i="21" s="1"/>
  <c r="AL361" i="21"/>
  <c r="AM360" i="21" s="1"/>
  <c r="AL362" i="21"/>
  <c r="AL349" i="21"/>
  <c r="AM348" i="21" s="1"/>
  <c r="AM362" i="21"/>
  <c r="AM349" i="21"/>
  <c r="AM353" i="21"/>
  <c r="AM357" i="21"/>
  <c r="AM361" i="21"/>
  <c r="AL307" i="21"/>
  <c r="AL308" i="21"/>
  <c r="AL309" i="21"/>
  <c r="AL310" i="21"/>
  <c r="AM309" i="21" s="1"/>
  <c r="AL311" i="21"/>
  <c r="AL312" i="21"/>
  <c r="AL313" i="21"/>
  <c r="AL314" i="21"/>
  <c r="AM313" i="21" s="1"/>
  <c r="AL315" i="21"/>
  <c r="AL316" i="21"/>
  <c r="AL317" i="21"/>
  <c r="AM316" i="21" s="1"/>
  <c r="AL318" i="21"/>
  <c r="AM317" i="21" s="1"/>
  <c r="AL319" i="21"/>
  <c r="AL306" i="21"/>
  <c r="AM305" i="21" s="1"/>
  <c r="AL305" i="21"/>
  <c r="AL320" i="21"/>
  <c r="AM319" i="21"/>
  <c r="AN320" i="21" s="1"/>
  <c r="AM306" i="21"/>
  <c r="AM307" i="21"/>
  <c r="AM308" i="21"/>
  <c r="AM310" i="21"/>
  <c r="AM311" i="21"/>
  <c r="AM312" i="21"/>
  <c r="AM314" i="21"/>
  <c r="AM315" i="21"/>
  <c r="AM318" i="21"/>
  <c r="AN1220" i="21" l="1"/>
  <c r="AL1063" i="21"/>
  <c r="AN1063" i="21" s="1"/>
  <c r="AL1020" i="21"/>
  <c r="AN1020" i="21" s="1"/>
  <c r="AL363" i="21"/>
  <c r="AN363" i="21" s="1"/>
  <c r="AM249" i="21"/>
  <c r="AM250" i="21"/>
  <c r="AM251" i="21"/>
  <c r="AM252" i="21"/>
  <c r="AM253" i="21"/>
  <c r="AM254" i="21"/>
  <c r="AM255" i="21"/>
  <c r="AM256" i="21"/>
  <c r="AM257" i="21"/>
  <c r="AM258" i="21"/>
  <c r="AM259" i="21"/>
  <c r="AM260" i="21"/>
  <c r="AM261" i="21"/>
  <c r="AM248" i="21"/>
  <c r="AL263" i="21"/>
  <c r="AM262" i="21"/>
  <c r="AL262" i="21"/>
  <c r="AL220" i="21"/>
  <c r="AL250" i="21"/>
  <c r="AL251" i="21"/>
  <c r="AL252" i="21"/>
  <c r="AL253" i="21"/>
  <c r="AL254" i="21"/>
  <c r="AL255" i="21"/>
  <c r="AL256" i="21"/>
  <c r="AL257" i="21"/>
  <c r="AL258" i="21"/>
  <c r="AL259" i="21"/>
  <c r="AL260" i="21"/>
  <c r="AL261" i="21"/>
  <c r="AL249" i="21"/>
  <c r="AL207" i="21"/>
  <c r="AL208" i="21"/>
  <c r="AM207" i="21" s="1"/>
  <c r="AL209" i="21"/>
  <c r="AL210" i="21"/>
  <c r="AM209" i="21" s="1"/>
  <c r="AL211" i="21"/>
  <c r="AL212" i="21"/>
  <c r="AM211" i="21" s="1"/>
  <c r="AL213" i="21"/>
  <c r="AL214" i="21"/>
  <c r="AM213" i="21" s="1"/>
  <c r="AL215" i="21"/>
  <c r="AL216" i="21"/>
  <c r="AM215" i="21" s="1"/>
  <c r="AL217" i="21"/>
  <c r="AL218" i="21"/>
  <c r="AM217" i="21" s="1"/>
  <c r="AL206" i="21"/>
  <c r="AL219" i="21"/>
  <c r="AM218" i="21" s="1"/>
  <c r="AM219" i="21"/>
  <c r="AM206" i="21"/>
  <c r="AM208" i="21"/>
  <c r="AM210" i="21"/>
  <c r="AM212" i="21"/>
  <c r="AM214" i="21"/>
  <c r="AM216" i="21"/>
  <c r="AM205" i="21"/>
  <c r="AL150" i="21"/>
  <c r="AL151" i="21"/>
  <c r="AM150" i="21" s="1"/>
  <c r="AL152" i="21"/>
  <c r="AM151" i="21" s="1"/>
  <c r="AL153" i="21"/>
  <c r="AM152" i="21" s="1"/>
  <c r="AL154" i="21"/>
  <c r="AL155" i="21"/>
  <c r="AM154" i="21" s="1"/>
  <c r="AL156" i="21"/>
  <c r="AM155" i="21" s="1"/>
  <c r="AL157" i="21"/>
  <c r="AM156" i="21" s="1"/>
  <c r="AL158" i="21"/>
  <c r="AL159" i="21"/>
  <c r="AM158" i="21" s="1"/>
  <c r="AL160" i="21"/>
  <c r="AM159" i="21" s="1"/>
  <c r="AL161" i="21"/>
  <c r="AM160" i="21" s="1"/>
  <c r="AL162" i="21"/>
  <c r="AL149" i="21"/>
  <c r="AL107" i="21"/>
  <c r="AM106" i="21" s="1"/>
  <c r="AL108" i="21"/>
  <c r="AM107" i="21" s="1"/>
  <c r="AL109" i="21"/>
  <c r="AL110" i="21"/>
  <c r="AM109" i="21" s="1"/>
  <c r="AL111" i="21"/>
  <c r="AM110" i="21" s="1"/>
  <c r="AL112" i="21"/>
  <c r="AM111" i="21" s="1"/>
  <c r="AL113" i="21"/>
  <c r="AL114" i="21"/>
  <c r="AM113" i="21" s="1"/>
  <c r="AL115" i="21"/>
  <c r="AM114" i="21" s="1"/>
  <c r="AL116" i="21"/>
  <c r="AM115" i="21" s="1"/>
  <c r="AL117" i="21"/>
  <c r="AL118" i="21"/>
  <c r="AM117" i="21" s="1"/>
  <c r="AL119" i="21"/>
  <c r="AM118" i="21" s="1"/>
  <c r="AL106" i="21"/>
  <c r="AM105" i="21" s="1"/>
  <c r="AL50" i="21"/>
  <c r="AM49" i="21" s="1"/>
  <c r="AL51" i="21"/>
  <c r="AM50" i="21" s="1"/>
  <c r="AL52" i="21"/>
  <c r="AM51" i="21" s="1"/>
  <c r="AL53" i="21"/>
  <c r="AM52" i="21" s="1"/>
  <c r="AL54" i="21"/>
  <c r="AM53" i="21" s="1"/>
  <c r="AL55" i="21"/>
  <c r="AM54" i="21" s="1"/>
  <c r="AL56" i="21"/>
  <c r="AM55" i="21" s="1"/>
  <c r="AL57" i="21"/>
  <c r="AM56" i="21" s="1"/>
  <c r="AL58" i="21"/>
  <c r="AM57" i="21" s="1"/>
  <c r="AL59" i="21"/>
  <c r="AM58" i="21" s="1"/>
  <c r="AL60" i="21"/>
  <c r="AM59" i="21" s="1"/>
  <c r="AL61" i="21"/>
  <c r="AM60" i="21" s="1"/>
  <c r="AL62" i="21"/>
  <c r="AM61" i="21" s="1"/>
  <c r="AL49" i="21"/>
  <c r="AM48" i="21" s="1"/>
  <c r="AL7" i="21"/>
  <c r="AM6" i="21" s="1"/>
  <c r="AL8" i="21"/>
  <c r="AL9" i="21"/>
  <c r="AM8" i="21" s="1"/>
  <c r="AL10" i="21"/>
  <c r="AM9" i="21" s="1"/>
  <c r="AL11" i="21"/>
  <c r="AM10" i="21" s="1"/>
  <c r="AL12" i="21"/>
  <c r="AL13" i="21"/>
  <c r="AM12" i="21" s="1"/>
  <c r="AL14" i="21"/>
  <c r="AM13" i="21" s="1"/>
  <c r="AL15" i="21"/>
  <c r="AM14" i="21" s="1"/>
  <c r="AL16" i="21"/>
  <c r="AL17" i="21"/>
  <c r="AL18" i="21"/>
  <c r="AM17" i="21" s="1"/>
  <c r="AL19" i="21"/>
  <c r="AM18" i="21" s="1"/>
  <c r="AL6" i="21"/>
  <c r="AM5" i="21" s="1"/>
  <c r="AM162" i="21"/>
  <c r="AL163" i="21" s="1"/>
  <c r="AM149" i="21"/>
  <c r="AM153" i="21"/>
  <c r="AM157" i="21"/>
  <c r="AM161" i="21"/>
  <c r="AM148" i="21"/>
  <c r="AL120" i="21"/>
  <c r="AM119" i="21"/>
  <c r="AM108" i="21"/>
  <c r="AM112" i="21"/>
  <c r="AM116" i="21"/>
  <c r="AM62" i="21"/>
  <c r="AL63" i="21" s="1"/>
  <c r="X21" i="21"/>
  <c r="AM19" i="21"/>
  <c r="AM7" i="21"/>
  <c r="AM11" i="21"/>
  <c r="AM15" i="21"/>
  <c r="AM16" i="21"/>
  <c r="AL1305" i="21"/>
  <c r="U1306" i="21"/>
  <c r="W1306" i="21"/>
  <c r="Z1306" i="21" s="1"/>
  <c r="AF1306" i="21"/>
  <c r="AL1306" i="21"/>
  <c r="U1307" i="21"/>
  <c r="AF1307" i="21"/>
  <c r="AG1306" i="21" s="1"/>
  <c r="U1308" i="21"/>
  <c r="AF1308" i="21"/>
  <c r="AG1308" i="21"/>
  <c r="U1309" i="21"/>
  <c r="AF1309" i="21"/>
  <c r="AL1308" i="21" s="1"/>
  <c r="AM1307" i="21" s="1"/>
  <c r="AG1309" i="21"/>
  <c r="AL1309" i="21"/>
  <c r="AM1308" i="21" s="1"/>
  <c r="U1310" i="21"/>
  <c r="AF1310" i="21"/>
  <c r="U1311" i="21"/>
  <c r="AF1311" i="21"/>
  <c r="AG1310" i="21" s="1"/>
  <c r="U1312" i="21"/>
  <c r="AF1312" i="21"/>
  <c r="AG1312" i="21"/>
  <c r="U1313" i="21"/>
  <c r="AF1313" i="21"/>
  <c r="AL1312" i="21" s="1"/>
  <c r="AM1311" i="21" s="1"/>
  <c r="AG1313" i="21"/>
  <c r="AL1313" i="21"/>
  <c r="AM1312" i="21" s="1"/>
  <c r="U1314" i="21"/>
  <c r="AF1314" i="21"/>
  <c r="AL1314" i="21"/>
  <c r="U1315" i="21"/>
  <c r="AF1315" i="21"/>
  <c r="AG1314" i="21" s="1"/>
  <c r="U1316" i="21"/>
  <c r="AF1316" i="21"/>
  <c r="AG1316" i="21"/>
  <c r="U1317" i="21"/>
  <c r="AF1317" i="21"/>
  <c r="AL1316" i="21" s="1"/>
  <c r="AM1315" i="21" s="1"/>
  <c r="AG1317" i="21"/>
  <c r="AL1317" i="21"/>
  <c r="AM1316" i="21" s="1"/>
  <c r="U1318" i="21"/>
  <c r="AF1318" i="21"/>
  <c r="U1319" i="21"/>
  <c r="AF1319" i="21"/>
  <c r="AG1318" i="21" s="1"/>
  <c r="U1320" i="21"/>
  <c r="AG1320" i="21"/>
  <c r="AF1320" i="21" s="1"/>
  <c r="AA1321" i="21"/>
  <c r="AF1321" i="21"/>
  <c r="V1324" i="21"/>
  <c r="X1324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AF1348" i="21"/>
  <c r="AL1348" i="21"/>
  <c r="AM1348" i="21"/>
  <c r="AN1348" i="21" s="1"/>
  <c r="AF1349" i="21"/>
  <c r="AG1348" i="21" s="1"/>
  <c r="AL1349" i="21"/>
  <c r="AF1350" i="21"/>
  <c r="AG1349" i="21" s="1"/>
  <c r="AL1350" i="21"/>
  <c r="AM1349" i="21" s="1"/>
  <c r="AN1349" i="21" s="1"/>
  <c r="AF1351" i="21"/>
  <c r="AL1351" i="21" s="1"/>
  <c r="AM1350" i="21" s="1"/>
  <c r="AF1352" i="21"/>
  <c r="AL1352" i="21" s="1"/>
  <c r="AM1351" i="21" s="1"/>
  <c r="AM1352" i="21"/>
  <c r="AN1352" i="21" s="1"/>
  <c r="AF1353" i="21"/>
  <c r="AG1352" i="21" s="1"/>
  <c r="AL1353" i="21"/>
  <c r="AF1354" i="21"/>
  <c r="AG1353" i="21" s="1"/>
  <c r="AL1354" i="21"/>
  <c r="AM1353" i="21" s="1"/>
  <c r="AN1353" i="21" s="1"/>
  <c r="AF1355" i="21"/>
  <c r="AL1355" i="21" s="1"/>
  <c r="AM1354" i="21" s="1"/>
  <c r="AF1356" i="21"/>
  <c r="AL1356" i="21" s="1"/>
  <c r="AM1355" i="21" s="1"/>
  <c r="AM1356" i="21"/>
  <c r="AN1356" i="21" s="1"/>
  <c r="AF1357" i="21"/>
  <c r="AG1356" i="21" s="1"/>
  <c r="AL1357" i="21"/>
  <c r="AF1358" i="21"/>
  <c r="AG1357" i="21" s="1"/>
  <c r="AL1358" i="21"/>
  <c r="AM1357" i="21" s="1"/>
  <c r="AN1357" i="21" s="1"/>
  <c r="AF1359" i="21"/>
  <c r="AL1359" i="21" s="1"/>
  <c r="AM1358" i="21" s="1"/>
  <c r="AF1360" i="21"/>
  <c r="AL1360" i="21" s="1"/>
  <c r="AM1359" i="21" s="1"/>
  <c r="AG1362" i="21"/>
  <c r="AF1363" i="21"/>
  <c r="W1339" i="21" l="1"/>
  <c r="AN1359" i="21"/>
  <c r="AN1355" i="21"/>
  <c r="AN1351" i="21"/>
  <c r="AN1358" i="21"/>
  <c r="AN1354" i="21"/>
  <c r="AN1350" i="21"/>
  <c r="AN163" i="21"/>
  <c r="AN120" i="21"/>
  <c r="AL20" i="21"/>
  <c r="AN20" i="21" s="1"/>
  <c r="AN63" i="21"/>
  <c r="AG1319" i="21"/>
  <c r="AL1319" i="21"/>
  <c r="AF1361" i="21"/>
  <c r="AF1362" i="21"/>
  <c r="AG1315" i="21"/>
  <c r="AL1315" i="21"/>
  <c r="AG1307" i="21"/>
  <c r="AL1307" i="21"/>
  <c r="AG1354" i="21"/>
  <c r="AN1308" i="21"/>
  <c r="V1309" i="21" s="1"/>
  <c r="AM1313" i="21"/>
  <c r="AN1312" i="21"/>
  <c r="V1313" i="21" s="1"/>
  <c r="AM1305" i="21"/>
  <c r="AG1358" i="21"/>
  <c r="AG1350" i="21"/>
  <c r="AL1318" i="21"/>
  <c r="AN1316" i="21"/>
  <c r="V1317" i="21" s="1"/>
  <c r="AG1311" i="21"/>
  <c r="AL1311" i="21"/>
  <c r="AL1310" i="21"/>
  <c r="AG1359" i="21"/>
  <c r="AG1355" i="21"/>
  <c r="AG1351" i="21"/>
  <c r="AM1309" i="21" l="1"/>
  <c r="AM1317" i="21"/>
  <c r="AN1313" i="21"/>
  <c r="V1314" i="21" s="1"/>
  <c r="B51" i="18" s="1"/>
  <c r="AM1318" i="21"/>
  <c r="AM1310" i="21"/>
  <c r="AN1305" i="21"/>
  <c r="V1306" i="21" s="1"/>
  <c r="W1307" i="21" s="1"/>
  <c r="AG1361" i="21"/>
  <c r="AL1362" i="21"/>
  <c r="AM1314" i="21"/>
  <c r="AN1315" i="21"/>
  <c r="V1316" i="21" s="1"/>
  <c r="AG1360" i="21"/>
  <c r="AL1361" i="21"/>
  <c r="AM1360" i="21" s="1"/>
  <c r="AN1360" i="21" s="1"/>
  <c r="AN1311" i="21"/>
  <c r="V1312" i="21" s="1"/>
  <c r="AM1306" i="21"/>
  <c r="AN1307" i="21"/>
  <c r="V1308" i="21" s="1"/>
  <c r="E6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C2" i="27"/>
  <c r="C3" i="27"/>
  <c r="E36" i="27"/>
  <c r="C4" i="27"/>
  <c r="C44" i="27"/>
  <c r="AL1409" i="21" s="1"/>
  <c r="AM1408" i="21" s="1"/>
  <c r="E14" i="27"/>
  <c r="E17" i="27"/>
  <c r="E25" i="27"/>
  <c r="E33" i="27"/>
  <c r="G37" i="27"/>
  <c r="AK35" i="29" s="1"/>
  <c r="F41" i="27"/>
  <c r="AF1407" i="21"/>
  <c r="AF1408" i="21"/>
  <c r="AG1407" i="21" s="1"/>
  <c r="AF1409" i="21"/>
  <c r="AF1410" i="21"/>
  <c r="AF1411" i="21"/>
  <c r="AF1412" i="21"/>
  <c r="AG1411" i="21" s="1"/>
  <c r="AF1413" i="21"/>
  <c r="AF1414" i="21"/>
  <c r="AF1415" i="21"/>
  <c r="AF1416" i="21"/>
  <c r="AF1417" i="21"/>
  <c r="AF1418" i="21"/>
  <c r="AG1420" i="21"/>
  <c r="B61" i="21"/>
  <c r="B63" i="21"/>
  <c r="B65" i="21"/>
  <c r="B67" i="21"/>
  <c r="B69" i="21"/>
  <c r="B71" i="21"/>
  <c r="B73" i="21"/>
  <c r="B59" i="21"/>
  <c r="B57" i="21"/>
  <c r="B23" i="21"/>
  <c r="B33" i="21"/>
  <c r="B35" i="21"/>
  <c r="B45" i="21"/>
  <c r="B39" i="21"/>
  <c r="B9" i="21"/>
  <c r="B43" i="21"/>
  <c r="B17" i="21"/>
  <c r="B21" i="21"/>
  <c r="B19" i="21"/>
  <c r="B31" i="21"/>
  <c r="B15" i="21"/>
  <c r="B11" i="21"/>
  <c r="B27" i="21"/>
  <c r="B51" i="21"/>
  <c r="B55" i="21"/>
  <c r="B53" i="21"/>
  <c r="B41" i="21"/>
  <c r="B37" i="21"/>
  <c r="B47" i="21"/>
  <c r="B13" i="21"/>
  <c r="B25" i="21"/>
  <c r="B29" i="21"/>
  <c r="B49" i="21"/>
  <c r="B5" i="21"/>
  <c r="B7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C40" i="32"/>
  <c r="D40" i="32"/>
  <c r="G40" i="32"/>
  <c r="H40" i="32"/>
  <c r="K40" i="32"/>
  <c r="L40" i="32"/>
  <c r="O40" i="32"/>
  <c r="P40" i="32"/>
  <c r="S40" i="32"/>
  <c r="T40" i="32"/>
  <c r="W40" i="32"/>
  <c r="X40" i="32"/>
  <c r="AD40" i="32"/>
  <c r="AE40" i="32"/>
  <c r="D58" i="12"/>
  <c r="E42" i="12"/>
  <c r="E41" i="12"/>
  <c r="E40" i="12"/>
  <c r="C1" i="12"/>
  <c r="C2" i="12"/>
  <c r="G2" i="12"/>
  <c r="G25" i="12"/>
  <c r="AA321" i="21"/>
  <c r="G58" i="12" s="1"/>
  <c r="Z306" i="21"/>
  <c r="E43" i="12" s="1"/>
  <c r="W306" i="21"/>
  <c r="C43" i="12" s="1"/>
  <c r="AF307" i="21"/>
  <c r="U306" i="21"/>
  <c r="AG320" i="21"/>
  <c r="AF318" i="21"/>
  <c r="AG317" i="21" s="1"/>
  <c r="U320" i="21"/>
  <c r="AF319" i="21"/>
  <c r="U319" i="21"/>
  <c r="AN316" i="21"/>
  <c r="V317" i="21" s="1"/>
  <c r="U318" i="21"/>
  <c r="AF317" i="21"/>
  <c r="U317" i="21"/>
  <c r="AF316" i="21"/>
  <c r="U316" i="21"/>
  <c r="AF315" i="21"/>
  <c r="U315" i="21"/>
  <c r="AF314" i="21"/>
  <c r="U314" i="21"/>
  <c r="AF313" i="21"/>
  <c r="U313" i="21"/>
  <c r="AF312" i="21"/>
  <c r="U312" i="21"/>
  <c r="AF311" i="21"/>
  <c r="U311" i="21"/>
  <c r="AF310" i="21"/>
  <c r="U310" i="21"/>
  <c r="AF309" i="21"/>
  <c r="U309" i="21"/>
  <c r="AF308" i="21"/>
  <c r="U308" i="21"/>
  <c r="U307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9" i="21" s="1"/>
  <c r="AG18" i="21" s="1"/>
  <c r="AF18" i="21"/>
  <c r="U20" i="21"/>
  <c r="U19" i="21"/>
  <c r="U18" i="21"/>
  <c r="AF17" i="21"/>
  <c r="U17" i="21"/>
  <c r="AF16" i="21"/>
  <c r="U16" i="21"/>
  <c r="AF15" i="21"/>
  <c r="U15" i="21"/>
  <c r="AF14" i="21"/>
  <c r="U14" i="21"/>
  <c r="AF13" i="21"/>
  <c r="U13" i="21"/>
  <c r="AF12" i="21"/>
  <c r="U12" i="21"/>
  <c r="AF11" i="21"/>
  <c r="U11" i="21"/>
  <c r="AF10" i="21"/>
  <c r="U10" i="21"/>
  <c r="AF9" i="21"/>
  <c r="U9" i="21"/>
  <c r="AF8" i="21"/>
  <c r="U8" i="21"/>
  <c r="AF7" i="21"/>
  <c r="U7" i="21"/>
  <c r="U6" i="21"/>
  <c r="D58" i="14"/>
  <c r="E42" i="14"/>
  <c r="E41" i="14"/>
  <c r="E40" i="14"/>
  <c r="B1" i="14"/>
  <c r="C1" i="14"/>
  <c r="C2" i="14"/>
  <c r="G2" i="14"/>
  <c r="G25" i="14"/>
  <c r="AA421" i="21"/>
  <c r="G58" i="14" s="1"/>
  <c r="AL405" i="21"/>
  <c r="Z406" i="21" s="1"/>
  <c r="W406" i="21"/>
  <c r="AF407" i="21"/>
  <c r="U406" i="21"/>
  <c r="AG420" i="21"/>
  <c r="AF418" i="21"/>
  <c r="U420" i="21"/>
  <c r="U419" i="21"/>
  <c r="U418" i="21"/>
  <c r="AF417" i="21"/>
  <c r="U417" i="21"/>
  <c r="AF416" i="21"/>
  <c r="U416" i="21"/>
  <c r="AF415" i="21"/>
  <c r="U415" i="21"/>
  <c r="AF414" i="21"/>
  <c r="U414" i="21"/>
  <c r="AF413" i="21"/>
  <c r="U413" i="21"/>
  <c r="AF412" i="21"/>
  <c r="AG411" i="21" s="1"/>
  <c r="U412" i="21"/>
  <c r="AF411" i="21"/>
  <c r="U411" i="21"/>
  <c r="AF410" i="21"/>
  <c r="U410" i="21"/>
  <c r="AF409" i="21"/>
  <c r="U409" i="21"/>
  <c r="AF408" i="21"/>
  <c r="U408" i="21"/>
  <c r="U407" i="21"/>
  <c r="D58" i="6"/>
  <c r="E42" i="6"/>
  <c r="E41" i="6"/>
  <c r="E40" i="6"/>
  <c r="C1" i="6"/>
  <c r="C2" i="6"/>
  <c r="G2" i="6"/>
  <c r="G25" i="6"/>
  <c r="W106" i="21"/>
  <c r="C43" i="6" s="1"/>
  <c r="AF107" i="21"/>
  <c r="AL105" i="21"/>
  <c r="U106" i="21"/>
  <c r="AF108" i="21"/>
  <c r="U107" i="21"/>
  <c r="AF109" i="21"/>
  <c r="U108" i="21"/>
  <c r="AF110" i="21"/>
  <c r="AN108" i="21"/>
  <c r="V109" i="21" s="1"/>
  <c r="B46" i="6" s="1"/>
  <c r="U109" i="21"/>
  <c r="AF111" i="21"/>
  <c r="U110" i="21"/>
  <c r="AF112" i="21"/>
  <c r="U111" i="21"/>
  <c r="AF113" i="21"/>
  <c r="U112" i="21"/>
  <c r="AF114" i="21"/>
  <c r="U113" i="21"/>
  <c r="AF115" i="21"/>
  <c r="U114" i="21"/>
  <c r="AF116" i="21"/>
  <c r="U115" i="21"/>
  <c r="AF117" i="21"/>
  <c r="U116" i="21"/>
  <c r="AF118" i="21"/>
  <c r="U117" i="21"/>
  <c r="AG120" i="21"/>
  <c r="U118" i="21"/>
  <c r="U119" i="21"/>
  <c r="U120" i="21"/>
  <c r="AA121" i="21"/>
  <c r="G58" i="6"/>
  <c r="Z106" i="21"/>
  <c r="E43" i="6" s="1"/>
  <c r="D58" i="15"/>
  <c r="E42" i="15"/>
  <c r="E41" i="15"/>
  <c r="E40" i="15"/>
  <c r="B1" i="15"/>
  <c r="C1" i="15"/>
  <c r="C2" i="15"/>
  <c r="G2" i="15"/>
  <c r="G25" i="15"/>
  <c r="AA521" i="21"/>
  <c r="G58" i="15" s="1"/>
  <c r="AL505" i="21"/>
  <c r="W506" i="21"/>
  <c r="Z506" i="21"/>
  <c r="E43" i="15" s="1"/>
  <c r="AF507" i="21"/>
  <c r="AN505" i="21"/>
  <c r="V506" i="21" s="1"/>
  <c r="B43" i="15" s="1"/>
  <c r="U506" i="21"/>
  <c r="AG520" i="21"/>
  <c r="AF518" i="21"/>
  <c r="U520" i="21"/>
  <c r="U519" i="21"/>
  <c r="U518" i="21"/>
  <c r="AF517" i="21"/>
  <c r="U517" i="21"/>
  <c r="AF516" i="21"/>
  <c r="U516" i="21"/>
  <c r="AF515" i="21"/>
  <c r="U515" i="21"/>
  <c r="AF514" i="21"/>
  <c r="U514" i="21"/>
  <c r="AF513" i="21"/>
  <c r="U513" i="21"/>
  <c r="AF512" i="21"/>
  <c r="U512" i="21"/>
  <c r="AF511" i="21"/>
  <c r="U511" i="21"/>
  <c r="AF510" i="21"/>
  <c r="U510" i="21"/>
  <c r="AF509" i="21"/>
  <c r="U509" i="21"/>
  <c r="AF508" i="21"/>
  <c r="U508" i="21"/>
  <c r="U507" i="21"/>
  <c r="D58" i="20"/>
  <c r="E42" i="20"/>
  <c r="E41" i="20"/>
  <c r="E40" i="20"/>
  <c r="C1" i="20"/>
  <c r="C2" i="20"/>
  <c r="G2" i="20"/>
  <c r="G25" i="20"/>
  <c r="AA221" i="21"/>
  <c r="G58" i="20" s="1"/>
  <c r="AL205" i="21"/>
  <c r="W206" i="21"/>
  <c r="AF207" i="21"/>
  <c r="AN205" i="21" s="1"/>
  <c r="V206" i="21" s="1"/>
  <c r="B43" i="20" s="1"/>
  <c r="U206" i="21"/>
  <c r="AG220" i="21"/>
  <c r="AF218" i="21"/>
  <c r="U220" i="21"/>
  <c r="U219" i="21"/>
  <c r="U218" i="21"/>
  <c r="AF217" i="21"/>
  <c r="AN215" i="21"/>
  <c r="U217" i="21"/>
  <c r="AF216" i="21"/>
  <c r="AG215" i="21" s="1"/>
  <c r="U216" i="21"/>
  <c r="AF215" i="21"/>
  <c r="U215" i="21"/>
  <c r="AF214" i="21"/>
  <c r="U214" i="21"/>
  <c r="AF213" i="21"/>
  <c r="U213" i="21"/>
  <c r="AF212" i="21"/>
  <c r="U212" i="21"/>
  <c r="AF211" i="21"/>
  <c r="U211" i="21"/>
  <c r="AF210" i="21"/>
  <c r="U210" i="21"/>
  <c r="AF209" i="21"/>
  <c r="U209" i="21"/>
  <c r="AF208" i="21"/>
  <c r="U208" i="21"/>
  <c r="U207" i="21"/>
  <c r="D58" i="16"/>
  <c r="E42" i="16"/>
  <c r="E41" i="16"/>
  <c r="E40" i="16"/>
  <c r="B1" i="16"/>
  <c r="C1" i="16"/>
  <c r="C2" i="16"/>
  <c r="G2" i="16"/>
  <c r="G25" i="16"/>
  <c r="AA621" i="21"/>
  <c r="G58" i="16"/>
  <c r="AL605" i="21"/>
  <c r="W606" i="21"/>
  <c r="C43" i="16" s="1"/>
  <c r="AF607" i="21"/>
  <c r="U606" i="21"/>
  <c r="AG620" i="21"/>
  <c r="AF618" i="21"/>
  <c r="AF619" i="21" s="1"/>
  <c r="U620" i="21"/>
  <c r="U619" i="21"/>
  <c r="U618" i="21"/>
  <c r="AF617" i="21"/>
  <c r="U617" i="21"/>
  <c r="AF616" i="21"/>
  <c r="U616" i="21"/>
  <c r="AF615" i="21"/>
  <c r="AN613" i="21"/>
  <c r="V614" i="21" s="1"/>
  <c r="B51" i="16" s="1"/>
  <c r="U615" i="21"/>
  <c r="AF614" i="21"/>
  <c r="U614" i="21"/>
  <c r="AF613" i="21"/>
  <c r="U613" i="21"/>
  <c r="AF612" i="21"/>
  <c r="AN610" i="21" s="1"/>
  <c r="V611" i="21" s="1"/>
  <c r="B48" i="16" s="1"/>
  <c r="U612" i="21"/>
  <c r="AF611" i="21"/>
  <c r="U611" i="21"/>
  <c r="AF610" i="21"/>
  <c r="U610" i="21"/>
  <c r="AF609" i="21"/>
  <c r="AN607" i="21" s="1"/>
  <c r="V608" i="21" s="1"/>
  <c r="B45" i="16" s="1"/>
  <c r="U609" i="21"/>
  <c r="AF608" i="21"/>
  <c r="U608" i="21"/>
  <c r="U607" i="21"/>
  <c r="D58" i="13"/>
  <c r="E42" i="13"/>
  <c r="E41" i="13"/>
  <c r="E40" i="13"/>
  <c r="B1" i="13"/>
  <c r="C1" i="13"/>
  <c r="C2" i="13"/>
  <c r="G2" i="13"/>
  <c r="G25" i="13"/>
  <c r="AA1021" i="21"/>
  <c r="G58" i="13" s="1"/>
  <c r="AL1005" i="21"/>
  <c r="W1006" i="21"/>
  <c r="AF1007" i="21"/>
  <c r="U1006" i="21"/>
  <c r="AG1020" i="21"/>
  <c r="AF1018" i="21"/>
  <c r="U1020" i="21"/>
  <c r="U1019" i="21"/>
  <c r="U1018" i="21"/>
  <c r="AF1017" i="21"/>
  <c r="AN1015" i="21" s="1"/>
  <c r="V1016" i="21" s="1"/>
  <c r="B53" i="13" s="1"/>
  <c r="U1017" i="21"/>
  <c r="AF1016" i="21"/>
  <c r="AN1014" i="21" s="1"/>
  <c r="U1016" i="21"/>
  <c r="AF1015" i="21"/>
  <c r="U1015" i="21"/>
  <c r="AF1014" i="21"/>
  <c r="U1014" i="21"/>
  <c r="AF1013" i="21"/>
  <c r="U1013" i="21"/>
  <c r="AF1012" i="21"/>
  <c r="U1012" i="21"/>
  <c r="AF1011" i="21"/>
  <c r="U1011" i="21"/>
  <c r="AF1010" i="21"/>
  <c r="U1010" i="21"/>
  <c r="AF1009" i="21"/>
  <c r="U1009" i="21"/>
  <c r="AF1008" i="21"/>
  <c r="U1008" i="21"/>
  <c r="U1007" i="21"/>
  <c r="D58" i="22"/>
  <c r="E42" i="22"/>
  <c r="E41" i="22"/>
  <c r="E40" i="22"/>
  <c r="C1" i="22"/>
  <c r="C2" i="22"/>
  <c r="G2" i="22"/>
  <c r="G25" i="22"/>
  <c r="AA721" i="21"/>
  <c r="G58" i="22" s="1"/>
  <c r="W706" i="21"/>
  <c r="AF707" i="21"/>
  <c r="U706" i="21"/>
  <c r="AG720" i="21"/>
  <c r="AF718" i="21"/>
  <c r="U720" i="21"/>
  <c r="U719" i="21"/>
  <c r="U718" i="21"/>
  <c r="AF717" i="21"/>
  <c r="U717" i="21"/>
  <c r="AF716" i="21"/>
  <c r="U716" i="21"/>
  <c r="AF715" i="21"/>
  <c r="U715" i="21"/>
  <c r="AF714" i="21"/>
  <c r="U714" i="21"/>
  <c r="AF713" i="21"/>
  <c r="U713" i="21"/>
  <c r="AF712" i="21"/>
  <c r="AN710" i="21" s="1"/>
  <c r="U712" i="21"/>
  <c r="AF711" i="21"/>
  <c r="U711" i="21"/>
  <c r="AF710" i="21"/>
  <c r="U710" i="21"/>
  <c r="AF709" i="21"/>
  <c r="U709" i="21"/>
  <c r="AF708" i="21"/>
  <c r="U708" i="21"/>
  <c r="U707" i="21"/>
  <c r="D58" i="17"/>
  <c r="E42" i="17"/>
  <c r="E41" i="17"/>
  <c r="E40" i="17"/>
  <c r="B1" i="17"/>
  <c r="C1" i="17"/>
  <c r="C2" i="17"/>
  <c r="G2" i="17"/>
  <c r="G25" i="17"/>
  <c r="AA1121" i="21"/>
  <c r="G58" i="17" s="1"/>
  <c r="AL1105" i="21"/>
  <c r="W1106" i="21"/>
  <c r="AF1107" i="21"/>
  <c r="U1106" i="21"/>
  <c r="AG1120" i="21"/>
  <c r="AF1118" i="21"/>
  <c r="U1120" i="21"/>
  <c r="U1119" i="21"/>
  <c r="U1118" i="21"/>
  <c r="AF1117" i="21"/>
  <c r="U1117" i="21"/>
  <c r="AF1116" i="21"/>
  <c r="U1116" i="21"/>
  <c r="AF1115" i="21"/>
  <c r="AN1113" i="21" s="1"/>
  <c r="V1114" i="21" s="1"/>
  <c r="B51" i="17" s="1"/>
  <c r="U1115" i="21"/>
  <c r="AF1114" i="21"/>
  <c r="U1114" i="21"/>
  <c r="AF1113" i="21"/>
  <c r="U1113" i="21"/>
  <c r="AF1112" i="21"/>
  <c r="AN1110" i="21" s="1"/>
  <c r="U1112" i="21"/>
  <c r="AF1111" i="21"/>
  <c r="U1111" i="21"/>
  <c r="AF1110" i="21"/>
  <c r="U1110" i="21"/>
  <c r="AF1109" i="21"/>
  <c r="U1109" i="21"/>
  <c r="AF1108" i="21"/>
  <c r="U1108" i="21"/>
  <c r="U1107" i="21"/>
  <c r="D58" i="23"/>
  <c r="E42" i="23"/>
  <c r="E41" i="23"/>
  <c r="E40" i="23"/>
  <c r="C1" i="23"/>
  <c r="C2" i="23"/>
  <c r="G2" i="23"/>
  <c r="G25" i="23"/>
  <c r="AA821" i="21"/>
  <c r="G58" i="23" s="1"/>
  <c r="AL805" i="21"/>
  <c r="W806" i="21"/>
  <c r="C43" i="23"/>
  <c r="AF807" i="21"/>
  <c r="U806" i="21"/>
  <c r="AG820" i="21"/>
  <c r="AF818" i="21"/>
  <c r="AF820" i="21"/>
  <c r="U820" i="21"/>
  <c r="AF819" i="21"/>
  <c r="AN817" i="21" s="1"/>
  <c r="V818" i="21" s="1"/>
  <c r="B55" i="23" s="1"/>
  <c r="U819" i="21"/>
  <c r="AN816" i="21"/>
  <c r="U818" i="21"/>
  <c r="AF817" i="21"/>
  <c r="U817" i="21"/>
  <c r="AF816" i="21"/>
  <c r="U816" i="21"/>
  <c r="AF815" i="21"/>
  <c r="U815" i="21"/>
  <c r="AF814" i="21"/>
  <c r="U814" i="21"/>
  <c r="AF813" i="21"/>
  <c r="U813" i="21"/>
  <c r="AF812" i="21"/>
  <c r="U812" i="21"/>
  <c r="AF811" i="21"/>
  <c r="U811" i="21"/>
  <c r="AF810" i="21"/>
  <c r="U810" i="21"/>
  <c r="AF809" i="21"/>
  <c r="U809" i="21"/>
  <c r="AF808" i="21"/>
  <c r="U808" i="21"/>
  <c r="U807" i="21"/>
  <c r="D58" i="19"/>
  <c r="E42" i="19"/>
  <c r="E41" i="19"/>
  <c r="E40" i="19"/>
  <c r="B1" i="19"/>
  <c r="C1" i="19"/>
  <c r="C2" i="19"/>
  <c r="G2" i="19"/>
  <c r="G25" i="19"/>
  <c r="AA1221" i="21"/>
  <c r="G58" i="19" s="1"/>
  <c r="AL1205" i="21"/>
  <c r="W1206" i="21"/>
  <c r="W1239" i="21" s="1"/>
  <c r="AF1207" i="21"/>
  <c r="U1206" i="21"/>
  <c r="AG1220" i="21"/>
  <c r="AF1219" i="21" s="1"/>
  <c r="AG1218" i="21" s="1"/>
  <c r="AF1218" i="21"/>
  <c r="U1220" i="21"/>
  <c r="U1219" i="21"/>
  <c r="U1218" i="21"/>
  <c r="AF1217" i="21"/>
  <c r="U1217" i="21"/>
  <c r="AF1216" i="21"/>
  <c r="U1216" i="21"/>
  <c r="AF1215" i="21"/>
  <c r="U1215" i="21"/>
  <c r="AF1214" i="21"/>
  <c r="AN1212" i="21"/>
  <c r="U1214" i="21"/>
  <c r="AF1213" i="21"/>
  <c r="U1213" i="21"/>
  <c r="AF1212" i="21"/>
  <c r="U1212" i="21"/>
  <c r="AF1211" i="21"/>
  <c r="U1211" i="21"/>
  <c r="AF1210" i="21"/>
  <c r="U1210" i="21"/>
  <c r="AF1209" i="21"/>
  <c r="AN1207" i="21"/>
  <c r="V1208" i="21" s="1"/>
  <c r="B45" i="19" s="1"/>
  <c r="U1209" i="21"/>
  <c r="AF1208" i="21"/>
  <c r="AN1206" i="21" s="1"/>
  <c r="U1208" i="21"/>
  <c r="U1207" i="21"/>
  <c r="D58" i="24"/>
  <c r="E42" i="24"/>
  <c r="E41" i="24"/>
  <c r="E40" i="24"/>
  <c r="C1" i="24"/>
  <c r="C2" i="24"/>
  <c r="G2" i="24"/>
  <c r="G25" i="24"/>
  <c r="AA921" i="21"/>
  <c r="G58" i="24"/>
  <c r="AL905" i="21"/>
  <c r="W906" i="21"/>
  <c r="AF907" i="21"/>
  <c r="U906" i="21"/>
  <c r="AG920" i="21"/>
  <c r="AF918" i="21"/>
  <c r="AF920" i="21"/>
  <c r="U920" i="21"/>
  <c r="U919" i="21"/>
  <c r="U918" i="21"/>
  <c r="AF917" i="21"/>
  <c r="AN916" i="21"/>
  <c r="V917" i="21" s="1"/>
  <c r="B54" i="24" s="1"/>
  <c r="U917" i="21"/>
  <c r="AF916" i="21"/>
  <c r="U916" i="21"/>
  <c r="AF915" i="21"/>
  <c r="U915" i="21"/>
  <c r="AF914" i="21"/>
  <c r="U914" i="21"/>
  <c r="AF913" i="21"/>
  <c r="U913" i="21"/>
  <c r="AF912" i="21"/>
  <c r="U912" i="21"/>
  <c r="AF911" i="21"/>
  <c r="AN909" i="21"/>
  <c r="U911" i="21"/>
  <c r="AF910" i="21"/>
  <c r="U910" i="21"/>
  <c r="AF909" i="21"/>
  <c r="U909" i="21"/>
  <c r="AF908" i="21"/>
  <c r="U908" i="21"/>
  <c r="U907" i="21"/>
  <c r="D58" i="18"/>
  <c r="E42" i="18"/>
  <c r="E41" i="18"/>
  <c r="E40" i="18"/>
  <c r="B1" i="18"/>
  <c r="C1" i="18"/>
  <c r="C2" i="18"/>
  <c r="G2" i="18"/>
  <c r="G25" i="18"/>
  <c r="G58" i="18"/>
  <c r="K1" i="21"/>
  <c r="G105" i="21"/>
  <c r="S105" i="21"/>
  <c r="G107" i="21"/>
  <c r="S107" i="21"/>
  <c r="G109" i="21"/>
  <c r="S109" i="21"/>
  <c r="G111" i="21"/>
  <c r="S111" i="21"/>
  <c r="G113" i="21"/>
  <c r="S113" i="21"/>
  <c r="G115" i="21"/>
  <c r="S115" i="21"/>
  <c r="G117" i="21"/>
  <c r="S117" i="21"/>
  <c r="G119" i="21"/>
  <c r="S119" i="21"/>
  <c r="G121" i="21"/>
  <c r="S121" i="21"/>
  <c r="G123" i="21"/>
  <c r="S123" i="21"/>
  <c r="G125" i="21"/>
  <c r="S125" i="21"/>
  <c r="G127" i="21"/>
  <c r="S127" i="21"/>
  <c r="G129" i="21"/>
  <c r="S129" i="21"/>
  <c r="G131" i="21"/>
  <c r="S131" i="21"/>
  <c r="G133" i="21"/>
  <c r="S133" i="21"/>
  <c r="G135" i="21"/>
  <c r="S135" i="21"/>
  <c r="G137" i="21"/>
  <c r="S137" i="21"/>
  <c r="G139" i="21"/>
  <c r="S139" i="21"/>
  <c r="G141" i="21"/>
  <c r="S141" i="21"/>
  <c r="G143" i="21"/>
  <c r="S143" i="21"/>
  <c r="G145" i="21"/>
  <c r="S145" i="21"/>
  <c r="G147" i="21"/>
  <c r="S147" i="21"/>
  <c r="G149" i="21"/>
  <c r="S149" i="21"/>
  <c r="G151" i="21"/>
  <c r="S151" i="21"/>
  <c r="G153" i="21"/>
  <c r="S153" i="21"/>
  <c r="G155" i="21"/>
  <c r="S155" i="21"/>
  <c r="G157" i="21"/>
  <c r="S157" i="21"/>
  <c r="G159" i="21"/>
  <c r="S159" i="21"/>
  <c r="G161" i="21"/>
  <c r="S161" i="21"/>
  <c r="G163" i="21"/>
  <c r="S163" i="21"/>
  <c r="G165" i="21"/>
  <c r="S165" i="21"/>
  <c r="G167" i="21"/>
  <c r="S167" i="21"/>
  <c r="G169" i="21"/>
  <c r="S169" i="21"/>
  <c r="G171" i="21"/>
  <c r="S171" i="21"/>
  <c r="G173" i="21"/>
  <c r="S173" i="21"/>
  <c r="Y725" i="21"/>
  <c r="Y729" i="21"/>
  <c r="Y734" i="21"/>
  <c r="Y739" i="21"/>
  <c r="Y728" i="21"/>
  <c r="Y1026" i="21"/>
  <c r="Y25" i="21"/>
  <c r="Y735" i="21"/>
  <c r="Y26" i="21"/>
  <c r="Y726" i="21"/>
  <c r="Y730" i="21"/>
  <c r="Y1029" i="21"/>
  <c r="Y27" i="21"/>
  <c r="Y738" i="21"/>
  <c r="Y30" i="21"/>
  <c r="Y1030" i="21"/>
  <c r="Y32" i="21"/>
  <c r="Y732" i="21"/>
  <c r="Y1033" i="21"/>
  <c r="Y29" i="21"/>
  <c r="Y1028" i="21"/>
  <c r="X924" i="21"/>
  <c r="V924" i="21"/>
  <c r="Y924" i="21"/>
  <c r="Y1025" i="21"/>
  <c r="Y1027" i="21"/>
  <c r="Y35" i="21"/>
  <c r="X1024" i="21"/>
  <c r="V1024" i="21" s="1"/>
  <c r="Y1024" i="21"/>
  <c r="Y31" i="21"/>
  <c r="Y1031" i="21"/>
  <c r="Y737" i="21"/>
  <c r="Y731" i="21"/>
  <c r="Y736" i="21"/>
  <c r="Y727" i="21"/>
  <c r="X24" i="21"/>
  <c r="V24" i="21"/>
  <c r="Y24" i="21"/>
  <c r="Y733" i="21"/>
  <c r="Y325" i="21"/>
  <c r="Y330" i="21"/>
  <c r="X324" i="21"/>
  <c r="V324" i="21" s="1"/>
  <c r="Y324" i="21"/>
  <c r="Y328" i="21"/>
  <c r="Y331" i="21"/>
  <c r="Y332" i="21"/>
  <c r="Y326" i="21"/>
  <c r="Y334" i="21"/>
  <c r="Y339" i="21"/>
  <c r="Y329" i="21"/>
  <c r="Y327" i="21"/>
  <c r="Y426" i="21"/>
  <c r="Y435" i="21"/>
  <c r="X424" i="21"/>
  <c r="V424" i="21" s="1"/>
  <c r="Y424" i="21"/>
  <c r="Y428" i="21"/>
  <c r="Y436" i="21"/>
  <c r="Y431" i="21"/>
  <c r="Y429" i="21"/>
  <c r="Y425" i="21"/>
  <c r="Y427" i="21"/>
  <c r="Y526" i="21"/>
  <c r="Y537" i="21"/>
  <c r="Y535" i="21"/>
  <c r="X524" i="21"/>
  <c r="V524" i="21" s="1"/>
  <c r="Y524" i="21"/>
  <c r="Y534" i="21"/>
  <c r="Y527" i="21"/>
  <c r="Y525" i="21"/>
  <c r="Y538" i="21"/>
  <c r="Y528" i="21"/>
  <c r="Y533" i="21"/>
  <c r="Y34" i="21"/>
  <c r="A1" i="21"/>
  <c r="Y828" i="21"/>
  <c r="Y36" i="21"/>
  <c r="Y835" i="21"/>
  <c r="Y39" i="21"/>
  <c r="Y836" i="21"/>
  <c r="Y831" i="21"/>
  <c r="Y829" i="21"/>
  <c r="Y830" i="21"/>
  <c r="Y837" i="21"/>
  <c r="Y1039" i="21"/>
  <c r="Y834" i="21"/>
  <c r="Y833" i="21"/>
  <c r="Y825" i="21"/>
  <c r="Y33" i="21"/>
  <c r="Y1037" i="21"/>
  <c r="Y826" i="21"/>
  <c r="Y37" i="21"/>
  <c r="X724" i="21"/>
  <c r="V724" i="21" s="1"/>
  <c r="Y724" i="21"/>
  <c r="Y1035" i="21"/>
  <c r="Y839" i="21"/>
  <c r="Y827" i="21"/>
  <c r="Y1036" i="21"/>
  <c r="Y336" i="21"/>
  <c r="Y338" i="21"/>
  <c r="Y337" i="21"/>
  <c r="Y335" i="21"/>
  <c r="Y437" i="21"/>
  <c r="Y434" i="21"/>
  <c r="Y430" i="21"/>
  <c r="Y438" i="21"/>
  <c r="G25" i="21"/>
  <c r="D3" i="21"/>
  <c r="G5" i="21"/>
  <c r="O5" i="21"/>
  <c r="B6" i="21"/>
  <c r="G6" i="21"/>
  <c r="O6" i="21"/>
  <c r="AF6" i="21"/>
  <c r="G7" i="21"/>
  <c r="O7" i="21"/>
  <c r="AG7" i="21"/>
  <c r="B8" i="21"/>
  <c r="G8" i="21"/>
  <c r="O8" i="21"/>
  <c r="AG8" i="21"/>
  <c r="G9" i="21"/>
  <c r="O9" i="21"/>
  <c r="AG9" i="21"/>
  <c r="B10" i="21"/>
  <c r="G10" i="21"/>
  <c r="O10" i="21"/>
  <c r="AG10" i="21"/>
  <c r="G11" i="21"/>
  <c r="O11" i="21"/>
  <c r="B12" i="21"/>
  <c r="G12" i="21"/>
  <c r="O12" i="21"/>
  <c r="G13" i="21"/>
  <c r="O13" i="21"/>
  <c r="B14" i="21"/>
  <c r="G14" i="21"/>
  <c r="O14" i="21"/>
  <c r="AG14" i="21"/>
  <c r="G15" i="21"/>
  <c r="O15" i="21"/>
  <c r="B16" i="21"/>
  <c r="G16" i="21"/>
  <c r="O16" i="21"/>
  <c r="AG16" i="21"/>
  <c r="G17" i="21"/>
  <c r="O17" i="21"/>
  <c r="AG17" i="21"/>
  <c r="B18" i="21"/>
  <c r="G18" i="21"/>
  <c r="O18" i="21"/>
  <c r="G19" i="21"/>
  <c r="O19" i="21"/>
  <c r="B20" i="21"/>
  <c r="G20" i="21"/>
  <c r="O20" i="21"/>
  <c r="G21" i="21"/>
  <c r="O21" i="21"/>
  <c r="AF21" i="21"/>
  <c r="B22" i="21"/>
  <c r="G22" i="21"/>
  <c r="O22" i="21"/>
  <c r="G23" i="21"/>
  <c r="O23" i="21"/>
  <c r="B24" i="21"/>
  <c r="G24" i="21"/>
  <c r="O24" i="21"/>
  <c r="O25" i="21"/>
  <c r="B26" i="21"/>
  <c r="G26" i="21"/>
  <c r="O26" i="21"/>
  <c r="G27" i="21"/>
  <c r="O27" i="21"/>
  <c r="B28" i="21"/>
  <c r="G28" i="21"/>
  <c r="O28" i="21"/>
  <c r="Y28" i="21"/>
  <c r="G29" i="21"/>
  <c r="O29" i="21"/>
  <c r="B30" i="21"/>
  <c r="G30" i="21"/>
  <c r="O30" i="21"/>
  <c r="G31" i="21"/>
  <c r="O31" i="21"/>
  <c r="B32" i="21"/>
  <c r="G32" i="21"/>
  <c r="O32" i="21"/>
  <c r="G33" i="21"/>
  <c r="O33" i="21"/>
  <c r="B34" i="21"/>
  <c r="G34" i="21"/>
  <c r="O34" i="21"/>
  <c r="G35" i="21"/>
  <c r="O35" i="21"/>
  <c r="B36" i="21"/>
  <c r="G36" i="21"/>
  <c r="O36" i="21"/>
  <c r="G37" i="21"/>
  <c r="O37" i="21"/>
  <c r="B38" i="21"/>
  <c r="G38" i="21"/>
  <c r="O38" i="21"/>
  <c r="Y38" i="21"/>
  <c r="G39" i="21"/>
  <c r="O39" i="21"/>
  <c r="B40" i="21"/>
  <c r="G40" i="21"/>
  <c r="O40" i="21"/>
  <c r="G41" i="21"/>
  <c r="O41" i="21"/>
  <c r="B42" i="21"/>
  <c r="G42" i="21"/>
  <c r="O42" i="21"/>
  <c r="G43" i="21"/>
  <c r="O43" i="21"/>
  <c r="B44" i="21"/>
  <c r="G44" i="21"/>
  <c r="O44" i="21"/>
  <c r="G45" i="21"/>
  <c r="O45" i="21"/>
  <c r="B46" i="21"/>
  <c r="G46" i="21"/>
  <c r="O46" i="21"/>
  <c r="G47" i="21"/>
  <c r="O47" i="21"/>
  <c r="B48" i="21"/>
  <c r="G48" i="21"/>
  <c r="O48" i="21"/>
  <c r="AF49" i="21"/>
  <c r="AL48" i="21"/>
  <c r="AN48" i="21" s="1"/>
  <c r="AF48" i="21"/>
  <c r="AG48" i="21"/>
  <c r="G49" i="21"/>
  <c r="O49" i="21"/>
  <c r="AF50" i="21"/>
  <c r="B50" i="21"/>
  <c r="G50" i="21"/>
  <c r="O50" i="21"/>
  <c r="AF51" i="21"/>
  <c r="G51" i="21"/>
  <c r="O51" i="21"/>
  <c r="AF52" i="21"/>
  <c r="B52" i="21"/>
  <c r="G52" i="21"/>
  <c r="O52" i="21"/>
  <c r="AF53" i="21"/>
  <c r="G53" i="21"/>
  <c r="O53" i="21"/>
  <c r="AF54" i="21"/>
  <c r="B54" i="21"/>
  <c r="G54" i="21"/>
  <c r="O54" i="21"/>
  <c r="AF55" i="21"/>
  <c r="AG54" i="21"/>
  <c r="G55" i="21"/>
  <c r="O55" i="21"/>
  <c r="AF56" i="21"/>
  <c r="B56" i="21"/>
  <c r="G56" i="21"/>
  <c r="O56" i="21"/>
  <c r="AF57" i="21"/>
  <c r="G57" i="21"/>
  <c r="O57" i="21"/>
  <c r="AF58" i="21"/>
  <c r="B58" i="21"/>
  <c r="G58" i="21"/>
  <c r="O58" i="21"/>
  <c r="AF59" i="21"/>
  <c r="G59" i="21"/>
  <c r="O59" i="21"/>
  <c r="AF60" i="21"/>
  <c r="B60" i="21"/>
  <c r="G60" i="21"/>
  <c r="O60" i="21"/>
  <c r="AG62" i="21"/>
  <c r="G61" i="21"/>
  <c r="O61" i="21"/>
  <c r="B62" i="21"/>
  <c r="G62" i="21"/>
  <c r="O62" i="21"/>
  <c r="G63" i="21"/>
  <c r="O63" i="21"/>
  <c r="AF63" i="21"/>
  <c r="B64" i="21"/>
  <c r="G64" i="21"/>
  <c r="O64" i="21"/>
  <c r="G65" i="21"/>
  <c r="O65" i="21"/>
  <c r="B66" i="21"/>
  <c r="G66" i="21"/>
  <c r="O66" i="21"/>
  <c r="G67" i="21"/>
  <c r="O67" i="21"/>
  <c r="B68" i="21"/>
  <c r="G68" i="21"/>
  <c r="O68" i="21"/>
  <c r="G69" i="21"/>
  <c r="O69" i="21"/>
  <c r="B70" i="21"/>
  <c r="G70" i="21"/>
  <c r="O70" i="21"/>
  <c r="G71" i="21"/>
  <c r="O71" i="21"/>
  <c r="B72" i="21"/>
  <c r="G72" i="21"/>
  <c r="O72" i="21"/>
  <c r="G73" i="21"/>
  <c r="O73" i="21"/>
  <c r="B74" i="21"/>
  <c r="G74" i="21"/>
  <c r="O74" i="21"/>
  <c r="AF106" i="21"/>
  <c r="AG106" i="21"/>
  <c r="AG107" i="21"/>
  <c r="AG108" i="21"/>
  <c r="AG109" i="21"/>
  <c r="AG111" i="21"/>
  <c r="AG113" i="21"/>
  <c r="AG114" i="21"/>
  <c r="AG116" i="21"/>
  <c r="AF121" i="21"/>
  <c r="X124" i="21"/>
  <c r="V124" i="21" s="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AF149" i="21"/>
  <c r="AL148" i="21"/>
  <c r="AF148" i="21"/>
  <c r="AF150" i="21"/>
  <c r="AF151" i="21"/>
  <c r="AF152" i="21"/>
  <c r="AF153" i="21"/>
  <c r="AG152" i="21" s="1"/>
  <c r="AF154" i="21"/>
  <c r="AF155" i="21"/>
  <c r="AF156" i="21"/>
  <c r="AF157" i="21"/>
  <c r="AF158" i="21"/>
  <c r="AF159" i="21"/>
  <c r="AF160" i="21"/>
  <c r="AG162" i="21"/>
  <c r="AF162" i="21"/>
  <c r="AF163" i="21"/>
  <c r="AF206" i="21"/>
  <c r="AG206" i="21"/>
  <c r="AG208" i="21"/>
  <c r="AG210" i="21"/>
  <c r="AG212" i="21"/>
  <c r="AG213" i="21"/>
  <c r="AG216" i="21"/>
  <c r="AF221" i="21"/>
  <c r="X224" i="21"/>
  <c r="V224" i="21" s="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AF249" i="21"/>
  <c r="AL248" i="21"/>
  <c r="AF248" i="21"/>
  <c r="AF250" i="21"/>
  <c r="AF251" i="21"/>
  <c r="AF252" i="21"/>
  <c r="AF253" i="21"/>
  <c r="AF254" i="21"/>
  <c r="AG253" i="21" s="1"/>
  <c r="AF255" i="21"/>
  <c r="AF256" i="21"/>
  <c r="AF257" i="21"/>
  <c r="AF258" i="21"/>
  <c r="AF259" i="21"/>
  <c r="AF260" i="21"/>
  <c r="AG262" i="21"/>
  <c r="AF262" i="21" s="1"/>
  <c r="AG261" i="21" s="1"/>
  <c r="AF263" i="21"/>
  <c r="AF306" i="21"/>
  <c r="AG306" i="21"/>
  <c r="AG308" i="21"/>
  <c r="AG310" i="21"/>
  <c r="AG311" i="21"/>
  <c r="AG312" i="21"/>
  <c r="AG314" i="21"/>
  <c r="AG315" i="21"/>
  <c r="AG316" i="21"/>
  <c r="AG318" i="21"/>
  <c r="AF321" i="21"/>
  <c r="Y333" i="21"/>
  <c r="W339" i="21"/>
  <c r="AF349" i="21"/>
  <c r="AL348" i="21"/>
  <c r="AF348" i="21"/>
  <c r="AF350" i="21"/>
  <c r="AG349" i="21"/>
  <c r="AF351" i="21"/>
  <c r="AN350" i="21"/>
  <c r="AG350" i="21"/>
  <c r="AF352" i="21"/>
  <c r="AN351" i="21"/>
  <c r="AG351" i="21"/>
  <c r="AF353" i="21"/>
  <c r="AN352" i="21"/>
  <c r="AG352" i="21"/>
  <c r="AF354" i="21"/>
  <c r="AN353" i="21"/>
  <c r="AG353" i="21"/>
  <c r="AF355" i="21"/>
  <c r="AN354" i="21"/>
  <c r="AG354" i="21"/>
  <c r="AF356" i="21"/>
  <c r="AN355" i="21"/>
  <c r="AG355" i="21"/>
  <c r="AF357" i="21"/>
  <c r="AN356" i="21"/>
  <c r="AG356" i="21"/>
  <c r="AF358" i="21"/>
  <c r="AN357" i="21"/>
  <c r="AG357" i="21"/>
  <c r="AF359" i="21"/>
  <c r="AN358" i="21"/>
  <c r="AG358" i="21"/>
  <c r="AF360" i="21"/>
  <c r="AN359" i="21"/>
  <c r="AG359" i="21"/>
  <c r="AG362" i="21"/>
  <c r="AF361" i="21"/>
  <c r="AN360" i="21"/>
  <c r="AF362" i="21"/>
  <c r="AF363" i="21"/>
  <c r="AF406" i="21"/>
  <c r="AG408" i="21"/>
  <c r="AG412" i="21"/>
  <c r="AG414" i="21"/>
  <c r="AG415" i="21"/>
  <c r="AF421" i="21"/>
  <c r="Y432" i="21"/>
  <c r="Y433" i="21"/>
  <c r="Y439" i="21"/>
  <c r="AF449" i="21"/>
  <c r="AL448" i="21"/>
  <c r="AF448" i="21"/>
  <c r="AF450" i="21"/>
  <c r="AF451" i="21"/>
  <c r="AF452" i="21"/>
  <c r="AN451" i="21"/>
  <c r="AF453" i="21"/>
  <c r="AF454" i="21"/>
  <c r="AF455" i="21"/>
  <c r="AF456" i="21"/>
  <c r="AF457" i="21"/>
  <c r="AF458" i="21"/>
  <c r="AF459" i="21"/>
  <c r="AF460" i="21"/>
  <c r="AG462" i="21"/>
  <c r="AF463" i="21"/>
  <c r="AF506" i="21"/>
  <c r="AG506" i="21"/>
  <c r="AG508" i="21"/>
  <c r="AG509" i="21"/>
  <c r="AG510" i="21"/>
  <c r="AG512" i="21"/>
  <c r="AG514" i="21"/>
  <c r="AG516" i="21"/>
  <c r="AG517" i="21"/>
  <c r="AF521" i="21"/>
  <c r="Y529" i="21"/>
  <c r="Y530" i="21"/>
  <c r="Y531" i="21"/>
  <c r="Y532" i="21"/>
  <c r="Y536" i="21"/>
  <c r="W539" i="21"/>
  <c r="Y539" i="21"/>
  <c r="AF549" i="21"/>
  <c r="AG548" i="21" s="1"/>
  <c r="AN548" i="21"/>
  <c r="AL548" i="21"/>
  <c r="AF548" i="21"/>
  <c r="AF550" i="21"/>
  <c r="AF551" i="21"/>
  <c r="AF552" i="21"/>
  <c r="AF553" i="21"/>
  <c r="AF554" i="21"/>
  <c r="AF555" i="21"/>
  <c r="AF556" i="21"/>
  <c r="AF557" i="21"/>
  <c r="AF558" i="21"/>
  <c r="AF559" i="21"/>
  <c r="AF560" i="21"/>
  <c r="AN559" i="21"/>
  <c r="AG562" i="21"/>
  <c r="AN563" i="21"/>
  <c r="AF563" i="21"/>
  <c r="AF606" i="21"/>
  <c r="AG606" i="21"/>
  <c r="AG607" i="21"/>
  <c r="AG608" i="21"/>
  <c r="AG610" i="21"/>
  <c r="AG611" i="21"/>
  <c r="AG614" i="21"/>
  <c r="AG615" i="21"/>
  <c r="AF621" i="21"/>
  <c r="X624" i="21"/>
  <c r="V624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W639" i="21"/>
  <c r="Y639" i="21"/>
  <c r="AF649" i="21"/>
  <c r="AL648" i="21"/>
  <c r="AF648" i="21"/>
  <c r="AF650" i="21"/>
  <c r="AF651" i="21"/>
  <c r="AF652" i="21"/>
  <c r="AF653" i="21"/>
  <c r="AF654" i="21"/>
  <c r="AF655" i="21"/>
  <c r="AG654" i="21" s="1"/>
  <c r="AF656" i="21"/>
  <c r="AF657" i="21"/>
  <c r="AF658" i="21"/>
  <c r="AF659" i="21"/>
  <c r="AF660" i="21"/>
  <c r="AG662" i="21"/>
  <c r="AF662" i="21" s="1"/>
  <c r="AF663" i="21"/>
  <c r="AF706" i="21"/>
  <c r="AG707" i="21"/>
  <c r="AG710" i="21"/>
  <c r="AG711" i="21"/>
  <c r="AG712" i="21"/>
  <c r="AG714" i="21"/>
  <c r="AG715" i="21"/>
  <c r="AG716" i="21"/>
  <c r="AF721" i="21"/>
  <c r="AF749" i="21"/>
  <c r="AL748" i="21"/>
  <c r="AF748" i="21"/>
  <c r="AG748" i="21"/>
  <c r="AF750" i="21"/>
  <c r="AF751" i="21"/>
  <c r="AF752" i="21"/>
  <c r="AG751" i="21" s="1"/>
  <c r="AF753" i="21"/>
  <c r="AF754" i="21"/>
  <c r="AG753" i="21" s="1"/>
  <c r="AN753" i="21"/>
  <c r="AF755" i="21"/>
  <c r="AF756" i="21"/>
  <c r="AF757" i="21"/>
  <c r="AF758" i="21"/>
  <c r="AF759" i="21"/>
  <c r="AF760" i="21"/>
  <c r="AN759" i="21"/>
  <c r="AG762" i="21"/>
  <c r="AF763" i="21"/>
  <c r="AF806" i="21"/>
  <c r="AG806" i="21"/>
  <c r="AG809" i="21"/>
  <c r="AG810" i="21"/>
  <c r="AG813" i="21"/>
  <c r="AG814" i="21"/>
  <c r="AG816" i="21"/>
  <c r="AG817" i="21"/>
  <c r="AG818" i="21"/>
  <c r="AF821" i="21"/>
  <c r="X824" i="21"/>
  <c r="V824" i="21" s="1"/>
  <c r="Y824" i="21"/>
  <c r="Y832" i="21"/>
  <c r="Y838" i="21"/>
  <c r="W839" i="21"/>
  <c r="AF849" i="21"/>
  <c r="AL848" i="21"/>
  <c r="AN848" i="21" s="1"/>
  <c r="AF848" i="21"/>
  <c r="AG848" i="21"/>
  <c r="AF850" i="21"/>
  <c r="AF851" i="21"/>
  <c r="AF852" i="21"/>
  <c r="AG851" i="21" s="1"/>
  <c r="AF853" i="21"/>
  <c r="AF854" i="21"/>
  <c r="AF855" i="21"/>
  <c r="AG854" i="21" s="1"/>
  <c r="AN854" i="21"/>
  <c r="AF856" i="21"/>
  <c r="AF857" i="21"/>
  <c r="AF858" i="21"/>
  <c r="AG857" i="21" s="1"/>
  <c r="AF859" i="21"/>
  <c r="AG858" i="21"/>
  <c r="AF860" i="21"/>
  <c r="AG862" i="21"/>
  <c r="AF863" i="21"/>
  <c r="AF906" i="21"/>
  <c r="AG906" i="21"/>
  <c r="AG907" i="21"/>
  <c r="AG909" i="21"/>
  <c r="AG910" i="21"/>
  <c r="AG911" i="21"/>
  <c r="AG915" i="21"/>
  <c r="AG916" i="21"/>
  <c r="AG917" i="21"/>
  <c r="AF921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AF949" i="21"/>
  <c r="AL948" i="21"/>
  <c r="AF948" i="21"/>
  <c r="AF950" i="21"/>
  <c r="AF951" i="21"/>
  <c r="AF952" i="21"/>
  <c r="AF953" i="21"/>
  <c r="AF954" i="21"/>
  <c r="AF955" i="21"/>
  <c r="AF956" i="21"/>
  <c r="AF957" i="21"/>
  <c r="AF958" i="21"/>
  <c r="AF959" i="21"/>
  <c r="AF960" i="21"/>
  <c r="AG962" i="21"/>
  <c r="AF963" i="21"/>
  <c r="AF1006" i="21"/>
  <c r="AG1006" i="21"/>
  <c r="AG1007" i="21"/>
  <c r="AG1008" i="21"/>
  <c r="AG1011" i="21"/>
  <c r="AG1012" i="21"/>
  <c r="AG1014" i="21"/>
  <c r="AG1015" i="21"/>
  <c r="AG1016" i="21"/>
  <c r="AF1021" i="21"/>
  <c r="Y1032" i="21"/>
  <c r="Y1034" i="21"/>
  <c r="Y1038" i="21"/>
  <c r="AF1049" i="21"/>
  <c r="AL1048" i="21"/>
  <c r="AF1048" i="21"/>
  <c r="AF1050" i="21"/>
  <c r="AG1049" i="21"/>
  <c r="AF1051" i="21"/>
  <c r="AN1050" i="21"/>
  <c r="AG1050" i="21"/>
  <c r="AF1052" i="21"/>
  <c r="AN1051" i="21"/>
  <c r="AG1051" i="21"/>
  <c r="AF1053" i="21"/>
  <c r="AN1052" i="21"/>
  <c r="AG1052" i="21"/>
  <c r="AF1054" i="21"/>
  <c r="AN1053" i="21"/>
  <c r="AG1053" i="21"/>
  <c r="AF1055" i="21"/>
  <c r="AN1054" i="21"/>
  <c r="AG1054" i="21"/>
  <c r="AF1056" i="21"/>
  <c r="AN1055" i="21"/>
  <c r="AG1055" i="21"/>
  <c r="AF1057" i="21"/>
  <c r="AN1056" i="21"/>
  <c r="AG1056" i="21"/>
  <c r="AF1058" i="21"/>
  <c r="AG1057" i="21"/>
  <c r="AF1059" i="21"/>
  <c r="AG1058" i="21" s="1"/>
  <c r="AF1060" i="21"/>
  <c r="AG1059" i="21" s="1"/>
  <c r="AG1062" i="21"/>
  <c r="AF1063" i="21"/>
  <c r="AF1106" i="21"/>
  <c r="AG1109" i="21"/>
  <c r="AG1110" i="21"/>
  <c r="AG1111" i="21"/>
  <c r="AG1112" i="21"/>
  <c r="AG1113" i="21"/>
  <c r="AG1114" i="21"/>
  <c r="AG1115" i="21"/>
  <c r="AF1121" i="21"/>
  <c r="X1124" i="21"/>
  <c r="V1124" i="21" s="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AF1149" i="21"/>
  <c r="AL1148" i="21"/>
  <c r="AF1148" i="21"/>
  <c r="AG1148" i="21"/>
  <c r="AF1150" i="21"/>
  <c r="AF1151" i="21"/>
  <c r="AF1152" i="21"/>
  <c r="AF1153" i="21"/>
  <c r="AF1154" i="21"/>
  <c r="AF1155" i="21"/>
  <c r="AF1156" i="21"/>
  <c r="AF1157" i="21"/>
  <c r="AF1158" i="21"/>
  <c r="AF1159" i="21"/>
  <c r="AF1160" i="21"/>
  <c r="AG1162" i="21"/>
  <c r="AF1163" i="21"/>
  <c r="AF1206" i="21"/>
  <c r="AG1206" i="21"/>
  <c r="AG1207" i="21"/>
  <c r="AG1208" i="21"/>
  <c r="AG1210" i="21"/>
  <c r="AG1211" i="21"/>
  <c r="AG1212" i="21"/>
  <c r="AG1213" i="21"/>
  <c r="AG1216" i="21"/>
  <c r="AF1221" i="21"/>
  <c r="X1224" i="21"/>
  <c r="V1224" i="21" s="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AF1249" i="21"/>
  <c r="AL1248" i="21"/>
  <c r="AF1248" i="21"/>
  <c r="AF1250" i="21"/>
  <c r="AG1249" i="21"/>
  <c r="AF1251" i="21"/>
  <c r="AF1252" i="21"/>
  <c r="AG1251" i="21"/>
  <c r="AF1253" i="21"/>
  <c r="AG1252" i="21"/>
  <c r="AF1254" i="21"/>
  <c r="AF1255" i="21"/>
  <c r="AG1254" i="21"/>
  <c r="AF1256" i="21"/>
  <c r="AF1257" i="21"/>
  <c r="AG1256" i="21"/>
  <c r="AF1258" i="21"/>
  <c r="AG1257" i="21"/>
  <c r="AF1259" i="21"/>
  <c r="AF1260" i="21"/>
  <c r="AG1262" i="21"/>
  <c r="AF1263" i="21"/>
  <c r="AF1406" i="21"/>
  <c r="AG1406" i="21"/>
  <c r="AG1409" i="21"/>
  <c r="AG1410" i="21"/>
  <c r="AG1412" i="21"/>
  <c r="AG1413" i="21"/>
  <c r="AG1414" i="21"/>
  <c r="AG1415" i="21"/>
  <c r="AG1416" i="21"/>
  <c r="AG1417" i="21"/>
  <c r="AA1421" i="21"/>
  <c r="AF1421" i="21"/>
  <c r="X1424" i="21"/>
  <c r="V1424" i="21" s="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AF1449" i="21"/>
  <c r="AF1448" i="21"/>
  <c r="AF1450" i="21"/>
  <c r="AF1451" i="21"/>
  <c r="AG1450" i="21" s="1"/>
  <c r="AF1452" i="21"/>
  <c r="AG1451" i="21"/>
  <c r="AF1453" i="21"/>
  <c r="AF1454" i="21"/>
  <c r="AF1455" i="21"/>
  <c r="AF1456" i="21"/>
  <c r="AF1457" i="21"/>
  <c r="AF1458" i="21"/>
  <c r="AF1459" i="21"/>
  <c r="AF1460" i="21"/>
  <c r="AG1462" i="21"/>
  <c r="AF1463" i="21"/>
  <c r="A7" i="1"/>
  <c r="A9" i="1" s="1"/>
  <c r="A11" i="1" s="1"/>
  <c r="AA75" i="1"/>
  <c r="Z1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C55" i="1"/>
  <c r="AB56" i="1"/>
  <c r="AB58" i="1"/>
  <c r="AB60" i="1"/>
  <c r="AB62" i="1"/>
  <c r="AB64" i="1"/>
  <c r="AB66" i="1"/>
  <c r="AB68" i="1"/>
  <c r="AB70" i="1"/>
  <c r="AB72" i="1"/>
  <c r="AB74" i="1"/>
  <c r="B2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6" i="29"/>
  <c r="AJ17" i="29"/>
  <c r="AJ18" i="29"/>
  <c r="AJ19" i="29"/>
  <c r="AJ20" i="29"/>
  <c r="AJ21" i="29"/>
  <c r="AJ22" i="29"/>
  <c r="AJ23" i="29"/>
  <c r="AJ24" i="29"/>
  <c r="AJ25" i="29"/>
  <c r="AJ2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1" i="31"/>
  <c r="A2" i="31"/>
  <c r="AG1458" i="21"/>
  <c r="AG1456" i="21"/>
  <c r="AN551" i="21"/>
  <c r="AN457" i="21"/>
  <c r="AG661" i="21"/>
  <c r="AG957" i="21"/>
  <c r="AG953" i="21"/>
  <c r="AG949" i="21"/>
  <c r="AG759" i="21"/>
  <c r="AG755" i="21"/>
  <c r="AG749" i="21"/>
  <c r="AF661" i="21"/>
  <c r="AG660" i="21" s="1"/>
  <c r="AG656" i="21"/>
  <c r="AG652" i="21"/>
  <c r="AG559" i="21"/>
  <c r="AG557" i="21"/>
  <c r="AG553" i="21"/>
  <c r="AG551" i="21"/>
  <c r="AG549" i="21"/>
  <c r="AG459" i="21"/>
  <c r="AG457" i="21"/>
  <c r="AG451" i="21"/>
  <c r="AG449" i="21"/>
  <c r="AG259" i="21"/>
  <c r="AG249" i="21"/>
  <c r="AF161" i="21"/>
  <c r="AG158" i="21"/>
  <c r="AG154" i="21"/>
  <c r="B49" i="18"/>
  <c r="AG56" i="21"/>
  <c r="AG52" i="21"/>
  <c r="AG758" i="21"/>
  <c r="AG752" i="21"/>
  <c r="AG659" i="21"/>
  <c r="AG655" i="21"/>
  <c r="AG651" i="21"/>
  <c r="AG649" i="21"/>
  <c r="AG558" i="21"/>
  <c r="AG550" i="21"/>
  <c r="AG458" i="21"/>
  <c r="AG456" i="21"/>
  <c r="AG452" i="21"/>
  <c r="AG450" i="21"/>
  <c r="AG360" i="21"/>
  <c r="AG258" i="21"/>
  <c r="AG256" i="21"/>
  <c r="AG254" i="21"/>
  <c r="AG252" i="21"/>
  <c r="AG159" i="21"/>
  <c r="AG157" i="21"/>
  <c r="AG57" i="21"/>
  <c r="AG53" i="21"/>
  <c r="AN915" i="21"/>
  <c r="V916" i="21" s="1"/>
  <c r="B53" i="24" s="1"/>
  <c r="AN905" i="21"/>
  <c r="V906" i="21" s="1"/>
  <c r="AN1210" i="21"/>
  <c r="V1211" i="21" s="1"/>
  <c r="B48" i="19" s="1"/>
  <c r="AN1109" i="21"/>
  <c r="V1110" i="21" s="1"/>
  <c r="B47" i="17" s="1"/>
  <c r="AF919" i="21"/>
  <c r="V1111" i="21"/>
  <c r="B48" i="17" s="1"/>
  <c r="AN1112" i="21"/>
  <c r="V1113" i="21" s="1"/>
  <c r="B50" i="17" s="1"/>
  <c r="Z806" i="21"/>
  <c r="E43" i="23" s="1"/>
  <c r="AF719" i="21"/>
  <c r="V216" i="21"/>
  <c r="B53" i="20" s="1"/>
  <c r="AN508" i="21"/>
  <c r="V509" i="21" s="1"/>
  <c r="B46" i="15" s="1"/>
  <c r="Z606" i="21"/>
  <c r="E43" i="16" s="1"/>
  <c r="Z206" i="21"/>
  <c r="E43" i="20" s="1"/>
  <c r="AN414" i="21"/>
  <c r="V415" i="21" s="1"/>
  <c r="B52" i="14" s="1"/>
  <c r="AN412" i="21"/>
  <c r="V413" i="21" s="1"/>
  <c r="B50" i="14" s="1"/>
  <c r="E43" i="14"/>
  <c r="AN16" i="21"/>
  <c r="V17" i="21" s="1"/>
  <c r="B54" i="5" s="1"/>
  <c r="AN315" i="21"/>
  <c r="V316" i="21" s="1"/>
  <c r="B53" i="12" s="1"/>
  <c r="AN311" i="21"/>
  <c r="V312" i="21" s="1"/>
  <c r="B49" i="12" s="1"/>
  <c r="M16" i="31"/>
  <c r="I40" i="31"/>
  <c r="I24" i="31"/>
  <c r="H30" i="31"/>
  <c r="N40" i="31"/>
  <c r="AN314" i="21"/>
  <c r="V315" i="21" s="1"/>
  <c r="B52" i="12" s="1"/>
  <c r="AN605" i="21"/>
  <c r="V606" i="21" s="1"/>
  <c r="AN715" i="21"/>
  <c r="V716" i="21" s="1"/>
  <c r="B53" i="22" s="1"/>
  <c r="AN1111" i="21"/>
  <c r="V1112" i="21" s="1"/>
  <c r="B49" i="17" s="1"/>
  <c r="AG160" i="21"/>
  <c r="AN158" i="21"/>
  <c r="AN1059" i="21"/>
  <c r="AN257" i="21"/>
  <c r="AN305" i="21"/>
  <c r="V306" i="21" s="1"/>
  <c r="AN310" i="21"/>
  <c r="V311" i="21" s="1"/>
  <c r="B48" i="12" s="1"/>
  <c r="AN57" i="21"/>
  <c r="AN254" i="21"/>
  <c r="AN656" i="21"/>
  <c r="AN159" i="21"/>
  <c r="AN450" i="21"/>
  <c r="AN458" i="21"/>
  <c r="AN317" i="21"/>
  <c r="V318" i="21" s="1"/>
  <c r="B55" i="12" s="1"/>
  <c r="AN17" i="21"/>
  <c r="V18" i="21" s="1"/>
  <c r="B55" i="5" s="1"/>
  <c r="AN212" i="21"/>
  <c r="V213" i="21" s="1"/>
  <c r="B50" i="20" s="1"/>
  <c r="AG618" i="21"/>
  <c r="AG918" i="21"/>
  <c r="B50" i="18"/>
  <c r="AN906" i="21"/>
  <c r="V907" i="21" s="1"/>
  <c r="B44" i="24" s="1"/>
  <c r="AN253" i="21"/>
  <c r="AN514" i="21"/>
  <c r="V515" i="21" s="1"/>
  <c r="B52" i="15" s="1"/>
  <c r="AN910" i="21"/>
  <c r="V911" i="21" s="1"/>
  <c r="B48" i="24" s="1"/>
  <c r="AN259" i="21"/>
  <c r="A13" i="1"/>
  <c r="A15" i="1" s="1"/>
  <c r="A17" i="1" s="1"/>
  <c r="A19" i="1" s="1"/>
  <c r="A21" i="1" s="1"/>
  <c r="A23" i="1" s="1"/>
  <c r="AN262" i="21"/>
  <c r="AN660" i="21"/>
  <c r="AN160" i="21"/>
  <c r="A25" i="1"/>
  <c r="B54" i="12"/>
  <c r="AG919" i="21"/>
  <c r="AN918" i="21"/>
  <c r="V919" i="21" s="1"/>
  <c r="B56" i="24" s="1"/>
  <c r="AN113" i="21"/>
  <c r="V114" i="21" s="1"/>
  <c r="B51" i="6" s="1"/>
  <c r="AN105" i="21"/>
  <c r="V106" i="21" s="1"/>
  <c r="AN809" i="21"/>
  <c r="V810" i="21" s="1"/>
  <c r="B47" i="23" s="1"/>
  <c r="AN805" i="21"/>
  <c r="V806" i="21" s="1"/>
  <c r="W807" i="21" s="1"/>
  <c r="Z807" i="21" s="1"/>
  <c r="E44" i="23" s="1"/>
  <c r="B1" i="21"/>
  <c r="G13" i="27" l="1"/>
  <c r="AK11" i="29" s="1"/>
  <c r="G14" i="27"/>
  <c r="AK12" i="29" s="1"/>
  <c r="E19" i="36"/>
  <c r="G19" i="36" s="1"/>
  <c r="AI11" i="29"/>
  <c r="E18" i="36"/>
  <c r="G18" i="36" s="1"/>
  <c r="D21" i="31"/>
  <c r="E26" i="36"/>
  <c r="G26" i="36" s="1"/>
  <c r="C13" i="31"/>
  <c r="G33" i="27"/>
  <c r="AK31" i="29" s="1"/>
  <c r="E38" i="36"/>
  <c r="G38" i="36" s="1"/>
  <c r="H9" i="31"/>
  <c r="E14" i="36"/>
  <c r="G14" i="36" s="1"/>
  <c r="G22" i="27"/>
  <c r="AK20" i="29" s="1"/>
  <c r="E27" i="36"/>
  <c r="G27" i="36" s="1"/>
  <c r="L30" i="31"/>
  <c r="E35" i="36"/>
  <c r="G35" i="36" s="1"/>
  <c r="G38" i="27"/>
  <c r="AK36" i="29" s="1"/>
  <c r="E43" i="36"/>
  <c r="G43" i="36" s="1"/>
  <c r="H6" i="31"/>
  <c r="E11" i="36"/>
  <c r="G25" i="27"/>
  <c r="AK23" i="29" s="1"/>
  <c r="E30" i="36"/>
  <c r="G30" i="36" s="1"/>
  <c r="R7" i="31"/>
  <c r="E12" i="36"/>
  <c r="G12" i="36" s="1"/>
  <c r="AI8" i="29"/>
  <c r="E15" i="36"/>
  <c r="G15" i="36" s="1"/>
  <c r="G19" i="27"/>
  <c r="AK17" i="29" s="1"/>
  <c r="E24" i="36"/>
  <c r="G24" i="36" s="1"/>
  <c r="G23" i="27"/>
  <c r="AK21" i="29" s="1"/>
  <c r="E28" i="36"/>
  <c r="G28" i="36" s="1"/>
  <c r="G27" i="27"/>
  <c r="AK25" i="29" s="1"/>
  <c r="E32" i="36"/>
  <c r="G32" i="36" s="1"/>
  <c r="Q35" i="31"/>
  <c r="E40" i="36"/>
  <c r="G40" i="36" s="1"/>
  <c r="H13" i="31"/>
  <c r="G17" i="27"/>
  <c r="AK15" i="29" s="1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AK22" i="29" s="1"/>
  <c r="E29" i="36"/>
  <c r="G29" i="36" s="1"/>
  <c r="AI26" i="29"/>
  <c r="E33" i="36"/>
  <c r="G33" i="36" s="1"/>
  <c r="G32" i="27"/>
  <c r="AK30" i="29" s="1"/>
  <c r="E37" i="36"/>
  <c r="G37" i="36" s="1"/>
  <c r="G40" i="27"/>
  <c r="AK38" i="29" s="1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AI30" i="29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AI25" i="29"/>
  <c r="AI22" i="29"/>
  <c r="B17" i="31"/>
  <c r="P19" i="31"/>
  <c r="K27" i="31"/>
  <c r="M32" i="31"/>
  <c r="H40" i="31"/>
  <c r="J24" i="31"/>
  <c r="H12" i="31"/>
  <c r="K14" i="31"/>
  <c r="R33" i="31"/>
  <c r="G16" i="31"/>
  <c r="B10" i="31"/>
  <c r="F13" i="31"/>
  <c r="AI14" i="29"/>
  <c r="C17" i="31"/>
  <c r="H39" i="31"/>
  <c r="E39" i="31"/>
  <c r="P39" i="31"/>
  <c r="N39" i="31"/>
  <c r="K39" i="31"/>
  <c r="AI37" i="29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AI36" i="29"/>
  <c r="AI20" i="29"/>
  <c r="AI12" i="29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AK8" i="29" s="1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D6" i="31"/>
  <c r="J13" i="31"/>
  <c r="L13" i="31"/>
  <c r="F28" i="31"/>
  <c r="J12" i="31"/>
  <c r="L7" i="31"/>
  <c r="AL1451" i="21"/>
  <c r="AM1450" i="21" s="1"/>
  <c r="B23" i="31"/>
  <c r="F25" i="31"/>
  <c r="G20" i="31"/>
  <c r="E36" i="31"/>
  <c r="K6" i="31"/>
  <c r="O9" i="31"/>
  <c r="N7" i="31"/>
  <c r="C25" i="31"/>
  <c r="I20" i="31"/>
  <c r="AL1448" i="21"/>
  <c r="D23" i="31"/>
  <c r="I25" i="31"/>
  <c r="C36" i="31"/>
  <c r="R6" i="31"/>
  <c r="B9" i="31"/>
  <c r="AL1459" i="21"/>
  <c r="AM1458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AI38" i="29"/>
  <c r="AI21" i="29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AK14" i="29" s="1"/>
  <c r="D16" i="31"/>
  <c r="C16" i="31"/>
  <c r="F16" i="31"/>
  <c r="N10" i="31"/>
  <c r="Q10" i="31"/>
  <c r="P10" i="31"/>
  <c r="O10" i="31"/>
  <c r="O13" i="31"/>
  <c r="R13" i="31"/>
  <c r="B13" i="31"/>
  <c r="E13" i="31"/>
  <c r="D13" i="31"/>
  <c r="AI31" i="29"/>
  <c r="AI17" i="29"/>
  <c r="AI15" i="29"/>
  <c r="O25" i="31"/>
  <c r="B25" i="31"/>
  <c r="N20" i="31"/>
  <c r="I28" i="31"/>
  <c r="P36" i="31"/>
  <c r="D12" i="31"/>
  <c r="O6" i="31"/>
  <c r="F6" i="31"/>
  <c r="AL1412" i="21"/>
  <c r="AM1411" i="21" s="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1417" i="21"/>
  <c r="AM1416" i="21" s="1"/>
  <c r="G6" i="31"/>
  <c r="B6" i="31"/>
  <c r="R9" i="31"/>
  <c r="E9" i="31"/>
  <c r="M7" i="31"/>
  <c r="K7" i="31"/>
  <c r="AI18" i="29"/>
  <c r="AI4" i="29"/>
  <c r="AL1452" i="21"/>
  <c r="AM1451" i="21" s="1"/>
  <c r="AN1451" i="21" s="1"/>
  <c r="AM1419" i="21"/>
  <c r="AL1420" i="21" s="1"/>
  <c r="P25" i="31"/>
  <c r="R25" i="31"/>
  <c r="E25" i="31"/>
  <c r="L20" i="31"/>
  <c r="G28" i="31"/>
  <c r="R36" i="31"/>
  <c r="F12" i="31"/>
  <c r="C9" i="31"/>
  <c r="I9" i="31"/>
  <c r="Q7" i="31"/>
  <c r="O7" i="31"/>
  <c r="B7" i="31"/>
  <c r="AM1462" i="21"/>
  <c r="AL1463" i="21" s="1"/>
  <c r="AN1463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C6" i="31"/>
  <c r="E6" i="31"/>
  <c r="G9" i="27"/>
  <c r="AK7" i="29" s="1"/>
  <c r="F9" i="31"/>
  <c r="P7" i="31"/>
  <c r="AI23" i="29"/>
  <c r="AL1457" i="21"/>
  <c r="AM1456" i="21" s="1"/>
  <c r="AL1406" i="21"/>
  <c r="AM1405" i="21" s="1"/>
  <c r="Z6" i="21"/>
  <c r="E43" i="5" s="1"/>
  <c r="W139" i="21"/>
  <c r="G17" i="17"/>
  <c r="H17" i="17" s="1"/>
  <c r="AN919" i="21"/>
  <c r="V920" i="21" s="1"/>
  <c r="B57" i="24" s="1"/>
  <c r="G17" i="24"/>
  <c r="H17" i="24" s="1"/>
  <c r="B43" i="23"/>
  <c r="W838" i="21"/>
  <c r="X806" i="21"/>
  <c r="G7" i="16"/>
  <c r="H7" i="16" s="1"/>
  <c r="G20" i="16"/>
  <c r="H20" i="16" s="1"/>
  <c r="G18" i="16"/>
  <c r="H18" i="16" s="1"/>
  <c r="G14" i="16"/>
  <c r="H14" i="16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1253" i="21"/>
  <c r="AG757" i="21"/>
  <c r="AG754" i="21"/>
  <c r="AG658" i="21"/>
  <c r="AN652" i="21"/>
  <c r="AN554" i="21"/>
  <c r="AG554" i="21"/>
  <c r="AG455" i="21"/>
  <c r="W939" i="21"/>
  <c r="C43" i="24"/>
  <c r="AN54" i="21"/>
  <c r="AN452" i="21"/>
  <c r="B43" i="12"/>
  <c r="W307" i="21"/>
  <c r="AN558" i="21"/>
  <c r="AN1258" i="21"/>
  <c r="AG1258" i="21"/>
  <c r="AN1248" i="21"/>
  <c r="AG1248" i="21"/>
  <c r="AG1215" i="21"/>
  <c r="AG959" i="21"/>
  <c r="AF962" i="21"/>
  <c r="AG951" i="21"/>
  <c r="AG855" i="21"/>
  <c r="AN855" i="21"/>
  <c r="AN657" i="21"/>
  <c r="AG657" i="21"/>
  <c r="AN650" i="21"/>
  <c r="AG650" i="21"/>
  <c r="AN250" i="21"/>
  <c r="AG250" i="21"/>
  <c r="Z906" i="21"/>
  <c r="E43" i="24" s="1"/>
  <c r="G18" i="24"/>
  <c r="H18" i="24" s="1"/>
  <c r="W1039" i="21"/>
  <c r="C43" i="13"/>
  <c r="AG612" i="21"/>
  <c r="AN213" i="21"/>
  <c r="V214" i="21" s="1"/>
  <c r="B51" i="20" s="1"/>
  <c r="AG214" i="21"/>
  <c r="AN415" i="21"/>
  <c r="V416" i="21" s="1"/>
  <c r="B53" i="14" s="1"/>
  <c r="AG416" i="21"/>
  <c r="AG11" i="21"/>
  <c r="AG13" i="21"/>
  <c r="AG15" i="21"/>
  <c r="AN459" i="21"/>
  <c r="AN713" i="21"/>
  <c r="V714" i="21" s="1"/>
  <c r="B51" i="22" s="1"/>
  <c r="AG257" i="21"/>
  <c r="AN655" i="21"/>
  <c r="AL1460" i="21"/>
  <c r="AM1459" i="21" s="1"/>
  <c r="AN1459" i="21" s="1"/>
  <c r="AG1459" i="21"/>
  <c r="AF1461" i="21"/>
  <c r="AL1454" i="21"/>
  <c r="AM1453" i="21" s="1"/>
  <c r="AG1453" i="21"/>
  <c r="AN857" i="21"/>
  <c r="AG150" i="21"/>
  <c r="AN258" i="21"/>
  <c r="AN661" i="21"/>
  <c r="AF20" i="21"/>
  <c r="AG1250" i="21"/>
  <c r="AN1250" i="21"/>
  <c r="AN549" i="21"/>
  <c r="AN550" i="21"/>
  <c r="AN155" i="21"/>
  <c r="AG155" i="21"/>
  <c r="AG59" i="21"/>
  <c r="AF62" i="21"/>
  <c r="AG718" i="21"/>
  <c r="AG1107" i="21"/>
  <c r="AN1115" i="21"/>
  <c r="V1116" i="21" s="1"/>
  <c r="B53" i="17" s="1"/>
  <c r="AG1116" i="21"/>
  <c r="AG1117" i="21"/>
  <c r="AF1119" i="2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1007" i="21"/>
  <c r="V1008" i="21" s="1"/>
  <c r="B45" i="13" s="1"/>
  <c r="AG1009" i="21"/>
  <c r="AG112" i="21"/>
  <c r="AN111" i="21"/>
  <c r="V112" i="21" s="1"/>
  <c r="B49" i="6" s="1"/>
  <c r="AG110" i="21"/>
  <c r="AN410" i="21"/>
  <c r="V411" i="21" s="1"/>
  <c r="B48" i="14" s="1"/>
  <c r="W439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307" i="21"/>
  <c r="AG309" i="21"/>
  <c r="AL1453" i="21"/>
  <c r="AM1452" i="21" s="1"/>
  <c r="AG1452" i="21"/>
  <c r="AG948" i="21"/>
  <c r="AG454" i="21"/>
  <c r="AG50" i="21"/>
  <c r="AG49" i="21"/>
  <c r="AN49" i="21"/>
  <c r="AG908" i="21"/>
  <c r="AN1009" i="21"/>
  <c r="V1010" i="21" s="1"/>
  <c r="B47" i="13" s="1"/>
  <c r="AG1010" i="21"/>
  <c r="Z1006" i="21"/>
  <c r="E43" i="13" s="1"/>
  <c r="G14" i="15"/>
  <c r="H14" i="15" s="1"/>
  <c r="AN116" i="21"/>
  <c r="V117" i="21" s="1"/>
  <c r="B54" i="6" s="1"/>
  <c r="AG117" i="21"/>
  <c r="AF120" i="21"/>
  <c r="AG313" i="21"/>
  <c r="AN1309" i="21"/>
  <c r="V1310" i="21" s="1"/>
  <c r="AN456" i="21"/>
  <c r="AG1455" i="21"/>
  <c r="AL1456" i="21"/>
  <c r="AG1259" i="21"/>
  <c r="AG1255" i="21"/>
  <c r="AN1255" i="21"/>
  <c r="AN850" i="21"/>
  <c r="AG850" i="21"/>
  <c r="AG555" i="21"/>
  <c r="AG156" i="21"/>
  <c r="AN1208" i="21"/>
  <c r="V1209" i="21" s="1"/>
  <c r="B46" i="19" s="1"/>
  <c r="AG1209" i="21"/>
  <c r="V1213" i="21"/>
  <c r="B50" i="19" s="1"/>
  <c r="AG811" i="21"/>
  <c r="AN812" i="21"/>
  <c r="V813" i="21" s="1"/>
  <c r="B50" i="23" s="1"/>
  <c r="AG815" i="21"/>
  <c r="V817" i="21"/>
  <c r="B54" i="23" s="1"/>
  <c r="AG819" i="21"/>
  <c r="G11" i="17"/>
  <c r="H11" i="17" s="1"/>
  <c r="AN206" i="21"/>
  <c r="V207" i="21" s="1"/>
  <c r="B44" i="20" s="1"/>
  <c r="AG207" i="21"/>
  <c r="AG209" i="21"/>
  <c r="AG211" i="21"/>
  <c r="AG513" i="21"/>
  <c r="AF520" i="21"/>
  <c r="AF519" i="21"/>
  <c r="AF1420" i="21"/>
  <c r="AF1419" i="21"/>
  <c r="AG1418" i="21" s="1"/>
  <c r="G30" i="27"/>
  <c r="AK28" i="29" s="1"/>
  <c r="AI28" i="29"/>
  <c r="AN1318" i="21"/>
  <c r="V1319" i="21" s="1"/>
  <c r="AF1462" i="21"/>
  <c r="AN1254" i="21"/>
  <c r="AN1251" i="21"/>
  <c r="AG856" i="21"/>
  <c r="AN750" i="21"/>
  <c r="AG750" i="21"/>
  <c r="AN653" i="21"/>
  <c r="AG653" i="21"/>
  <c r="V910" i="21"/>
  <c r="B47" i="24" s="1"/>
  <c r="AN1211" i="21"/>
  <c r="AN806" i="21"/>
  <c r="V807" i="21" s="1"/>
  <c r="B44" i="23" s="1"/>
  <c r="AG807" i="21"/>
  <c r="AN811" i="21"/>
  <c r="V812" i="21" s="1"/>
  <c r="B49" i="23" s="1"/>
  <c r="AG812" i="21"/>
  <c r="AN1114" i="21"/>
  <c r="V1115" i="21" s="1"/>
  <c r="B52" i="17" s="1"/>
  <c r="C43" i="17"/>
  <c r="W1139" i="21"/>
  <c r="AN608" i="21"/>
  <c r="V609" i="21" s="1"/>
  <c r="B46" i="16" s="1"/>
  <c r="AG609" i="21"/>
  <c r="AG616" i="21"/>
  <c r="AN615" i="21"/>
  <c r="V616" i="21" s="1"/>
  <c r="B53" i="16" s="1"/>
  <c r="G8" i="16"/>
  <c r="H8" i="16" s="1"/>
  <c r="AN214" i="21"/>
  <c r="V215" i="21" s="1"/>
  <c r="B52" i="20" s="1"/>
  <c r="AG507" i="21"/>
  <c r="G17" i="15"/>
  <c r="H17" i="15" s="1"/>
  <c r="G21" i="15"/>
  <c r="H21" i="15" s="1"/>
  <c r="AN106" i="21"/>
  <c r="V107" i="21" s="1"/>
  <c r="B44" i="6" s="1"/>
  <c r="AN405" i="21"/>
  <c r="V406" i="21" s="1"/>
  <c r="B43" i="14" s="1"/>
  <c r="AN1314" i="21"/>
  <c r="V1315" i="21" s="1"/>
  <c r="W207" i="21"/>
  <c r="X206" i="21" s="1"/>
  <c r="AL1458" i="21"/>
  <c r="AG1457" i="21"/>
  <c r="AL1449" i="21"/>
  <c r="AM1448" i="21" s="1"/>
  <c r="AG1448" i="21"/>
  <c r="AN1252" i="21"/>
  <c r="AN1249" i="21"/>
  <c r="AF961" i="21"/>
  <c r="AG956" i="21"/>
  <c r="AG859" i="21"/>
  <c r="AN859" i="21"/>
  <c r="AN361" i="21"/>
  <c r="AG361" i="21"/>
  <c r="AF61" i="21"/>
  <c r="AG913" i="21"/>
  <c r="AN1213" i="21"/>
  <c r="V1214" i="21" s="1"/>
  <c r="B51" i="19" s="1"/>
  <c r="AG1214" i="21"/>
  <c r="G20" i="19"/>
  <c r="H20" i="19" s="1"/>
  <c r="AG709" i="21"/>
  <c r="V711" i="21"/>
  <c r="B48" i="22" s="1"/>
  <c r="AN712" i="21"/>
  <c r="V713" i="21" s="1"/>
  <c r="B50" i="22" s="1"/>
  <c r="AG713" i="21"/>
  <c r="AN714" i="21"/>
  <c r="V715" i="21" s="1"/>
  <c r="B52" i="22" s="1"/>
  <c r="AG511" i="21"/>
  <c r="C43" i="15"/>
  <c r="W507" i="21"/>
  <c r="X506" i="21" s="1"/>
  <c r="AN413" i="21"/>
  <c r="V414" i="21" s="1"/>
  <c r="B51" i="14" s="1"/>
  <c r="G7" i="14"/>
  <c r="H7" i="14" s="1"/>
  <c r="AF320" i="21"/>
  <c r="AL1408" i="21"/>
  <c r="AM1407" i="21" s="1"/>
  <c r="AG1408" i="21"/>
  <c r="G18" i="17"/>
  <c r="H18" i="17" s="1"/>
  <c r="AN752" i="21"/>
  <c r="AG613" i="21"/>
  <c r="AG515" i="21"/>
  <c r="AG413" i="21"/>
  <c r="AG406" i="21"/>
  <c r="W39" i="21"/>
  <c r="AG6" i="21"/>
  <c r="G14" i="24"/>
  <c r="H14" i="24" s="1"/>
  <c r="V1207" i="21"/>
  <c r="B44" i="19" s="1"/>
  <c r="AN1209" i="21"/>
  <c r="V1210" i="21" s="1"/>
  <c r="B47" i="19" s="1"/>
  <c r="AN1205" i="21"/>
  <c r="V1206" i="21" s="1"/>
  <c r="B43" i="19" s="1"/>
  <c r="G10" i="17"/>
  <c r="AN1016" i="21"/>
  <c r="V1017" i="21" s="1"/>
  <c r="B54" i="13" s="1"/>
  <c r="G13" i="16"/>
  <c r="H13" i="16" s="1"/>
  <c r="AN207" i="21"/>
  <c r="V208" i="21" s="1"/>
  <c r="B45" i="20" s="1"/>
  <c r="W1338" i="21"/>
  <c r="X1306" i="21"/>
  <c r="Z1307" i="21"/>
  <c r="AN1317" i="21"/>
  <c r="V1318" i="21" s="1"/>
  <c r="AN509" i="21"/>
  <c r="V510" i="21" s="1"/>
  <c r="B47" i="15" s="1"/>
  <c r="AF119" i="21"/>
  <c r="AN5" i="21"/>
  <c r="V6" i="21" s="1"/>
  <c r="W7" i="21" s="1"/>
  <c r="X6" i="21" s="1"/>
  <c r="AN8" i="21"/>
  <c r="V9" i="21" s="1"/>
  <c r="B46" i="5" s="1"/>
  <c r="AN1306" i="21"/>
  <c r="V1307" i="21" s="1"/>
  <c r="W1308" i="21" s="1"/>
  <c r="AM1361" i="21"/>
  <c r="AN1361" i="21" s="1"/>
  <c r="AN1362" i="21"/>
  <c r="AN1310" i="21"/>
  <c r="V1311" i="21" s="1"/>
  <c r="B48" i="18" s="1"/>
  <c r="N31" i="31"/>
  <c r="G17" i="19"/>
  <c r="H17" i="19" s="1"/>
  <c r="G36" i="27"/>
  <c r="AK34" i="29" s="1"/>
  <c r="AI34" i="29"/>
  <c r="J36" i="31"/>
  <c r="G36" i="31"/>
  <c r="H36" i="31"/>
  <c r="I36" i="31"/>
  <c r="N36" i="31"/>
  <c r="K36" i="31"/>
  <c r="L36" i="31"/>
  <c r="M36" i="31"/>
  <c r="F7" i="31"/>
  <c r="C7" i="31"/>
  <c r="D7" i="31"/>
  <c r="E7" i="31"/>
  <c r="G7" i="27"/>
  <c r="AK5" i="29" s="1"/>
  <c r="AI5" i="29"/>
  <c r="J7" i="31"/>
  <c r="G7" i="31"/>
  <c r="H7" i="31"/>
  <c r="I7" i="31"/>
  <c r="AI7" i="29"/>
  <c r="L9" i="31"/>
  <c r="M9" i="31"/>
  <c r="J9" i="31"/>
  <c r="G9" i="31"/>
  <c r="P9" i="31"/>
  <c r="Q9" i="31"/>
  <c r="N9" i="31"/>
  <c r="K9" i="31"/>
  <c r="G12" i="27"/>
  <c r="AK10" i="29" s="1"/>
  <c r="Q12" i="31"/>
  <c r="N12" i="31"/>
  <c r="K12" i="31"/>
  <c r="L12" i="31"/>
  <c r="AI10" i="29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AK18" i="29" s="1"/>
  <c r="N28" i="31"/>
  <c r="K28" i="31"/>
  <c r="L28" i="31"/>
  <c r="M28" i="31"/>
  <c r="B28" i="31"/>
  <c r="R28" i="31"/>
  <c r="O28" i="31"/>
  <c r="P28" i="31"/>
  <c r="Q28" i="31"/>
  <c r="G28" i="27"/>
  <c r="AK26" i="29" s="1"/>
  <c r="L6" i="31"/>
  <c r="J6" i="31"/>
  <c r="M6" i="31"/>
  <c r="I6" i="31"/>
  <c r="P6" i="31"/>
  <c r="N6" i="31"/>
  <c r="G6" i="27"/>
  <c r="AK4" i="29" s="1"/>
  <c r="Q6" i="31"/>
  <c r="G22" i="24"/>
  <c r="G7" i="24"/>
  <c r="G19" i="24"/>
  <c r="H19" i="24" s="1"/>
  <c r="G13" i="24"/>
  <c r="H13" i="24" s="1"/>
  <c r="G8" i="19"/>
  <c r="H8" i="19" s="1"/>
  <c r="G15" i="19"/>
  <c r="H15" i="19" s="1"/>
  <c r="G12" i="19"/>
  <c r="H12" i="19" s="1"/>
  <c r="G8" i="24"/>
  <c r="H8" i="24" s="1"/>
  <c r="G20" i="24"/>
  <c r="H20" i="24" s="1"/>
  <c r="G10" i="24"/>
  <c r="H10" i="24" s="1"/>
  <c r="G31" i="27"/>
  <c r="AK29" i="29" s="1"/>
  <c r="G31" i="31"/>
  <c r="H31" i="31"/>
  <c r="I31" i="31"/>
  <c r="F31" i="31"/>
  <c r="AI29" i="29"/>
  <c r="K31" i="31"/>
  <c r="L31" i="31"/>
  <c r="M31" i="31"/>
  <c r="J31" i="31"/>
  <c r="R31" i="31"/>
  <c r="E31" i="31"/>
  <c r="C31" i="31"/>
  <c r="G12" i="24"/>
  <c r="H12" i="24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2" i="16"/>
  <c r="H12" i="16" s="1"/>
  <c r="G19" i="16"/>
  <c r="H19" i="16" s="1"/>
  <c r="G13" i="17"/>
  <c r="G20" i="17"/>
  <c r="H20" i="17" s="1"/>
  <c r="G9" i="17"/>
  <c r="H9" i="17" s="1"/>
  <c r="G16" i="17"/>
  <c r="G21" i="17"/>
  <c r="H21" i="17" s="1"/>
  <c r="G9" i="24"/>
  <c r="H9" i="24" s="1"/>
  <c r="G23" i="24"/>
  <c r="H23" i="24" s="1"/>
  <c r="G10" i="16"/>
  <c r="H10" i="16" s="1"/>
  <c r="G11" i="15"/>
  <c r="H11" i="15" s="1"/>
  <c r="G8" i="17"/>
  <c r="H8" i="17" s="1"/>
  <c r="G14" i="17"/>
  <c r="H14" i="17" s="1"/>
  <c r="G23" i="19"/>
  <c r="H23" i="19" s="1"/>
  <c r="G19" i="19"/>
  <c r="Z1206" i="21"/>
  <c r="E43" i="19" s="1"/>
  <c r="AN1253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G1" i="21"/>
  <c r="AN515" i="21"/>
  <c r="V516" i="21" s="1"/>
  <c r="B53" i="15" s="1"/>
  <c r="AN609" i="21"/>
  <c r="V610" i="21" s="1"/>
  <c r="B47" i="16" s="1"/>
  <c r="AN711" i="21"/>
  <c r="V712" i="21" s="1"/>
  <c r="B49" i="22" s="1"/>
  <c r="G35" i="27"/>
  <c r="AK33" i="29" s="1"/>
  <c r="K35" i="31"/>
  <c r="L35" i="31"/>
  <c r="M35" i="31"/>
  <c r="J35" i="31"/>
  <c r="C35" i="31"/>
  <c r="D35" i="31"/>
  <c r="E35" i="31"/>
  <c r="B35" i="31"/>
  <c r="R35" i="31"/>
  <c r="AI33" i="29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AI6" i="29"/>
  <c r="N8" i="31"/>
  <c r="L8" i="31"/>
  <c r="K8" i="31"/>
  <c r="G18" i="27"/>
  <c r="AK16" i="29" s="1"/>
  <c r="AI16" i="29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AK19" i="29" s="1"/>
  <c r="AI19" i="29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AK24" i="29" s="1"/>
  <c r="AI24" i="29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AK27" i="29" s="1"/>
  <c r="AI27" i="29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AK32" i="29" s="1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AI32" i="29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AI35" i="29"/>
  <c r="R37" i="31"/>
  <c r="P37" i="31"/>
  <c r="E37" i="31"/>
  <c r="G37" i="31"/>
  <c r="G18" i="20"/>
  <c r="H18" i="20" s="1"/>
  <c r="G12" i="20"/>
  <c r="H12" i="20" s="1"/>
  <c r="G11" i="20"/>
  <c r="H11" i="20" s="1"/>
  <c r="G16" i="20"/>
  <c r="G13" i="20"/>
  <c r="G15" i="20"/>
  <c r="H15" i="20" s="1"/>
  <c r="G19" i="20"/>
  <c r="G22" i="20"/>
  <c r="G9" i="20"/>
  <c r="H9" i="20" s="1"/>
  <c r="G17" i="20"/>
  <c r="H17" i="20" s="1"/>
  <c r="G8" i="20"/>
  <c r="H8" i="20" s="1"/>
  <c r="G10" i="20"/>
  <c r="G23" i="20"/>
  <c r="H23" i="20" s="1"/>
  <c r="A27" i="1"/>
  <c r="B43" i="24"/>
  <c r="W907" i="21"/>
  <c r="X906" i="21" s="1"/>
  <c r="W407" i="21"/>
  <c r="X406" i="21" s="1"/>
  <c r="W107" i="21"/>
  <c r="X106" i="21" s="1"/>
  <c r="B43" i="6"/>
  <c r="G15" i="27"/>
  <c r="AK13" i="29" s="1"/>
  <c r="AI13" i="29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44" i="23"/>
  <c r="C29" i="31"/>
  <c r="H15" i="31"/>
  <c r="AN53" i="21"/>
  <c r="AG119" i="21"/>
  <c r="B43" i="18"/>
  <c r="AG1048" i="21"/>
  <c r="AG958" i="21"/>
  <c r="AG954" i="21"/>
  <c r="AG950" i="21"/>
  <c r="AG756" i="21"/>
  <c r="AN749" i="21"/>
  <c r="B43" i="16"/>
  <c r="W607" i="21"/>
  <c r="X606" i="21" s="1"/>
  <c r="AN917" i="21"/>
  <c r="V918" i="21" s="1"/>
  <c r="B55" i="24" s="1"/>
  <c r="AN1057" i="21"/>
  <c r="AG961" i="21"/>
  <c r="AG1454" i="21"/>
  <c r="AL1455" i="21"/>
  <c r="AN1257" i="21"/>
  <c r="AG1158" i="21"/>
  <c r="AG1013" i="21"/>
  <c r="AN56" i="21"/>
  <c r="AN1453" i="21"/>
  <c r="AN957" i="21"/>
  <c r="AG952" i="21"/>
  <c r="AN949" i="21"/>
  <c r="AF761" i="21"/>
  <c r="AF762" i="21"/>
  <c r="AN1011" i="21"/>
  <c r="V1012" i="21" s="1"/>
  <c r="B49" i="13" s="1"/>
  <c r="AG1017" i="21"/>
  <c r="AF1020" i="21"/>
  <c r="AF1019" i="21"/>
  <c r="AN1006" i="21"/>
  <c r="V1007" i="21" s="1"/>
  <c r="B44" i="13" s="1"/>
  <c r="AL1450" i="21"/>
  <c r="AG1449" i="21"/>
  <c r="AG1155" i="21"/>
  <c r="AG1150" i="21"/>
  <c r="AF1261" i="21"/>
  <c r="AF1262" i="21"/>
  <c r="AG1151" i="21"/>
  <c r="AF1061" i="21"/>
  <c r="AF1062" i="21"/>
  <c r="AN1058" i="21"/>
  <c r="AF862" i="21"/>
  <c r="AF861" i="21"/>
  <c r="AN858" i="21"/>
  <c r="AF561" i="21"/>
  <c r="AF562" i="21"/>
  <c r="AG552" i="21"/>
  <c r="AG251" i="21"/>
  <c r="AG151" i="21"/>
  <c r="AG58" i="21"/>
  <c r="B53" i="18"/>
  <c r="AG808" i="21"/>
  <c r="AG1108" i="21"/>
  <c r="AF720" i="21"/>
  <c r="AG717" i="21"/>
  <c r="AG706" i="21"/>
  <c r="AG617" i="21"/>
  <c r="AF220" i="21"/>
  <c r="AG217" i="21"/>
  <c r="AF219" i="21"/>
  <c r="AF1162" i="21"/>
  <c r="AF1161" i="21"/>
  <c r="AG1159" i="21"/>
  <c r="AG1154" i="21"/>
  <c r="AG556" i="21"/>
  <c r="AF461" i="21"/>
  <c r="AF462" i="21"/>
  <c r="AG161" i="21"/>
  <c r="C43" i="18"/>
  <c r="AN606" i="21"/>
  <c r="V607" i="21" s="1"/>
  <c r="B44" i="16" s="1"/>
  <c r="AG115" i="21"/>
  <c r="AG1156" i="21"/>
  <c r="AG1153" i="21"/>
  <c r="AN1148" i="21"/>
  <c r="AG849" i="21"/>
  <c r="AG453" i="21"/>
  <c r="AG255" i="21"/>
  <c r="AG149" i="21"/>
  <c r="AG148" i="21"/>
  <c r="AF1220" i="21"/>
  <c r="AG1217" i="21"/>
  <c r="AF1120" i="21"/>
  <c r="AG1106" i="21"/>
  <c r="AG410" i="21"/>
  <c r="AG1157" i="21"/>
  <c r="AG1152" i="21"/>
  <c r="AG1149" i="21"/>
  <c r="AG955" i="21"/>
  <c r="AG853" i="21"/>
  <c r="AG852" i="21"/>
  <c r="AG153" i="21"/>
  <c r="AG912" i="21"/>
  <c r="AG914" i="21"/>
  <c r="AN1215" i="21"/>
  <c r="V1216" i="21" s="1"/>
  <c r="B53" i="19" s="1"/>
  <c r="AG708" i="21"/>
  <c r="G9" i="16"/>
  <c r="H9" i="16" s="1"/>
  <c r="G16" i="16"/>
  <c r="G22" i="16"/>
  <c r="G17" i="16"/>
  <c r="H17" i="16" s="1"/>
  <c r="G15" i="16"/>
  <c r="AG409" i="21"/>
  <c r="V1212" i="21"/>
  <c r="B49" i="19" s="1"/>
  <c r="AN808" i="21"/>
  <c r="V809" i="21" s="1"/>
  <c r="B46" i="23" s="1"/>
  <c r="C43" i="22"/>
  <c r="W739" i="21"/>
  <c r="G20" i="20"/>
  <c r="H20" i="20" s="1"/>
  <c r="AN516" i="21"/>
  <c r="V517" i="21" s="1"/>
  <c r="B54" i="15" s="1"/>
  <c r="AF420" i="21"/>
  <c r="AF419" i="21"/>
  <c r="AG417" i="21"/>
  <c r="AG648" i="21"/>
  <c r="AG348" i="21"/>
  <c r="AF261" i="21"/>
  <c r="AG248" i="21"/>
  <c r="AG55" i="21"/>
  <c r="AG51" i="21"/>
  <c r="G15" i="24"/>
  <c r="V1015" i="21"/>
  <c r="B52" i="13" s="1"/>
  <c r="G19" i="15"/>
  <c r="G13" i="15"/>
  <c r="G8" i="15"/>
  <c r="H8" i="15" s="1"/>
  <c r="AG12" i="21"/>
  <c r="AG448" i="21"/>
  <c r="E43" i="18"/>
  <c r="AN813" i="21"/>
  <c r="V814" i="21" s="1"/>
  <c r="B51" i="23" s="1"/>
  <c r="Z1106" i="21"/>
  <c r="E43" i="17" s="1"/>
  <c r="AN614" i="21"/>
  <c r="V615" i="21" s="1"/>
  <c r="B52" i="16" s="1"/>
  <c r="C43" i="20"/>
  <c r="W239" i="21"/>
  <c r="AN107" i="21"/>
  <c r="V108" i="21" s="1"/>
  <c r="B45" i="6" s="1"/>
  <c r="AG407" i="21"/>
  <c r="C39" i="31"/>
  <c r="G39" i="27"/>
  <c r="AK37" i="29" s="1"/>
  <c r="AN810" i="21"/>
  <c r="V811" i="21" s="1"/>
  <c r="B48" i="23" s="1"/>
  <c r="Z706" i="21"/>
  <c r="E43" i="22" s="1"/>
  <c r="AF620" i="21"/>
  <c r="AG519" i="21"/>
  <c r="G21" i="24"/>
  <c r="G16" i="24"/>
  <c r="G11" i="24"/>
  <c r="G23" i="16"/>
  <c r="H23" i="16" s="1"/>
  <c r="G11" i="16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G7" i="20"/>
  <c r="G21" i="20"/>
  <c r="H21" i="20" s="1"/>
  <c r="G14" i="20"/>
  <c r="H14" i="20" s="1"/>
  <c r="AN9" i="21"/>
  <c r="V10" i="21" s="1"/>
  <c r="B47" i="5" s="1"/>
  <c r="AN10" i="21"/>
  <c r="V11" i="21" s="1"/>
  <c r="B48" i="5" s="1"/>
  <c r="AL1415" i="21"/>
  <c r="AL1413" i="21"/>
  <c r="G21" i="16"/>
  <c r="W1406" i="21"/>
  <c r="AL1405" i="21"/>
  <c r="AL1410" i="21"/>
  <c r="AL1414" i="21"/>
  <c r="AL1416" i="21"/>
  <c r="AL1418" i="21"/>
  <c r="AL1407" i="21"/>
  <c r="AL1411" i="21"/>
  <c r="B44" i="18" l="1"/>
  <c r="F60" i="27"/>
  <c r="E16" i="36"/>
  <c r="G16" i="36" s="1"/>
  <c r="G11" i="36"/>
  <c r="G49" i="36"/>
  <c r="G55" i="36"/>
  <c r="G53" i="36"/>
  <c r="D53" i="36"/>
  <c r="D51" i="36"/>
  <c r="D48" i="36"/>
  <c r="G52" i="36"/>
  <c r="G50" i="36"/>
  <c r="D49" i="36"/>
  <c r="D52" i="36"/>
  <c r="D50" i="36"/>
  <c r="A58" i="36"/>
  <c r="D54" i="36"/>
  <c r="D55" i="36"/>
  <c r="AN1448" i="21"/>
  <c r="AN1407" i="21"/>
  <c r="V1408" i="21" s="1"/>
  <c r="AN1408" i="21"/>
  <c r="V1409" i="21" s="1"/>
  <c r="AN1405" i="21"/>
  <c r="V1406" i="21" s="1"/>
  <c r="W1407" i="21" s="1"/>
  <c r="AN1420" i="21"/>
  <c r="AN1452" i="21"/>
  <c r="I23" i="17"/>
  <c r="W1207" i="21"/>
  <c r="X1206" i="21" s="1"/>
  <c r="I17" i="15"/>
  <c r="H22" i="15"/>
  <c r="I22" i="15" s="1"/>
  <c r="I23" i="15"/>
  <c r="I23" i="14"/>
  <c r="I8" i="14"/>
  <c r="I14" i="14"/>
  <c r="I15" i="14"/>
  <c r="I9" i="14"/>
  <c r="W338" i="21"/>
  <c r="X306" i="21"/>
  <c r="AA306" i="21" s="1"/>
  <c r="G43" i="12" s="1"/>
  <c r="C44" i="12"/>
  <c r="Z307" i="21"/>
  <c r="E44" i="12" s="1"/>
  <c r="W238" i="21"/>
  <c r="W208" i="21"/>
  <c r="X207" i="21" s="1"/>
  <c r="B43" i="5"/>
  <c r="X1307" i="21"/>
  <c r="W1337" i="21"/>
  <c r="W1309" i="21"/>
  <c r="Z1308" i="21"/>
  <c r="AN512" i="21"/>
  <c r="V513" i="21" s="1"/>
  <c r="B50" i="15" s="1"/>
  <c r="AN513" i="21"/>
  <c r="V514" i="21" s="1"/>
  <c r="B51" i="15" s="1"/>
  <c r="AN208" i="21"/>
  <c r="V209" i="21" s="1"/>
  <c r="B46" i="20" s="1"/>
  <c r="AN209" i="21"/>
  <c r="V210" i="21" s="1"/>
  <c r="B47" i="20" s="1"/>
  <c r="AN815" i="21"/>
  <c r="V816" i="21" s="1"/>
  <c r="B53" i="23" s="1"/>
  <c r="AN814" i="21"/>
  <c r="V815" i="21" s="1"/>
  <c r="B52" i="23" s="1"/>
  <c r="AG61" i="21"/>
  <c r="AN751" i="21"/>
  <c r="AN611" i="21"/>
  <c r="V612" i="21" s="1"/>
  <c r="B49" i="16" s="1"/>
  <c r="AN612" i="21"/>
  <c r="V613" i="21" s="1"/>
  <c r="B50" i="16" s="1"/>
  <c r="AN658" i="21"/>
  <c r="AN659" i="21"/>
  <c r="AN455" i="21"/>
  <c r="W808" i="21"/>
  <c r="I17" i="14"/>
  <c r="X1339" i="21"/>
  <c r="V1339" i="21" s="1"/>
  <c r="AA1306" i="21"/>
  <c r="AN411" i="21"/>
  <c r="V412" i="21" s="1"/>
  <c r="B49" i="14" s="1"/>
  <c r="AN510" i="21"/>
  <c r="V511" i="21" s="1"/>
  <c r="B48" i="15" s="1"/>
  <c r="AN511" i="21"/>
  <c r="V512" i="21" s="1"/>
  <c r="B49" i="15" s="1"/>
  <c r="AM1457" i="21"/>
  <c r="AN1457" i="21" s="1"/>
  <c r="AN1458" i="21"/>
  <c r="AN856" i="21"/>
  <c r="AG1461" i="21"/>
  <c r="AL1462" i="21"/>
  <c r="AN211" i="21"/>
  <c r="V212" i="21" s="1"/>
  <c r="B49" i="20" s="1"/>
  <c r="AN210" i="21"/>
  <c r="V211" i="21" s="1"/>
  <c r="B48" i="20" s="1"/>
  <c r="AN555" i="21"/>
  <c r="AN1214" i="21"/>
  <c r="V1215" i="21" s="1"/>
  <c r="B52" i="19" s="1"/>
  <c r="AN651" i="21"/>
  <c r="AN117" i="21"/>
  <c r="V118" i="21" s="1"/>
  <c r="B55" i="6" s="1"/>
  <c r="AG118" i="21"/>
  <c r="AN709" i="21"/>
  <c r="V710" i="21" s="1"/>
  <c r="B47" i="22" s="1"/>
  <c r="AG60" i="21"/>
  <c r="AN507" i="21"/>
  <c r="V508" i="21" s="1"/>
  <c r="B45" i="15" s="1"/>
  <c r="AL1419" i="21"/>
  <c r="AG1419" i="21"/>
  <c r="AN156" i="21"/>
  <c r="AN157" i="21"/>
  <c r="AN312" i="21"/>
  <c r="V313" i="21" s="1"/>
  <c r="B50" i="12" s="1"/>
  <c r="AN313" i="21"/>
  <c r="V314" i="21" s="1"/>
  <c r="B51" i="12" s="1"/>
  <c r="AG518" i="21"/>
  <c r="AN517" i="21"/>
  <c r="V518" i="21" s="1"/>
  <c r="B55" i="15" s="1"/>
  <c r="AN819" i="21"/>
  <c r="V820" i="21" s="1"/>
  <c r="B57" i="23" s="1"/>
  <c r="AN818" i="21"/>
  <c r="V819" i="21" s="1"/>
  <c r="B56" i="23" s="1"/>
  <c r="AM1455" i="21"/>
  <c r="AN1455" i="21" s="1"/>
  <c r="AN1456" i="21"/>
  <c r="AN307" i="21"/>
  <c r="V308" i="21" s="1"/>
  <c r="B45" i="12" s="1"/>
  <c r="AN306" i="21"/>
  <c r="V307" i="21" s="1"/>
  <c r="AN12" i="21"/>
  <c r="V13" i="21" s="1"/>
  <c r="B50" i="5" s="1"/>
  <c r="AN13" i="21"/>
  <c r="V14" i="21" s="1"/>
  <c r="B51" i="5" s="1"/>
  <c r="AN758" i="21"/>
  <c r="I11" i="15"/>
  <c r="I12" i="15"/>
  <c r="I15" i="16"/>
  <c r="AN112" i="21"/>
  <c r="V113" i="21" s="1"/>
  <c r="B50" i="6" s="1"/>
  <c r="H10" i="17"/>
  <c r="I11" i="17" s="1"/>
  <c r="I12" i="17"/>
  <c r="AG319" i="21"/>
  <c r="Z507" i="21"/>
  <c r="E44" i="15" s="1"/>
  <c r="C44" i="15"/>
  <c r="W538" i="21"/>
  <c r="AN960" i="21"/>
  <c r="AG960" i="21"/>
  <c r="C44" i="20"/>
  <c r="Z207" i="21"/>
  <c r="E44" i="20" s="1"/>
  <c r="AN1259" i="21"/>
  <c r="AN907" i="21"/>
  <c r="V908" i="21" s="1"/>
  <c r="B45" i="24" s="1"/>
  <c r="AN908" i="21"/>
  <c r="V909" i="21" s="1"/>
  <c r="B46" i="24" s="1"/>
  <c r="AN50" i="21"/>
  <c r="AN309" i="21"/>
  <c r="V310" i="21" s="1"/>
  <c r="B47" i="12" s="1"/>
  <c r="AN308" i="21"/>
  <c r="V309" i="21" s="1"/>
  <c r="B46" i="12" s="1"/>
  <c r="AN110" i="21"/>
  <c r="V111" i="21" s="1"/>
  <c r="B48" i="6" s="1"/>
  <c r="AN109" i="21"/>
  <c r="V110" i="21" s="1"/>
  <c r="B47" i="6" s="1"/>
  <c r="AN1117" i="21"/>
  <c r="V1118" i="21" s="1"/>
  <c r="B55" i="17" s="1"/>
  <c r="AG1118" i="21"/>
  <c r="AN851" i="21"/>
  <c r="AG19" i="21"/>
  <c r="AL1461" i="21"/>
  <c r="AM1460" i="21" s="1"/>
  <c r="AN1460" i="21" s="1"/>
  <c r="AG1460" i="21"/>
  <c r="AN14" i="21"/>
  <c r="V15" i="21" s="1"/>
  <c r="B52" i="5" s="1"/>
  <c r="AN15" i="21"/>
  <c r="V16" i="21" s="1"/>
  <c r="B53" i="5" s="1"/>
  <c r="AN654" i="21"/>
  <c r="AN755" i="21"/>
  <c r="AN754" i="21"/>
  <c r="H7" i="17"/>
  <c r="I8" i="17" s="1"/>
  <c r="I9" i="17"/>
  <c r="I9" i="24"/>
  <c r="H7" i="24"/>
  <c r="I8" i="24" s="1"/>
  <c r="H13" i="17"/>
  <c r="I14" i="17" s="1"/>
  <c r="I15" i="17"/>
  <c r="I20" i="14"/>
  <c r="H22" i="24"/>
  <c r="I22" i="24" s="1"/>
  <c r="I23" i="2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1415" i="21"/>
  <c r="AN1416" i="21"/>
  <c r="V1417" i="21" s="1"/>
  <c r="C50" i="27"/>
  <c r="W1439" i="21"/>
  <c r="AM1414" i="21"/>
  <c r="I9" i="20"/>
  <c r="H7" i="20"/>
  <c r="I8" i="20" s="1"/>
  <c r="H11" i="16"/>
  <c r="I11" i="16" s="1"/>
  <c r="I12" i="16"/>
  <c r="H21" i="24"/>
  <c r="I20" i="24" s="1"/>
  <c r="I21" i="24"/>
  <c r="AN519" i="21"/>
  <c r="V520" i="21" s="1"/>
  <c r="B57" i="15" s="1"/>
  <c r="AN52" i="21"/>
  <c r="AG418" i="21"/>
  <c r="AN154" i="21"/>
  <c r="AG1119" i="21"/>
  <c r="AN162" i="21"/>
  <c r="AG218" i="21"/>
  <c r="AN706" i="21"/>
  <c r="V707" i="21" s="1"/>
  <c r="B44" i="22" s="1"/>
  <c r="B52" i="18"/>
  <c r="AG560" i="21"/>
  <c r="W8" i="21"/>
  <c r="X7" i="21" s="1"/>
  <c r="C44" i="5"/>
  <c r="W38" i="21"/>
  <c r="Z7" i="21"/>
  <c r="E44" i="5" s="1"/>
  <c r="AG761" i="21"/>
  <c r="AN962" i="21"/>
  <c r="D43" i="12"/>
  <c r="C44" i="16"/>
  <c r="Z607" i="21"/>
  <c r="E44" i="16" s="1"/>
  <c r="W608" i="21"/>
  <c r="X607" i="21" s="1"/>
  <c r="W638" i="21"/>
  <c r="AN1049" i="21"/>
  <c r="AN119" i="21"/>
  <c r="V120" i="21" s="1"/>
  <c r="B57" i="6" s="1"/>
  <c r="W438" i="21"/>
  <c r="Z407" i="21"/>
  <c r="E44" i="14" s="1"/>
  <c r="C44" i="14"/>
  <c r="H13" i="20"/>
  <c r="I14" i="20" s="1"/>
  <c r="I15" i="20"/>
  <c r="F63" i="27"/>
  <c r="E41" i="27"/>
  <c r="F56" i="27"/>
  <c r="F61" i="27"/>
  <c r="F53" i="27"/>
  <c r="AM1410" i="21"/>
  <c r="AM1413" i="21"/>
  <c r="H15" i="16"/>
  <c r="I14" i="16" s="1"/>
  <c r="AN407" i="21"/>
  <c r="V408" i="21" s="1"/>
  <c r="B45" i="14" s="1"/>
  <c r="AG619" i="21"/>
  <c r="H13" i="15"/>
  <c r="I14" i="15" s="1"/>
  <c r="I15" i="15"/>
  <c r="AG419" i="21"/>
  <c r="AN914" i="21"/>
  <c r="V915" i="21" s="1"/>
  <c r="B52" i="24" s="1"/>
  <c r="AN256" i="21"/>
  <c r="AN557" i="21"/>
  <c r="AG1160" i="21"/>
  <c r="AN717" i="21"/>
  <c r="V718" i="21" s="1"/>
  <c r="B55" i="22" s="1"/>
  <c r="AN1108" i="21"/>
  <c r="V1109" i="21" s="1"/>
  <c r="B46" i="17" s="1"/>
  <c r="AG1061" i="21"/>
  <c r="AG1261" i="21"/>
  <c r="AG1018" i="21"/>
  <c r="AN1010" i="21"/>
  <c r="V1011" i="21" s="1"/>
  <c r="B48" i="13" s="1"/>
  <c r="AG760" i="21"/>
  <c r="AN953" i="21"/>
  <c r="I18" i="15"/>
  <c r="AN249" i="21"/>
  <c r="AN1013" i="21"/>
  <c r="V1014" i="21" s="1"/>
  <c r="B51" i="13" s="1"/>
  <c r="AN1256" i="21"/>
  <c r="AN60" i="21"/>
  <c r="AN748" i="21"/>
  <c r="D43" i="23"/>
  <c r="AA806" i="21"/>
  <c r="G43" i="23" s="1"/>
  <c r="X839" i="21"/>
  <c r="V839" i="21" s="1"/>
  <c r="C44" i="6"/>
  <c r="W138" i="21"/>
  <c r="W108" i="21"/>
  <c r="X107" i="21" s="1"/>
  <c r="Z107" i="21"/>
  <c r="E44" i="6" s="1"/>
  <c r="I12" i="20"/>
  <c r="H10" i="20"/>
  <c r="I11" i="20" s="1"/>
  <c r="I23" i="20"/>
  <c r="H22" i="20"/>
  <c r="I22" i="20" s="1"/>
  <c r="I18" i="20"/>
  <c r="H16" i="20"/>
  <c r="I17" i="20" s="1"/>
  <c r="F62" i="27"/>
  <c r="F55" i="27"/>
  <c r="F52" i="27"/>
  <c r="AM1406" i="21"/>
  <c r="AM1409" i="21"/>
  <c r="H21" i="16"/>
  <c r="I20" i="16" s="1"/>
  <c r="I21" i="16"/>
  <c r="AI9" i="29"/>
  <c r="N11" i="31"/>
  <c r="K11" i="31"/>
  <c r="L11" i="31"/>
  <c r="M11" i="31"/>
  <c r="F11" i="31"/>
  <c r="C11" i="31"/>
  <c r="D11" i="31"/>
  <c r="E11" i="31"/>
  <c r="G11" i="27"/>
  <c r="AK9" i="29" s="1"/>
  <c r="J11" i="31"/>
  <c r="H11" i="31"/>
  <c r="G11" i="31"/>
  <c r="I11" i="31"/>
  <c r="P11" i="31"/>
  <c r="B11" i="31"/>
  <c r="Q11" i="31"/>
  <c r="O11" i="31"/>
  <c r="F65" i="27"/>
  <c r="R11" i="31"/>
  <c r="H11" i="24"/>
  <c r="I11" i="24" s="1"/>
  <c r="I12" i="24"/>
  <c r="H19" i="15"/>
  <c r="I20" i="15" s="1"/>
  <c r="I21" i="15"/>
  <c r="H15" i="24"/>
  <c r="I14" i="24" s="1"/>
  <c r="I15" i="24"/>
  <c r="AG260" i="21"/>
  <c r="AN649" i="21"/>
  <c r="I23" i="16"/>
  <c r="H22" i="16"/>
  <c r="I22" i="16" s="1"/>
  <c r="AN708" i="21"/>
  <c r="V709" i="21" s="1"/>
  <c r="B46" i="22" s="1"/>
  <c r="AN1106" i="21"/>
  <c r="V1107" i="21" s="1"/>
  <c r="B44" i="17" s="1"/>
  <c r="AN1217" i="21"/>
  <c r="V1218" i="21" s="1"/>
  <c r="B55" i="19" s="1"/>
  <c r="AN150" i="21"/>
  <c r="AN115" i="21"/>
  <c r="V116" i="21" s="1"/>
  <c r="B53" i="6" s="1"/>
  <c r="AG461" i="21"/>
  <c r="AG1161" i="21"/>
  <c r="AG219" i="21"/>
  <c r="AN252" i="21"/>
  <c r="AN553" i="21"/>
  <c r="AN662" i="21"/>
  <c r="AG860" i="21"/>
  <c r="AG1060" i="21"/>
  <c r="AG1260" i="21"/>
  <c r="AG1019" i="21"/>
  <c r="AN1008" i="21"/>
  <c r="V1009" i="21" s="1"/>
  <c r="B46" i="13" s="1"/>
  <c r="Z1207" i="21"/>
  <c r="E44" i="19" s="1"/>
  <c r="W1238" i="21"/>
  <c r="AM1454" i="21"/>
  <c r="AN951" i="21"/>
  <c r="AN959" i="21"/>
  <c r="Z808" i="21"/>
  <c r="E45" i="23" s="1"/>
  <c r="C44" i="24"/>
  <c r="Z907" i="21"/>
  <c r="E44" i="24" s="1"/>
  <c r="W908" i="21"/>
  <c r="X907" i="21" s="1"/>
  <c r="W938" i="21"/>
  <c r="I21" i="20"/>
  <c r="H19" i="20"/>
  <c r="I20" i="20" s="1"/>
  <c r="F54" i="27"/>
  <c r="F59" i="27"/>
  <c r="F51" i="27"/>
  <c r="I9" i="16"/>
  <c r="AM1417" i="21"/>
  <c r="Z1406" i="21"/>
  <c r="AM1412" i="21"/>
  <c r="I9" i="15"/>
  <c r="H7" i="15"/>
  <c r="I8" i="15" s="1"/>
  <c r="H16" i="24"/>
  <c r="I17" i="24" s="1"/>
  <c r="I18" i="24"/>
  <c r="AN59" i="21"/>
  <c r="AN349" i="21"/>
  <c r="H16" i="16"/>
  <c r="I17" i="16" s="1"/>
  <c r="I18" i="16"/>
  <c r="AN912" i="21"/>
  <c r="V913" i="21" s="1"/>
  <c r="B50" i="24" s="1"/>
  <c r="AN853" i="21"/>
  <c r="AG1219" i="21"/>
  <c r="AN454" i="21"/>
  <c r="B46" i="18"/>
  <c r="AG460" i="21"/>
  <c r="AG719" i="21"/>
  <c r="AN152" i="21"/>
  <c r="AG561" i="21"/>
  <c r="AG861" i="21"/>
  <c r="AM1449" i="21"/>
  <c r="AN1450" i="21"/>
  <c r="AN1005" i="21"/>
  <c r="V1006" i="21" s="1"/>
  <c r="AN948" i="21"/>
  <c r="AN956" i="21"/>
  <c r="AN449" i="21"/>
  <c r="AN1411" i="21"/>
  <c r="V1412" i="21" s="1"/>
  <c r="AN757" i="21"/>
  <c r="AN617" i="21"/>
  <c r="V618" i="21" s="1"/>
  <c r="B55" i="16" s="1"/>
  <c r="A29" i="1"/>
  <c r="F64" i="27"/>
  <c r="AK6" i="29"/>
  <c r="F57" i="27"/>
  <c r="F50" i="27"/>
  <c r="F58" i="27"/>
  <c r="I8" i="16"/>
  <c r="G48" i="36" l="1"/>
  <c r="G54" i="36"/>
  <c r="G51" i="36"/>
  <c r="G60" i="27"/>
  <c r="W1208" i="21"/>
  <c r="X1207" i="21" s="1"/>
  <c r="C44" i="19"/>
  <c r="X339" i="21"/>
  <c r="V339" i="21" s="1"/>
  <c r="W837" i="21"/>
  <c r="X807" i="21"/>
  <c r="D44" i="23" s="1"/>
  <c r="W237" i="21"/>
  <c r="C45" i="20"/>
  <c r="W209" i="21"/>
  <c r="X208" i="21" s="1"/>
  <c r="Z208" i="21"/>
  <c r="E45" i="20" s="1"/>
  <c r="D43" i="15"/>
  <c r="AA506" i="21"/>
  <c r="G43" i="15" s="1"/>
  <c r="X539" i="21"/>
  <c r="V539" i="21" s="1"/>
  <c r="C45" i="23"/>
  <c r="D43" i="20"/>
  <c r="AA206" i="21"/>
  <c r="G43" i="20" s="1"/>
  <c r="X239" i="21"/>
  <c r="V239" i="21" s="1"/>
  <c r="B44" i="12"/>
  <c r="W308" i="21"/>
  <c r="X307" i="21" s="1"/>
  <c r="AN506" i="21"/>
  <c r="V507" i="21" s="1"/>
  <c r="AM1461" i="21"/>
  <c r="AN1461" i="21" s="1"/>
  <c r="AN1462" i="21"/>
  <c r="AN61" i="21"/>
  <c r="AN62" i="21"/>
  <c r="W1310" i="21"/>
  <c r="W1336" i="21"/>
  <c r="X1308" i="21"/>
  <c r="Z1309" i="21"/>
  <c r="AN18" i="21"/>
  <c r="V19" i="21" s="1"/>
  <c r="B56" i="5" s="1"/>
  <c r="AN318" i="21"/>
  <c r="V319" i="21" s="1"/>
  <c r="B56" i="12" s="1"/>
  <c r="AN319" i="21"/>
  <c r="V320" i="21" s="1"/>
  <c r="B57" i="12" s="1"/>
  <c r="AN1419" i="21"/>
  <c r="V1420" i="21" s="1"/>
  <c r="AM1418" i="21"/>
  <c r="AN1418" i="21" s="1"/>
  <c r="V1419" i="21" s="1"/>
  <c r="X1338" i="21"/>
  <c r="V1338" i="21" s="1"/>
  <c r="AA1307" i="21"/>
  <c r="G58" i="27"/>
  <c r="A31" i="1"/>
  <c r="AN756" i="21"/>
  <c r="AN1219" i="21"/>
  <c r="V1220" i="21" s="1"/>
  <c r="B57" i="19" s="1"/>
  <c r="AN1152" i="21"/>
  <c r="AN408" i="21"/>
  <c r="V409" i="21" s="1"/>
  <c r="B46" i="14" s="1"/>
  <c r="AN958" i="21"/>
  <c r="AN1216" i="21"/>
  <c r="V1217" i="21" s="1"/>
  <c r="B54" i="19" s="1"/>
  <c r="AN409" i="21"/>
  <c r="V410" i="21" s="1"/>
  <c r="B47" i="14" s="1"/>
  <c r="G51" i="27"/>
  <c r="C44" i="18"/>
  <c r="E44" i="18"/>
  <c r="C46" i="20"/>
  <c r="W236" i="21"/>
  <c r="AN149" i="21"/>
  <c r="AN648" i="21"/>
  <c r="G55" i="27"/>
  <c r="G56" i="27"/>
  <c r="I57" i="27"/>
  <c r="AN118" i="21"/>
  <c r="V119" i="21" s="1"/>
  <c r="B56" i="6" s="1"/>
  <c r="X639" i="21"/>
  <c r="V639" i="21" s="1"/>
  <c r="D43" i="16"/>
  <c r="AA606" i="21"/>
  <c r="G43" i="16" s="1"/>
  <c r="AN705" i="21"/>
  <c r="V706" i="21" s="1"/>
  <c r="C51" i="27"/>
  <c r="X1406" i="21"/>
  <c r="Z1407" i="21"/>
  <c r="W1438" i="21"/>
  <c r="AN1415" i="21"/>
  <c r="V1416" i="21" s="1"/>
  <c r="G57" i="27"/>
  <c r="B43" i="13"/>
  <c r="W1007" i="21"/>
  <c r="X1006" i="21" s="1"/>
  <c r="AN1449" i="21"/>
  <c r="B45" i="18"/>
  <c r="AN453" i="21"/>
  <c r="AN1116" i="21"/>
  <c r="V1117" i="21" s="1"/>
  <c r="B54" i="17" s="1"/>
  <c r="AN955" i="21"/>
  <c r="I60" i="27"/>
  <c r="G59" i="27"/>
  <c r="AA906" i="21"/>
  <c r="G43" i="24" s="1"/>
  <c r="D43" i="24"/>
  <c r="X939" i="21"/>
  <c r="V939" i="21" s="1"/>
  <c r="AN1158" i="21"/>
  <c r="AA207" i="21"/>
  <c r="G44" i="20" s="1"/>
  <c r="X238" i="21"/>
  <c r="V238" i="21" s="1"/>
  <c r="D44" i="20"/>
  <c r="AN1162" i="21"/>
  <c r="AN114" i="21"/>
  <c r="V115" i="21" s="1"/>
  <c r="B52" i="6" s="1"/>
  <c r="AN707" i="21"/>
  <c r="V708" i="21" s="1"/>
  <c r="B45" i="22" s="1"/>
  <c r="AN416" i="21"/>
  <c r="V417" i="21" s="1"/>
  <c r="B54" i="14" s="1"/>
  <c r="G62" i="27"/>
  <c r="I63" i="27"/>
  <c r="Z108" i="21"/>
  <c r="E45" i="6" s="1"/>
  <c r="C45" i="6"/>
  <c r="W137" i="21"/>
  <c r="W109" i="21"/>
  <c r="X108" i="21" s="1"/>
  <c r="AN952" i="21"/>
  <c r="AN1062" i="21"/>
  <c r="AN556" i="21"/>
  <c r="AN1153" i="21"/>
  <c r="AN148" i="21"/>
  <c r="AN1149" i="21"/>
  <c r="AN248" i="21"/>
  <c r="AN619" i="21"/>
  <c r="V620" i="21" s="1"/>
  <c r="B57" i="16" s="1"/>
  <c r="AN1410" i="21"/>
  <c r="V1411" i="21" s="1"/>
  <c r="AN954" i="21"/>
  <c r="AN961" i="21"/>
  <c r="AN1151" i="21"/>
  <c r="AN1119" i="21"/>
  <c r="V1120" i="21" s="1"/>
  <c r="B57" i="17" s="1"/>
  <c r="AN448" i="21"/>
  <c r="AN406" i="21"/>
  <c r="V407" i="21" s="1"/>
  <c r="AN518" i="21"/>
  <c r="V519" i="21" s="1"/>
  <c r="B56" i="15" s="1"/>
  <c r="AN1156" i="21"/>
  <c r="AN911" i="21"/>
  <c r="V912" i="21" s="1"/>
  <c r="B49" i="24" s="1"/>
  <c r="AN552" i="21"/>
  <c r="G52" i="27"/>
  <c r="AN1012" i="21"/>
  <c r="V1013" i="21" s="1"/>
  <c r="B50" i="13" s="1"/>
  <c r="B47" i="18"/>
  <c r="AN1157" i="21"/>
  <c r="AN419" i="21"/>
  <c r="V420" i="21" s="1"/>
  <c r="B57" i="14" s="1"/>
  <c r="AN55" i="21"/>
  <c r="AN1413" i="21"/>
  <c r="V1414" i="21" s="1"/>
  <c r="G61" i="27"/>
  <c r="D43" i="14"/>
  <c r="X439" i="21"/>
  <c r="V439" i="21" s="1"/>
  <c r="AA406" i="21"/>
  <c r="G43" i="14" s="1"/>
  <c r="AN1048" i="21"/>
  <c r="C45" i="16"/>
  <c r="W609" i="21"/>
  <c r="X608" i="21" s="1"/>
  <c r="W637" i="21"/>
  <c r="Z608" i="21"/>
  <c r="E45" i="16" s="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562" i="21"/>
  <c r="AN151" i="21"/>
  <c r="AN719" i="21"/>
  <c r="V720" i="21" s="1"/>
  <c r="B57" i="22" s="1"/>
  <c r="AN1159" i="21"/>
  <c r="AN852" i="21"/>
  <c r="AN1454" i="21"/>
  <c r="D43" i="19"/>
  <c r="AA1206" i="21"/>
  <c r="G43" i="19" s="1"/>
  <c r="X1239" i="21"/>
  <c r="V1239" i="21" s="1"/>
  <c r="AN1150" i="21"/>
  <c r="AN58" i="21"/>
  <c r="AN1154" i="21"/>
  <c r="AN1409" i="21"/>
  <c r="V1410" i="21" s="1"/>
  <c r="D43" i="6"/>
  <c r="X139" i="21"/>
  <c r="V139" i="21" s="1"/>
  <c r="AA106" i="21"/>
  <c r="G43" i="6" s="1"/>
  <c r="AN1262" i="21"/>
  <c r="AN1107" i="21"/>
  <c r="V1108" i="21" s="1"/>
  <c r="B45" i="17" s="1"/>
  <c r="AN716" i="21"/>
  <c r="V717" i="21" s="1"/>
  <c r="B54" i="22" s="1"/>
  <c r="AN849" i="21"/>
  <c r="AN913" i="21"/>
  <c r="V914" i="21" s="1"/>
  <c r="B51" i="24" s="1"/>
  <c r="G41" i="27"/>
  <c r="AN862" i="21"/>
  <c r="AN807" i="21"/>
  <c r="V808" i="21" s="1"/>
  <c r="AN216" i="21"/>
  <c r="V217" i="21" s="1"/>
  <c r="B54" i="20" s="1"/>
  <c r="AN348" i="21"/>
  <c r="AN1412" i="21"/>
  <c r="V1413" i="21" s="1"/>
  <c r="AN1417" i="21"/>
  <c r="V1418" i="21" s="1"/>
  <c r="G54" i="27"/>
  <c r="C45" i="24"/>
  <c r="W909" i="21"/>
  <c r="X908" i="21" s="1"/>
  <c r="W937" i="21"/>
  <c r="Z908" i="21"/>
  <c r="E45" i="24" s="1"/>
  <c r="AN950" i="21"/>
  <c r="Z1208" i="21"/>
  <c r="E45" i="19" s="1"/>
  <c r="W1237" i="21"/>
  <c r="C45" i="19"/>
  <c r="W1209" i="21"/>
  <c r="X1208" i="21" s="1"/>
  <c r="AN1019" i="21"/>
  <c r="V1020" i="21" s="1"/>
  <c r="B57" i="13" s="1"/>
  <c r="AN251" i="21"/>
  <c r="B54" i="18"/>
  <c r="AN462" i="21"/>
  <c r="AN1105" i="21"/>
  <c r="V1106" i="21" s="1"/>
  <c r="AN261" i="21"/>
  <c r="AN11" i="21"/>
  <c r="V12" i="21" s="1"/>
  <c r="B49" i="5" s="1"/>
  <c r="G65" i="27"/>
  <c r="J65" i="27" s="1"/>
  <c r="I65" i="27"/>
  <c r="AN1406" i="21"/>
  <c r="V1407" i="21" s="1"/>
  <c r="W1408" i="21" s="1"/>
  <c r="AN1155" i="21"/>
  <c r="AN255" i="21"/>
  <c r="G53" i="27"/>
  <c r="I54" i="27"/>
  <c r="G63" i="27"/>
  <c r="AN762" i="21"/>
  <c r="AN616" i="21"/>
  <c r="V617" i="21" s="1"/>
  <c r="B54" i="16" s="1"/>
  <c r="AN161" i="21"/>
  <c r="AN153" i="21"/>
  <c r="AN1414" i="21"/>
  <c r="V1415" i="21" s="1"/>
  <c r="X838" i="21" l="1"/>
  <c r="V838" i="21" s="1"/>
  <c r="AA807" i="21"/>
  <c r="G44" i="23" s="1"/>
  <c r="Z209" i="21"/>
  <c r="E46" i="20" s="1"/>
  <c r="W210" i="21"/>
  <c r="X209" i="21" s="1"/>
  <c r="Z308" i="21"/>
  <c r="E45" i="12" s="1"/>
  <c r="C45" i="12"/>
  <c r="W309" i="21"/>
  <c r="X308" i="21" s="1"/>
  <c r="W337" i="21"/>
  <c r="W1335" i="21"/>
  <c r="W1311" i="21"/>
  <c r="X1309" i="21"/>
  <c r="Z1310" i="21"/>
  <c r="X1337" i="21"/>
  <c r="V1337" i="21" s="1"/>
  <c r="AA1308" i="21"/>
  <c r="B44" i="15"/>
  <c r="W508" i="21"/>
  <c r="X507" i="21" s="1"/>
  <c r="J60" i="27"/>
  <c r="W1107" i="21"/>
  <c r="X1106" i="21" s="1"/>
  <c r="B43" i="17"/>
  <c r="C46" i="19"/>
  <c r="W1236" i="21"/>
  <c r="Z1209" i="21"/>
  <c r="E46" i="19" s="1"/>
  <c r="W1210" i="21"/>
  <c r="X1209" i="21" s="1"/>
  <c r="AN561" i="21"/>
  <c r="AN760" i="21"/>
  <c r="W707" i="21"/>
  <c r="X706" i="21" s="1"/>
  <c r="B43" i="22"/>
  <c r="AN1218" i="21"/>
  <c r="V1219" i="21" s="1"/>
  <c r="B56" i="19" s="1"/>
  <c r="B56" i="18"/>
  <c r="AN560" i="21"/>
  <c r="AN260" i="21"/>
  <c r="AN860" i="21"/>
  <c r="W910" i="21"/>
  <c r="X909" i="21" s="1"/>
  <c r="C46" i="24"/>
  <c r="Z909" i="21"/>
  <c r="E46" i="24" s="1"/>
  <c r="W936" i="21"/>
  <c r="AN861" i="21"/>
  <c r="D44" i="16"/>
  <c r="X638" i="21"/>
  <c r="V638" i="21" s="1"/>
  <c r="AA607" i="21"/>
  <c r="G44" i="16" s="1"/>
  <c r="AN418" i="21"/>
  <c r="V419" i="21" s="1"/>
  <c r="B56" i="14" s="1"/>
  <c r="B44" i="14"/>
  <c r="W408" i="21"/>
  <c r="X407" i="21" s="1"/>
  <c r="AN618" i="21"/>
  <c r="V619" i="21" s="1"/>
  <c r="B56" i="16" s="1"/>
  <c r="AN1061" i="21"/>
  <c r="AA107" i="21"/>
  <c r="G44" i="6" s="1"/>
  <c r="X138" i="21"/>
  <c r="V138" i="21" s="1"/>
  <c r="D44" i="6"/>
  <c r="J63" i="27"/>
  <c r="AA1406" i="21"/>
  <c r="X1439" i="21"/>
  <c r="V1439" i="21" s="1"/>
  <c r="D50" i="27"/>
  <c r="AN417" i="21"/>
  <c r="V418" i="21" s="1"/>
  <c r="B55" i="14" s="1"/>
  <c r="AA208" i="21"/>
  <c r="G45" i="20" s="1"/>
  <c r="D45" i="20"/>
  <c r="X237" i="21"/>
  <c r="V237" i="21" s="1"/>
  <c r="E45" i="18"/>
  <c r="C45" i="18"/>
  <c r="AN761" i="21"/>
  <c r="Z9" i="21"/>
  <c r="E46" i="5" s="1"/>
  <c r="C46" i="5"/>
  <c r="W10" i="21"/>
  <c r="X9" i="21" s="1"/>
  <c r="W36" i="21"/>
  <c r="AN1017" i="21"/>
  <c r="V1018" i="21" s="1"/>
  <c r="B55" i="13" s="1"/>
  <c r="C47" i="20"/>
  <c r="AN1018" i="21"/>
  <c r="V1019" i="21" s="1"/>
  <c r="B56" i="13" s="1"/>
  <c r="D44" i="19"/>
  <c r="AA1207" i="21"/>
  <c r="G44" i="19" s="1"/>
  <c r="X1238" i="21"/>
  <c r="V1238" i="21" s="1"/>
  <c r="B45" i="23"/>
  <c r="W809" i="21"/>
  <c r="X808" i="21" s="1"/>
  <c r="AN1118" i="21"/>
  <c r="V1119" i="21" s="1"/>
  <c r="B56" i="17" s="1"/>
  <c r="AN1161" i="21"/>
  <c r="AN460" i="21"/>
  <c r="W1038" i="21"/>
  <c r="W1008" i="21"/>
  <c r="X1007" i="21" s="1"/>
  <c r="Z1007" i="21"/>
  <c r="E44" i="13" s="1"/>
  <c r="C44" i="13"/>
  <c r="C52" i="27"/>
  <c r="X1407" i="21"/>
  <c r="W1437" i="21"/>
  <c r="W1409" i="21"/>
  <c r="Z1408" i="21"/>
  <c r="J57" i="27"/>
  <c r="AN1060" i="21"/>
  <c r="D43" i="18"/>
  <c r="G43" i="18"/>
  <c r="A33" i="1"/>
  <c r="J54" i="27"/>
  <c r="AN1160" i="21"/>
  <c r="AN461" i="21"/>
  <c r="AA907" i="21"/>
  <c r="G44" i="24" s="1"/>
  <c r="D44" i="24"/>
  <c r="X938" i="21"/>
  <c r="V938" i="21" s="1"/>
  <c r="AN1261" i="21"/>
  <c r="AN718" i="21"/>
  <c r="V719" i="21" s="1"/>
  <c r="B56" i="22" s="1"/>
  <c r="J51" i="27"/>
  <c r="AA7" i="21"/>
  <c r="G44" i="5" s="1"/>
  <c r="X38" i="21"/>
  <c r="V38" i="21" s="1"/>
  <c r="D44" i="5"/>
  <c r="Z609" i="21"/>
  <c r="E46" i="16" s="1"/>
  <c r="W610" i="21"/>
  <c r="X609" i="21" s="1"/>
  <c r="W636" i="21"/>
  <c r="C46" i="16"/>
  <c r="C46" i="6"/>
  <c r="W136" i="21"/>
  <c r="W110" i="21"/>
  <c r="X109" i="21" s="1"/>
  <c r="Z109" i="21"/>
  <c r="E46" i="6" s="1"/>
  <c r="AN1260" i="21"/>
  <c r="AN217" i="21"/>
  <c r="V218" i="21" s="1"/>
  <c r="B55" i="20" s="1"/>
  <c r="B55" i="18"/>
  <c r="AN218" i="21"/>
  <c r="V219" i="21" s="1"/>
  <c r="B56" i="20" s="1"/>
  <c r="W211" i="21" l="1"/>
  <c r="X210" i="21" s="1"/>
  <c r="W235" i="21"/>
  <c r="Z210" i="21"/>
  <c r="E47" i="20" s="1"/>
  <c r="C46" i="12"/>
  <c r="W310" i="21"/>
  <c r="X309" i="21" s="1"/>
  <c r="W336" i="21"/>
  <c r="Z309" i="21"/>
  <c r="E46" i="12" s="1"/>
  <c r="X338" i="21"/>
  <c r="V338" i="21" s="1"/>
  <c r="AA307" i="21"/>
  <c r="G44" i="12" s="1"/>
  <c r="D44" i="12"/>
  <c r="X1336" i="21"/>
  <c r="V1336" i="21" s="1"/>
  <c r="AA1309" i="21"/>
  <c r="W1334" i="21"/>
  <c r="X1310" i="21"/>
  <c r="W1312" i="21"/>
  <c r="Z1311" i="21"/>
  <c r="C45" i="15"/>
  <c r="W537" i="21"/>
  <c r="W509" i="21"/>
  <c r="X508" i="21" s="1"/>
  <c r="Z508" i="21"/>
  <c r="E45" i="15" s="1"/>
  <c r="AA108" i="21"/>
  <c r="G45" i="6" s="1"/>
  <c r="D45" i="6"/>
  <c r="X137" i="21"/>
  <c r="V137" i="21" s="1"/>
  <c r="W810" i="21"/>
  <c r="X809" i="21" s="1"/>
  <c r="W836" i="21"/>
  <c r="C46" i="23"/>
  <c r="Z809" i="21"/>
  <c r="E46" i="23" s="1"/>
  <c r="W635" i="21"/>
  <c r="C47" i="16"/>
  <c r="Z610" i="21"/>
  <c r="E47" i="16" s="1"/>
  <c r="W611" i="21"/>
  <c r="X610" i="21" s="1"/>
  <c r="X1039" i="21"/>
  <c r="V1039" i="21" s="1"/>
  <c r="D43" i="13"/>
  <c r="AA1006" i="21"/>
  <c r="G43" i="13" s="1"/>
  <c r="X236" i="21"/>
  <c r="V236" i="21" s="1"/>
  <c r="D46" i="20"/>
  <c r="AA209" i="21"/>
  <c r="G46" i="20" s="1"/>
  <c r="X37" i="21"/>
  <c r="V37" i="21" s="1"/>
  <c r="AA8" i="21"/>
  <c r="G45" i="5" s="1"/>
  <c r="D45" i="5"/>
  <c r="C46" i="18"/>
  <c r="E46" i="18"/>
  <c r="C45" i="14"/>
  <c r="W437" i="21"/>
  <c r="W409" i="21"/>
  <c r="X408" i="21" s="1"/>
  <c r="Z408" i="21"/>
  <c r="E45" i="14" s="1"/>
  <c r="D45" i="24"/>
  <c r="AA908" i="21"/>
  <c r="G45" i="24" s="1"/>
  <c r="X937" i="21"/>
  <c r="V937" i="21" s="1"/>
  <c r="D45" i="16"/>
  <c r="AA608" i="21"/>
  <c r="G45" i="16" s="1"/>
  <c r="X637" i="21"/>
  <c r="V637" i="21" s="1"/>
  <c r="A35" i="1"/>
  <c r="X1408" i="21"/>
  <c r="W1410" i="21"/>
  <c r="W1436" i="21"/>
  <c r="C53" i="27"/>
  <c r="Z1409" i="21"/>
  <c r="Z10" i="21"/>
  <c r="E47" i="5" s="1"/>
  <c r="C47" i="5"/>
  <c r="W35" i="21"/>
  <c r="W11" i="21"/>
  <c r="X10" i="21" s="1"/>
  <c r="C47" i="24"/>
  <c r="W935" i="21"/>
  <c r="Z910" i="21"/>
  <c r="E47" i="24" s="1"/>
  <c r="W911" i="21"/>
  <c r="X910" i="21" s="1"/>
  <c r="W738" i="21"/>
  <c r="W708" i="21"/>
  <c r="X707" i="21" s="1"/>
  <c r="C44" i="22"/>
  <c r="Z707" i="21"/>
  <c r="E44" i="22" s="1"/>
  <c r="C47" i="19"/>
  <c r="W1235" i="21"/>
  <c r="W1211" i="21"/>
  <c r="X1210" i="21" s="1"/>
  <c r="Z1210" i="21"/>
  <c r="E47" i="19" s="1"/>
  <c r="W135" i="21"/>
  <c r="C47" i="6"/>
  <c r="W111" i="21"/>
  <c r="X110" i="21" s="1"/>
  <c r="Z110" i="21"/>
  <c r="E47" i="6" s="1"/>
  <c r="C48" i="20"/>
  <c r="Z211" i="21"/>
  <c r="E48" i="20" s="1"/>
  <c r="W212" i="21"/>
  <c r="X211" i="21" s="1"/>
  <c r="W234" i="21"/>
  <c r="X1438" i="21"/>
  <c r="V1438" i="21" s="1"/>
  <c r="D51" i="27"/>
  <c r="AA1407" i="21"/>
  <c r="Z1008" i="21"/>
  <c r="E45" i="13" s="1"/>
  <c r="C45" i="13"/>
  <c r="W1037" i="21"/>
  <c r="W1009" i="21"/>
  <c r="X1008" i="21" s="1"/>
  <c r="D44" i="18"/>
  <c r="G44" i="18"/>
  <c r="X1237" i="21"/>
  <c r="V1237" i="21" s="1"/>
  <c r="D45" i="19"/>
  <c r="AA1208" i="21"/>
  <c r="G45" i="19" s="1"/>
  <c r="W1108" i="21"/>
  <c r="X1107" i="21" s="1"/>
  <c r="W1138" i="21"/>
  <c r="C44" i="17"/>
  <c r="Z1107" i="21"/>
  <c r="E44" i="17" s="1"/>
  <c r="Z310" i="21" l="1"/>
  <c r="E47" i="12" s="1"/>
  <c r="W311" i="21"/>
  <c r="X310" i="21" s="1"/>
  <c r="W335" i="21"/>
  <c r="C47" i="12"/>
  <c r="X1311" i="21"/>
  <c r="W1333" i="21"/>
  <c r="W1313" i="21"/>
  <c r="Z1312" i="21"/>
  <c r="X337" i="21"/>
  <c r="V337" i="21" s="1"/>
  <c r="AA308" i="21"/>
  <c r="G45" i="12" s="1"/>
  <c r="D45" i="12"/>
  <c r="W536" i="21"/>
  <c r="Z509" i="21"/>
  <c r="E46" i="15" s="1"/>
  <c r="C46" i="15"/>
  <c r="W510" i="21"/>
  <c r="X509" i="21" s="1"/>
  <c r="X538" i="21"/>
  <c r="V538" i="21" s="1"/>
  <c r="D44" i="15"/>
  <c r="AA507" i="21"/>
  <c r="G44" i="15" s="1"/>
  <c r="X1335" i="21"/>
  <c r="V1335" i="21" s="1"/>
  <c r="AA1310" i="21"/>
  <c r="W1109" i="21"/>
  <c r="X1108" i="21" s="1"/>
  <c r="Z1108" i="21"/>
  <c r="E45" i="17" s="1"/>
  <c r="C45" i="17"/>
  <c r="W1137" i="21"/>
  <c r="AA109" i="21"/>
  <c r="G46" i="6" s="1"/>
  <c r="D46" i="6"/>
  <c r="X136" i="21"/>
  <c r="V136" i="21" s="1"/>
  <c r="W1234" i="21"/>
  <c r="C48" i="19"/>
  <c r="W1212" i="21"/>
  <c r="X1211" i="21" s="1"/>
  <c r="Z1211" i="21"/>
  <c r="E48" i="19" s="1"/>
  <c r="D46" i="24"/>
  <c r="AA909" i="21"/>
  <c r="G46" i="24" s="1"/>
  <c r="X936" i="21"/>
  <c r="V936" i="21" s="1"/>
  <c r="C48" i="5"/>
  <c r="W34" i="21"/>
  <c r="Z11" i="21"/>
  <c r="E48" i="5" s="1"/>
  <c r="W12" i="21"/>
  <c r="X11" i="21" s="1"/>
  <c r="W1435" i="21"/>
  <c r="C54" i="27"/>
  <c r="W1411" i="21"/>
  <c r="X1409" i="21"/>
  <c r="Z1410" i="21"/>
  <c r="D45" i="18"/>
  <c r="G45" i="18"/>
  <c r="X1139" i="21"/>
  <c r="V1139" i="21" s="1"/>
  <c r="D43" i="17"/>
  <c r="AA1106" i="21"/>
  <c r="G43" i="17" s="1"/>
  <c r="W1010" i="21"/>
  <c r="X1009" i="21" s="1"/>
  <c r="Z1009" i="21"/>
  <c r="E46" i="13" s="1"/>
  <c r="C46" i="13"/>
  <c r="W1036" i="21"/>
  <c r="D43" i="22"/>
  <c r="X739" i="21"/>
  <c r="V739" i="21" s="1"/>
  <c r="AA706" i="21"/>
  <c r="G43" i="22" s="1"/>
  <c r="C48" i="24"/>
  <c r="W934" i="21"/>
  <c r="W912" i="21"/>
  <c r="X911" i="21" s="1"/>
  <c r="Z911" i="21"/>
  <c r="E48" i="24" s="1"/>
  <c r="AA9" i="21"/>
  <c r="G46" i="5" s="1"/>
  <c r="D46" i="5"/>
  <c r="X36" i="21"/>
  <c r="V36" i="21" s="1"/>
  <c r="AA1408" i="21"/>
  <c r="D52" i="27"/>
  <c r="X1437" i="21"/>
  <c r="V1437" i="21" s="1"/>
  <c r="Z409" i="21"/>
  <c r="E46" i="14" s="1"/>
  <c r="W436" i="21"/>
  <c r="W410" i="21"/>
  <c r="X409" i="21" s="1"/>
  <c r="C46" i="14"/>
  <c r="E47" i="18"/>
  <c r="C47" i="18"/>
  <c r="W634" i="21"/>
  <c r="C48" i="16"/>
  <c r="Z611" i="21"/>
  <c r="E48" i="16" s="1"/>
  <c r="W612" i="21"/>
  <c r="X611" i="21" s="1"/>
  <c r="C47" i="23"/>
  <c r="W811" i="21"/>
  <c r="X810" i="21" s="1"/>
  <c r="W835" i="21"/>
  <c r="Z810" i="21"/>
  <c r="E47" i="23" s="1"/>
  <c r="D47" i="20"/>
  <c r="X235" i="21"/>
  <c r="V235" i="21" s="1"/>
  <c r="AA210" i="21"/>
  <c r="G47" i="20" s="1"/>
  <c r="W112" i="21"/>
  <c r="X111" i="21" s="1"/>
  <c r="Z111" i="21"/>
  <c r="E48" i="6" s="1"/>
  <c r="C48" i="6"/>
  <c r="W134" i="21"/>
  <c r="D44" i="14"/>
  <c r="X438" i="21"/>
  <c r="V438" i="21" s="1"/>
  <c r="AA407" i="21"/>
  <c r="G44" i="14" s="1"/>
  <c r="D45" i="23"/>
  <c r="X837" i="21"/>
  <c r="V837" i="21" s="1"/>
  <c r="AA808" i="21"/>
  <c r="G45" i="23" s="1"/>
  <c r="X1038" i="21"/>
  <c r="V1038" i="21" s="1"/>
  <c r="D44" i="13"/>
  <c r="AA1007" i="21"/>
  <c r="G44" i="13" s="1"/>
  <c r="W233" i="21"/>
  <c r="W213" i="21"/>
  <c r="X212" i="21" s="1"/>
  <c r="C49" i="20"/>
  <c r="Z212" i="21"/>
  <c r="E49" i="20" s="1"/>
  <c r="D46" i="19"/>
  <c r="X1236" i="21"/>
  <c r="V1236" i="21" s="1"/>
  <c r="AA1209" i="21"/>
  <c r="G46" i="19" s="1"/>
  <c r="Z708" i="21"/>
  <c r="E45" i="22" s="1"/>
  <c r="W709" i="21"/>
  <c r="X708" i="21" s="1"/>
  <c r="C45" i="22"/>
  <c r="W737" i="21"/>
  <c r="A37" i="1"/>
  <c r="AA609" i="21"/>
  <c r="G46" i="16" s="1"/>
  <c r="X636" i="21"/>
  <c r="V636" i="21" s="1"/>
  <c r="D46" i="16"/>
  <c r="D45" i="15" l="1"/>
  <c r="AA508" i="21"/>
  <c r="G45" i="15" s="1"/>
  <c r="X537" i="21"/>
  <c r="V537" i="21" s="1"/>
  <c r="D46" i="12"/>
  <c r="X336" i="21"/>
  <c r="V336" i="21" s="1"/>
  <c r="AA309" i="21"/>
  <c r="G46" i="12" s="1"/>
  <c r="W535" i="21"/>
  <c r="C47" i="15"/>
  <c r="Z510" i="21"/>
  <c r="E47" i="15" s="1"/>
  <c r="W511" i="21"/>
  <c r="X510" i="21" s="1"/>
  <c r="W1314" i="21"/>
  <c r="W1332" i="21"/>
  <c r="X1312" i="21"/>
  <c r="Z1313" i="21"/>
  <c r="X1334" i="21"/>
  <c r="V1334" i="21" s="1"/>
  <c r="AA1311" i="21"/>
  <c r="C48" i="12"/>
  <c r="W334" i="21"/>
  <c r="W312" i="21"/>
  <c r="X311" i="21" s="1"/>
  <c r="Z311" i="21"/>
  <c r="E48" i="12" s="1"/>
  <c r="AA707" i="21"/>
  <c r="G44" i="22" s="1"/>
  <c r="D44" i="22"/>
  <c r="X738" i="21"/>
  <c r="V738" i="21" s="1"/>
  <c r="W411" i="21"/>
  <c r="X410" i="21" s="1"/>
  <c r="W435" i="21"/>
  <c r="C47" i="14"/>
  <c r="Z410" i="21"/>
  <c r="E47" i="14" s="1"/>
  <c r="AA1210" i="21"/>
  <c r="G47" i="19" s="1"/>
  <c r="X1235" i="21"/>
  <c r="V1235" i="21" s="1"/>
  <c r="D47" i="19"/>
  <c r="W710" i="21"/>
  <c r="X709" i="21" s="1"/>
  <c r="C46" i="22"/>
  <c r="W736" i="21"/>
  <c r="Z709" i="21"/>
  <c r="E46" i="22" s="1"/>
  <c r="Z213" i="21"/>
  <c r="E50" i="20" s="1"/>
  <c r="W214" i="21"/>
  <c r="X213" i="21" s="1"/>
  <c r="W232" i="21"/>
  <c r="C50" i="20"/>
  <c r="AA809" i="21"/>
  <c r="G46" i="23" s="1"/>
  <c r="D46" i="23"/>
  <c r="X836" i="21"/>
  <c r="V836" i="21" s="1"/>
  <c r="A39" i="1"/>
  <c r="W933" i="21"/>
  <c r="W913" i="21"/>
  <c r="X912" i="21" s="1"/>
  <c r="Z912" i="21"/>
  <c r="E49" i="24" s="1"/>
  <c r="C49" i="24"/>
  <c r="X1436" i="21"/>
  <c r="V1436" i="21" s="1"/>
  <c r="D53" i="27"/>
  <c r="AA1409" i="21"/>
  <c r="C49" i="5"/>
  <c r="W33" i="21"/>
  <c r="W13" i="21"/>
  <c r="X12" i="21" s="1"/>
  <c r="Z12" i="21"/>
  <c r="E49" i="5" s="1"/>
  <c r="AA10" i="21"/>
  <c r="G47" i="5" s="1"/>
  <c r="X35" i="21"/>
  <c r="V35" i="21" s="1"/>
  <c r="D47" i="5"/>
  <c r="AA1107" i="21"/>
  <c r="G44" i="17" s="1"/>
  <c r="D44" i="17"/>
  <c r="X1138" i="21"/>
  <c r="V1138" i="21" s="1"/>
  <c r="X234" i="21"/>
  <c r="V234" i="21" s="1"/>
  <c r="AA211" i="21"/>
  <c r="G48" i="20" s="1"/>
  <c r="D48" i="20"/>
  <c r="C49" i="6"/>
  <c r="W113" i="21"/>
  <c r="X112" i="21" s="1"/>
  <c r="Z112" i="21"/>
  <c r="E49" i="6" s="1"/>
  <c r="W133" i="21"/>
  <c r="Z612" i="21"/>
  <c r="E49" i="16" s="1"/>
  <c r="W633" i="21"/>
  <c r="W613" i="21"/>
  <c r="X612" i="21" s="1"/>
  <c r="C49" i="16"/>
  <c r="G46" i="18"/>
  <c r="D46" i="18"/>
  <c r="AA1008" i="21"/>
  <c r="G45" i="13" s="1"/>
  <c r="D45" i="13"/>
  <c r="X1037" i="21"/>
  <c r="V1037" i="21" s="1"/>
  <c r="W1035" i="21"/>
  <c r="Z1010" i="21"/>
  <c r="E47" i="13" s="1"/>
  <c r="W1011" i="21"/>
  <c r="X1010" i="21" s="1"/>
  <c r="C47" i="13"/>
  <c r="D47" i="6"/>
  <c r="X135" i="21"/>
  <c r="V135" i="21" s="1"/>
  <c r="AA110" i="21"/>
  <c r="G47" i="6" s="1"/>
  <c r="W834" i="21"/>
  <c r="W812" i="21"/>
  <c r="X811" i="21" s="1"/>
  <c r="C48" i="23"/>
  <c r="Z811" i="21"/>
  <c r="E48" i="23" s="1"/>
  <c r="D47" i="16"/>
  <c r="X635" i="21"/>
  <c r="V635" i="21" s="1"/>
  <c r="AA610" i="21"/>
  <c r="G47" i="16" s="1"/>
  <c r="C48" i="18"/>
  <c r="E48" i="18"/>
  <c r="D45" i="14"/>
  <c r="X437" i="21"/>
  <c r="V437" i="21" s="1"/>
  <c r="AA408" i="21"/>
  <c r="G45" i="14" s="1"/>
  <c r="AA910" i="21"/>
  <c r="G47" i="24" s="1"/>
  <c r="D47" i="24"/>
  <c r="X935" i="21"/>
  <c r="V935" i="21" s="1"/>
  <c r="C55" i="27"/>
  <c r="W1434" i="21"/>
  <c r="X1410" i="21"/>
  <c r="W1412" i="21"/>
  <c r="Z1411" i="21"/>
  <c r="Z1212" i="21"/>
  <c r="E49" i="19" s="1"/>
  <c r="C49" i="19"/>
  <c r="W1233" i="21"/>
  <c r="W1213" i="21"/>
  <c r="X1212" i="21" s="1"/>
  <c r="C46" i="17"/>
  <c r="W1110" i="21"/>
  <c r="X1109" i="21" s="1"/>
  <c r="W1136" i="21"/>
  <c r="Z1109" i="21"/>
  <c r="E46" i="17" s="1"/>
  <c r="AA310" i="21" l="1"/>
  <c r="G47" i="12" s="1"/>
  <c r="X335" i="21"/>
  <c r="V335" i="21" s="1"/>
  <c r="D47" i="12"/>
  <c r="W1331" i="21"/>
  <c r="X1313" i="21"/>
  <c r="W1315" i="21"/>
  <c r="Z1314" i="21"/>
  <c r="W512" i="21"/>
  <c r="X511" i="21" s="1"/>
  <c r="Z511" i="21"/>
  <c r="E48" i="15" s="1"/>
  <c r="C48" i="15"/>
  <c r="W534" i="21"/>
  <c r="Z312" i="21"/>
  <c r="E49" i="12" s="1"/>
  <c r="W313" i="21"/>
  <c r="X312" i="21" s="1"/>
  <c r="C49" i="12"/>
  <c r="W333" i="21"/>
  <c r="D46" i="15"/>
  <c r="X536" i="21"/>
  <c r="V536" i="21" s="1"/>
  <c r="AA509" i="21"/>
  <c r="G46" i="15" s="1"/>
  <c r="X1333" i="21"/>
  <c r="V1333" i="21" s="1"/>
  <c r="AA1312" i="21"/>
  <c r="W711" i="21"/>
  <c r="X710" i="21" s="1"/>
  <c r="C47" i="22"/>
  <c r="Z710" i="21"/>
  <c r="E47" i="22" s="1"/>
  <c r="W735" i="21"/>
  <c r="X436" i="21"/>
  <c r="V436" i="21" s="1"/>
  <c r="D46" i="14"/>
  <c r="AA409" i="21"/>
  <c r="G46" i="14" s="1"/>
  <c r="D54" i="27"/>
  <c r="X1435" i="21"/>
  <c r="V1435" i="21" s="1"/>
  <c r="AA1410" i="21"/>
  <c r="W132" i="21"/>
  <c r="W114" i="21"/>
  <c r="X113" i="21" s="1"/>
  <c r="Z113" i="21"/>
  <c r="E50" i="6" s="1"/>
  <c r="C50" i="6"/>
  <c r="C50" i="5"/>
  <c r="W32" i="21"/>
  <c r="W14" i="21"/>
  <c r="X13" i="21" s="1"/>
  <c r="Z13" i="21"/>
  <c r="E50" i="5" s="1"/>
  <c r="C50" i="24"/>
  <c r="W932" i="21"/>
  <c r="W914" i="21"/>
  <c r="X913" i="21" s="1"/>
  <c r="Z913" i="21"/>
  <c r="E50" i="24" s="1"/>
  <c r="W215" i="21"/>
  <c r="X214" i="21" s="1"/>
  <c r="Z214" i="21"/>
  <c r="E51" i="20" s="1"/>
  <c r="C51" i="20"/>
  <c r="W231" i="21"/>
  <c r="Z1213" i="21"/>
  <c r="E50" i="19" s="1"/>
  <c r="W1214" i="21"/>
  <c r="X1213" i="21" s="1"/>
  <c r="W1232" i="21"/>
  <c r="C50" i="19"/>
  <c r="AA611" i="21"/>
  <c r="G48" i="16" s="1"/>
  <c r="D48" i="16"/>
  <c r="X634" i="21"/>
  <c r="V634" i="21" s="1"/>
  <c r="X934" i="21"/>
  <c r="V934" i="21" s="1"/>
  <c r="AA911" i="21"/>
  <c r="G48" i="24" s="1"/>
  <c r="D48" i="24"/>
  <c r="AA212" i="21"/>
  <c r="G49" i="20" s="1"/>
  <c r="X233" i="21"/>
  <c r="V233" i="21" s="1"/>
  <c r="D49" i="20"/>
  <c r="D45" i="22"/>
  <c r="X737" i="21"/>
  <c r="V737" i="21" s="1"/>
  <c r="AA708" i="21"/>
  <c r="G45" i="22" s="1"/>
  <c r="W1111" i="21"/>
  <c r="X1110" i="21" s="1"/>
  <c r="C47" i="17"/>
  <c r="W1135" i="21"/>
  <c r="Z1110" i="21"/>
  <c r="E47" i="17" s="1"/>
  <c r="W1413" i="21"/>
  <c r="X1411" i="21"/>
  <c r="W1433" i="21"/>
  <c r="C56" i="27"/>
  <c r="Z1412" i="21"/>
  <c r="C49" i="18"/>
  <c r="E49" i="18"/>
  <c r="Z812" i="21"/>
  <c r="E49" i="23" s="1"/>
  <c r="C49" i="23"/>
  <c r="W813" i="21"/>
  <c r="X812" i="21" s="1"/>
  <c r="W833" i="21"/>
  <c r="W1034" i="21"/>
  <c r="Z1011" i="21"/>
  <c r="E48" i="13" s="1"/>
  <c r="C48" i="13"/>
  <c r="W1012" i="21"/>
  <c r="X1011" i="21" s="1"/>
  <c r="X1137" i="21"/>
  <c r="V1137" i="21" s="1"/>
  <c r="D45" i="17"/>
  <c r="AA1108" i="21"/>
  <c r="G45" i="17" s="1"/>
  <c r="AA1211" i="21"/>
  <c r="G48" i="19" s="1"/>
  <c r="X1234" i="21"/>
  <c r="V1234" i="21" s="1"/>
  <c r="D48" i="19"/>
  <c r="D47" i="18"/>
  <c r="G47" i="18"/>
  <c r="AA810" i="21"/>
  <c r="G47" i="23" s="1"/>
  <c r="X835" i="21"/>
  <c r="V835" i="21" s="1"/>
  <c r="D47" i="23"/>
  <c r="D46" i="13"/>
  <c r="X1036" i="21"/>
  <c r="V1036" i="21" s="1"/>
  <c r="AA1009" i="21"/>
  <c r="G46" i="13" s="1"/>
  <c r="Z613" i="21"/>
  <c r="E50" i="16" s="1"/>
  <c r="W614" i="21"/>
  <c r="X613" i="21" s="1"/>
  <c r="C50" i="16"/>
  <c r="W632" i="21"/>
  <c r="AA111" i="21"/>
  <c r="G48" i="6" s="1"/>
  <c r="D48" i="6"/>
  <c r="X134" i="21"/>
  <c r="V134" i="21" s="1"/>
  <c r="X34" i="21"/>
  <c r="V34" i="21" s="1"/>
  <c r="AA11" i="21"/>
  <c r="G48" i="5" s="1"/>
  <c r="D48" i="5"/>
  <c r="A41" i="1"/>
  <c r="C48" i="14"/>
  <c r="W434" i="21"/>
  <c r="W412" i="21"/>
  <c r="X411" i="21" s="1"/>
  <c r="Z411" i="21"/>
  <c r="E48" i="14" s="1"/>
  <c r="X1332" i="21" l="1"/>
  <c r="V1332" i="21" s="1"/>
  <c r="AA1313" i="21"/>
  <c r="D48" i="12"/>
  <c r="X334" i="21"/>
  <c r="V334" i="21" s="1"/>
  <c r="AA311" i="21"/>
  <c r="G48" i="12" s="1"/>
  <c r="W533" i="21"/>
  <c r="W513" i="21"/>
  <c r="X512" i="21" s="1"/>
  <c r="C49" i="15"/>
  <c r="Z512" i="21"/>
  <c r="E49" i="15" s="1"/>
  <c r="W332" i="21"/>
  <c r="C50" i="12"/>
  <c r="W314" i="21"/>
  <c r="X313" i="21" s="1"/>
  <c r="Z313" i="21"/>
  <c r="E50" i="12" s="1"/>
  <c r="X535" i="21"/>
  <c r="V535" i="21" s="1"/>
  <c r="D47" i="15"/>
  <c r="AA510" i="21"/>
  <c r="G47" i="15" s="1"/>
  <c r="W1330" i="21"/>
  <c r="X1314" i="21"/>
  <c r="W1316" i="21"/>
  <c r="Z1315" i="21"/>
  <c r="C49" i="13"/>
  <c r="W1033" i="21"/>
  <c r="Z1012" i="21"/>
  <c r="E49" i="13" s="1"/>
  <c r="W1013" i="21"/>
  <c r="X1012" i="21" s="1"/>
  <c r="D48" i="23"/>
  <c r="X834" i="21"/>
  <c r="V834" i="21" s="1"/>
  <c r="AA811" i="21"/>
  <c r="G48" i="23" s="1"/>
  <c r="D55" i="27"/>
  <c r="X1434" i="21"/>
  <c r="V1434" i="21" s="1"/>
  <c r="AA1411" i="21"/>
  <c r="C51" i="19"/>
  <c r="Z1214" i="21"/>
  <c r="E51" i="19" s="1"/>
  <c r="W1215" i="21"/>
  <c r="X1214" i="21" s="1"/>
  <c r="W1231" i="21"/>
  <c r="D50" i="20"/>
  <c r="AA213" i="21"/>
  <c r="G50" i="20" s="1"/>
  <c r="X232" i="21"/>
  <c r="V232" i="21" s="1"/>
  <c r="W915" i="21"/>
  <c r="X914" i="21" s="1"/>
  <c r="Z914" i="21"/>
  <c r="E51" i="24" s="1"/>
  <c r="C51" i="24"/>
  <c r="W931" i="21"/>
  <c r="D49" i="5"/>
  <c r="X33" i="21"/>
  <c r="V33" i="21" s="1"/>
  <c r="AA12" i="21"/>
  <c r="G49" i="5" s="1"/>
  <c r="W734" i="21"/>
  <c r="Z711" i="21"/>
  <c r="E48" i="22" s="1"/>
  <c r="W712" i="21"/>
  <c r="X711" i="21" s="1"/>
  <c r="C48" i="22"/>
  <c r="X435" i="21"/>
  <c r="V435" i="21" s="1"/>
  <c r="D47" i="14"/>
  <c r="AA410" i="21"/>
  <c r="G47" i="14" s="1"/>
  <c r="G48" i="18"/>
  <c r="D48" i="18"/>
  <c r="C57" i="27"/>
  <c r="W1432" i="21"/>
  <c r="W1414" i="21"/>
  <c r="Z1413" i="21"/>
  <c r="X1412" i="21"/>
  <c r="W1134" i="21"/>
  <c r="Z1111" i="21"/>
  <c r="E48" i="17" s="1"/>
  <c r="W1112" i="21"/>
  <c r="X1111" i="21" s="1"/>
  <c r="C48" i="17"/>
  <c r="X933" i="21"/>
  <c r="V933" i="21" s="1"/>
  <c r="D49" i="24"/>
  <c r="AA912" i="21"/>
  <c r="G49" i="24" s="1"/>
  <c r="Z14" i="21"/>
  <c r="E51" i="5" s="1"/>
  <c r="W15" i="21"/>
  <c r="X14" i="21" s="1"/>
  <c r="W31" i="21"/>
  <c r="C51" i="5"/>
  <c r="W131" i="21"/>
  <c r="C51" i="6"/>
  <c r="W115" i="21"/>
  <c r="X114" i="21" s="1"/>
  <c r="Z114" i="21"/>
  <c r="E51" i="6" s="1"/>
  <c r="X736" i="21"/>
  <c r="V736" i="21" s="1"/>
  <c r="AA709" i="21"/>
  <c r="G46" i="22" s="1"/>
  <c r="D46" i="22"/>
  <c r="W615" i="21"/>
  <c r="X614" i="21" s="1"/>
  <c r="Z614" i="21"/>
  <c r="E51" i="16" s="1"/>
  <c r="C51" i="16"/>
  <c r="W631" i="21"/>
  <c r="A43" i="1"/>
  <c r="X1035" i="21"/>
  <c r="V1035" i="21" s="1"/>
  <c r="D47" i="13"/>
  <c r="AA1010" i="21"/>
  <c r="G47" i="13" s="1"/>
  <c r="C50" i="23"/>
  <c r="W814" i="21"/>
  <c r="X813" i="21" s="1"/>
  <c r="W832" i="21"/>
  <c r="Z813" i="21"/>
  <c r="E50" i="23" s="1"/>
  <c r="C50" i="18"/>
  <c r="E50" i="18"/>
  <c r="AA1109" i="21"/>
  <c r="G46" i="17" s="1"/>
  <c r="X1136" i="21"/>
  <c r="V1136" i="21" s="1"/>
  <c r="D46" i="17"/>
  <c r="D49" i="19"/>
  <c r="AA1212" i="21"/>
  <c r="G49" i="19" s="1"/>
  <c r="X1233" i="21"/>
  <c r="V1233" i="21" s="1"/>
  <c r="AA112" i="21"/>
  <c r="G49" i="6" s="1"/>
  <c r="X133" i="21"/>
  <c r="V133" i="21" s="1"/>
  <c r="D49" i="6"/>
  <c r="W413" i="21"/>
  <c r="X412" i="21" s="1"/>
  <c r="C49" i="14"/>
  <c r="W433" i="21"/>
  <c r="Z412" i="21"/>
  <c r="E49" i="14" s="1"/>
  <c r="AA612" i="21"/>
  <c r="G49" i="16" s="1"/>
  <c r="D49" i="16"/>
  <c r="X633" i="21"/>
  <c r="V633" i="21" s="1"/>
  <c r="W230" i="21"/>
  <c r="Z215" i="21"/>
  <c r="E52" i="20" s="1"/>
  <c r="W216" i="21"/>
  <c r="X215" i="21" s="1"/>
  <c r="C52" i="20"/>
  <c r="AB6" i="29"/>
  <c r="B27" i="20"/>
  <c r="Z17" i="29"/>
  <c r="L27" i="29"/>
  <c r="B36" i="19"/>
  <c r="B22" i="22"/>
  <c r="B14" i="24"/>
  <c r="N24" i="29"/>
  <c r="B30" i="18"/>
  <c r="B18" i="5"/>
  <c r="AC32" i="29"/>
  <c r="AA21" i="29"/>
  <c r="AC16" i="29"/>
  <c r="Z32" i="29"/>
  <c r="B31" i="23"/>
  <c r="E6" i="1"/>
  <c r="F9" i="1"/>
  <c r="N38" i="29"/>
  <c r="E31" i="1"/>
  <c r="K30" i="29"/>
  <c r="C31" i="27"/>
  <c r="AB22" i="29"/>
  <c r="B14" i="23"/>
  <c r="N17" i="29"/>
  <c r="B13" i="24"/>
  <c r="M36" i="29"/>
  <c r="AC31" i="29"/>
  <c r="B34" i="13"/>
  <c r="J7" i="29"/>
  <c r="B15" i="17"/>
  <c r="G6" i="1"/>
  <c r="B16" i="18"/>
  <c r="B16" i="17"/>
  <c r="B28" i="13"/>
  <c r="Z20" i="29"/>
  <c r="AB33" i="29"/>
  <c r="L11" i="29"/>
  <c r="B37" i="23"/>
  <c r="B30" i="13"/>
  <c r="G26" i="1"/>
  <c r="B29" i="17"/>
  <c r="B15" i="22"/>
  <c r="B14" i="16"/>
  <c r="F8" i="1"/>
  <c r="B9" i="15"/>
  <c r="B20" i="15"/>
  <c r="J10" i="29"/>
  <c r="B14" i="18"/>
  <c r="B9" i="14"/>
  <c r="B11" i="14"/>
  <c r="B21" i="15"/>
  <c r="B19" i="16"/>
  <c r="D11" i="1"/>
  <c r="B22" i="18"/>
  <c r="B29" i="18"/>
  <c r="B7" i="15"/>
  <c r="B26" i="19"/>
  <c r="E26" i="1"/>
  <c r="Z29" i="29"/>
  <c r="J23" i="29"/>
  <c r="AB7" i="29"/>
  <c r="J33" i="29"/>
  <c r="B28" i="16"/>
  <c r="Z25" i="29"/>
  <c r="B32" i="22"/>
  <c r="B19" i="29"/>
  <c r="C40" i="27"/>
  <c r="B12" i="12"/>
  <c r="E15" i="1"/>
  <c r="B32" i="5"/>
  <c r="B27" i="29"/>
  <c r="AA16" i="29"/>
  <c r="AD21" i="29"/>
  <c r="AB18" i="29"/>
  <c r="B16" i="22"/>
  <c r="F32" i="1"/>
  <c r="AC37" i="29"/>
  <c r="B4" i="6"/>
  <c r="H17" i="29"/>
  <c r="K26" i="29"/>
  <c r="B18" i="15"/>
  <c r="B31" i="19"/>
  <c r="E33" i="1"/>
  <c r="F10" i="1"/>
  <c r="B19" i="20"/>
  <c r="B32" i="19"/>
  <c r="B5" i="20"/>
  <c r="N6" i="29"/>
  <c r="Z38" i="29"/>
  <c r="B21" i="12"/>
  <c r="B37" i="18"/>
  <c r="K13" i="29"/>
  <c r="AD38" i="29"/>
  <c r="B11" i="12"/>
  <c r="B36" i="20"/>
  <c r="AB38" i="29"/>
  <c r="B11" i="17"/>
  <c r="R27" i="1"/>
  <c r="B10" i="19"/>
  <c r="AD22" i="29"/>
  <c r="L17" i="29"/>
  <c r="B20" i="17"/>
  <c r="B38" i="13"/>
  <c r="J27" i="29"/>
  <c r="AA25" i="29"/>
  <c r="B32" i="20"/>
  <c r="M16" i="29"/>
  <c r="B38" i="15"/>
  <c r="R36" i="1"/>
  <c r="F14" i="1"/>
  <c r="J16" i="29"/>
  <c r="M30" i="29"/>
  <c r="AA10" i="29"/>
  <c r="B6" i="19"/>
  <c r="B15" i="18"/>
  <c r="B29" i="23"/>
  <c r="K7" i="29"/>
  <c r="AB10" i="29"/>
  <c r="B23" i="18"/>
  <c r="B32" i="29"/>
  <c r="L23" i="29"/>
  <c r="N20" i="29"/>
  <c r="B9" i="12"/>
  <c r="B6" i="23"/>
  <c r="G24" i="1"/>
  <c r="Z7" i="29"/>
  <c r="S10" i="1"/>
  <c r="R13" i="1"/>
  <c r="Z22" i="29"/>
  <c r="B15" i="5"/>
  <c r="R5" i="1"/>
  <c r="G32" i="1"/>
  <c r="B20" i="5"/>
  <c r="B13" i="17"/>
  <c r="AA27" i="29"/>
  <c r="B34" i="24"/>
  <c r="C9" i="27"/>
  <c r="S30" i="1"/>
  <c r="B24" i="12"/>
  <c r="B4" i="16"/>
  <c r="F34" i="1"/>
  <c r="B35" i="24"/>
  <c r="B7" i="18"/>
  <c r="B19" i="5"/>
  <c r="R18" i="1"/>
  <c r="B28" i="12"/>
  <c r="B28" i="23"/>
  <c r="B19" i="15"/>
  <c r="Z9" i="29"/>
  <c r="B22" i="12"/>
  <c r="R12" i="1"/>
  <c r="B22" i="20"/>
  <c r="B24" i="16"/>
  <c r="B32" i="23"/>
  <c r="AA7" i="29"/>
  <c r="AB12" i="29"/>
  <c r="B19" i="13"/>
  <c r="M31" i="29"/>
  <c r="B8" i="17"/>
  <c r="B28" i="29"/>
  <c r="B7" i="6"/>
  <c r="AB26" i="29"/>
  <c r="B29" i="13"/>
  <c r="B30" i="16"/>
  <c r="AA32" i="29"/>
  <c r="B25" i="24"/>
  <c r="R9" i="1"/>
  <c r="B12" i="6"/>
  <c r="B14" i="29"/>
  <c r="B23" i="24"/>
  <c r="AA26" i="29"/>
  <c r="B15" i="23"/>
  <c r="R31" i="1"/>
  <c r="J25" i="29"/>
  <c r="B4" i="13"/>
  <c r="B6" i="18"/>
  <c r="L32" i="29"/>
  <c r="B8" i="12"/>
  <c r="AC33" i="29"/>
  <c r="L35" i="29"/>
  <c r="B35" i="29"/>
  <c r="B33" i="20"/>
  <c r="B4" i="18"/>
  <c r="N25" i="29"/>
  <c r="B15" i="6"/>
  <c r="AD5" i="29"/>
  <c r="B31" i="6"/>
  <c r="M32" i="29"/>
  <c r="B36" i="6"/>
  <c r="B26" i="24"/>
  <c r="B14" i="15"/>
  <c r="L37" i="29"/>
  <c r="AC11" i="29"/>
  <c r="B9" i="24"/>
  <c r="K27" i="29"/>
  <c r="B5" i="23"/>
  <c r="B30" i="15"/>
  <c r="B22" i="14"/>
  <c r="L9" i="29"/>
  <c r="B36" i="5"/>
  <c r="N28" i="29"/>
  <c r="B11" i="20"/>
  <c r="B8" i="6"/>
  <c r="B33" i="18"/>
  <c r="B11" i="18"/>
  <c r="AB17" i="29"/>
  <c r="P10" i="1"/>
  <c r="B38" i="19"/>
  <c r="K28" i="29"/>
  <c r="E22" i="1"/>
  <c r="B11" i="16"/>
  <c r="B37" i="29"/>
  <c r="B11" i="23"/>
  <c r="B5" i="18"/>
  <c r="Z36" i="29"/>
  <c r="AB11" i="29"/>
  <c r="B7" i="22"/>
  <c r="U15" i="29"/>
  <c r="B6" i="29"/>
  <c r="R28" i="1"/>
  <c r="B8" i="19"/>
  <c r="B30" i="29"/>
  <c r="B14" i="12"/>
  <c r="B5" i="22"/>
  <c r="B11" i="15"/>
  <c r="N32" i="29"/>
  <c r="E16" i="1"/>
  <c r="Z10" i="29"/>
  <c r="B10" i="17"/>
  <c r="M29" i="29"/>
  <c r="E28" i="1"/>
  <c r="B25" i="16"/>
  <c r="AA6" i="29"/>
  <c r="Q25" i="1"/>
  <c r="B34" i="6"/>
  <c r="F29" i="1"/>
  <c r="B24" i="23"/>
  <c r="B21" i="6"/>
  <c r="B31" i="29"/>
  <c r="AD20" i="29"/>
  <c r="B37" i="5"/>
  <c r="N4" i="29"/>
  <c r="K38" i="29"/>
  <c r="Q33" i="1"/>
  <c r="E17" i="1"/>
  <c r="D10" i="29" s="1"/>
  <c r="Q16" i="1"/>
  <c r="B14" i="17"/>
  <c r="Q8" i="1"/>
  <c r="B38" i="22"/>
  <c r="B12" i="22"/>
  <c r="B6" i="6"/>
  <c r="B35" i="13"/>
  <c r="B17" i="18"/>
  <c r="J9" i="29"/>
  <c r="K24" i="29"/>
  <c r="Z6" i="29"/>
  <c r="L14" i="29"/>
  <c r="B6" i="22"/>
  <c r="B5" i="14"/>
  <c r="B14" i="22"/>
  <c r="B31" i="15"/>
  <c r="M7" i="29"/>
  <c r="B38" i="14"/>
  <c r="L31" i="29"/>
  <c r="M20" i="29"/>
  <c r="Z15" i="29"/>
  <c r="AD12" i="29"/>
  <c r="AC20" i="29"/>
  <c r="R25" i="1"/>
  <c r="J29" i="29"/>
  <c r="B32" i="12"/>
  <c r="B35" i="15"/>
  <c r="B24" i="15"/>
  <c r="B13" i="29"/>
  <c r="K16" i="29"/>
  <c r="B35" i="16"/>
  <c r="AD26" i="29"/>
  <c r="E20" i="1"/>
  <c r="AC26" i="29"/>
  <c r="AD27" i="29"/>
  <c r="E32" i="1"/>
  <c r="B7" i="13"/>
  <c r="B30" i="14"/>
  <c r="AA5" i="29"/>
  <c r="J28" i="29"/>
  <c r="N10" i="29"/>
  <c r="M28" i="29"/>
  <c r="AC18" i="29"/>
  <c r="Z8" i="29"/>
  <c r="E23" i="1"/>
  <c r="B15" i="20"/>
  <c r="B9" i="17"/>
  <c r="AC22" i="29"/>
  <c r="AC23" i="29"/>
  <c r="L22" i="29"/>
  <c r="N26" i="29"/>
  <c r="E14" i="1"/>
  <c r="B33" i="12"/>
  <c r="B11" i="24"/>
  <c r="K22" i="29"/>
  <c r="B22" i="19"/>
  <c r="J37" i="29"/>
  <c r="Z33" i="29"/>
  <c r="B27" i="22"/>
  <c r="B21" i="14"/>
  <c r="B20" i="16"/>
  <c r="B12" i="20"/>
  <c r="AA8" i="29"/>
  <c r="B27" i="23"/>
  <c r="J36" i="29"/>
  <c r="Q9" i="1"/>
  <c r="B35" i="12"/>
  <c r="K25" i="29"/>
  <c r="B34" i="16"/>
  <c r="B33" i="6"/>
  <c r="B26" i="15"/>
  <c r="AC28" i="29"/>
  <c r="M37" i="29"/>
  <c r="B32" i="15"/>
  <c r="B26" i="23"/>
  <c r="B10" i="16"/>
  <c r="J4" i="29"/>
  <c r="B15" i="16"/>
  <c r="R17" i="1"/>
  <c r="S16" i="1"/>
  <c r="Z27" i="29"/>
  <c r="Q24" i="1"/>
  <c r="J20" i="29"/>
  <c r="B38" i="18"/>
  <c r="B25" i="15"/>
  <c r="B20" i="22"/>
  <c r="B10" i="5"/>
  <c r="G10" i="1"/>
  <c r="B38" i="24"/>
  <c r="B36" i="23"/>
  <c r="AA20" i="29"/>
  <c r="B18" i="18"/>
  <c r="Z31" i="29"/>
  <c r="AB5" i="29"/>
  <c r="P12" i="1"/>
  <c r="G12" i="29"/>
  <c r="Z12" i="29"/>
  <c r="AB8" i="29"/>
  <c r="B21" i="22"/>
  <c r="B30" i="19"/>
  <c r="B26" i="16"/>
  <c r="B33" i="23"/>
  <c r="B12" i="29"/>
  <c r="AC36" i="29"/>
  <c r="E25" i="1"/>
  <c r="B6" i="17"/>
  <c r="E37" i="1"/>
  <c r="F36" i="1"/>
  <c r="B9" i="6"/>
  <c r="R38" i="1"/>
  <c r="AC35" i="29"/>
  <c r="X10" i="29"/>
  <c r="L4" i="29"/>
  <c r="K20" i="29"/>
  <c r="M6" i="29"/>
  <c r="C21" i="27"/>
  <c r="J5" i="29"/>
  <c r="B18" i="17"/>
  <c r="B28" i="20"/>
  <c r="B26" i="6"/>
  <c r="F38" i="1"/>
  <c r="B9" i="20"/>
  <c r="AC21" i="29"/>
  <c r="B24" i="19"/>
  <c r="B11" i="6"/>
  <c r="B30" i="12"/>
  <c r="B24" i="20"/>
  <c r="B6" i="12"/>
  <c r="Q11" i="1"/>
  <c r="AC12" i="29"/>
  <c r="B26" i="18"/>
  <c r="M23" i="29"/>
  <c r="AB34" i="29"/>
  <c r="B33" i="24"/>
  <c r="B35" i="14"/>
  <c r="B34" i="20"/>
  <c r="J6" i="29"/>
  <c r="B34" i="5"/>
  <c r="B32" i="24"/>
  <c r="B33" i="29"/>
  <c r="E30" i="1"/>
  <c r="Z19" i="29"/>
  <c r="B20" i="13"/>
  <c r="B31" i="22"/>
  <c r="AA19" i="29"/>
  <c r="B21" i="18"/>
  <c r="B17" i="29"/>
  <c r="B29" i="20"/>
  <c r="B6" i="16"/>
  <c r="B19" i="22"/>
  <c r="N5" i="29"/>
  <c r="B31" i="16"/>
  <c r="K8" i="29"/>
  <c r="B4" i="5"/>
  <c r="N30" i="29"/>
  <c r="B6" i="20"/>
  <c r="B9" i="16"/>
  <c r="B30" i="17"/>
  <c r="B13" i="22"/>
  <c r="B19" i="18"/>
  <c r="B33" i="17"/>
  <c r="G22" i="1"/>
  <c r="F20" i="1"/>
  <c r="B31" i="13"/>
  <c r="L12" i="29"/>
  <c r="B5" i="5"/>
  <c r="B4" i="20"/>
  <c r="B37" i="6"/>
  <c r="Z4" i="29"/>
  <c r="B10" i="6"/>
  <c r="N36" i="29"/>
  <c r="B26" i="22"/>
  <c r="L33" i="29"/>
  <c r="H6" i="29"/>
  <c r="B35" i="18"/>
  <c r="B24" i="17"/>
  <c r="B16" i="13"/>
  <c r="B16" i="19"/>
  <c r="M24" i="29"/>
  <c r="L8" i="29"/>
  <c r="B10" i="29"/>
  <c r="B16" i="20"/>
  <c r="B28" i="14"/>
  <c r="F27" i="1"/>
  <c r="E15" i="29" s="1"/>
  <c r="B37" i="20"/>
  <c r="B34" i="17"/>
  <c r="C35" i="27"/>
  <c r="B11" i="19"/>
  <c r="B35" i="17"/>
  <c r="B23" i="5"/>
  <c r="B22" i="23"/>
  <c r="B23" i="22"/>
  <c r="B32" i="6"/>
  <c r="G20" i="1"/>
  <c r="H18" i="29"/>
  <c r="AC8" i="29"/>
  <c r="B19" i="19"/>
  <c r="AC24" i="29"/>
  <c r="AA18" i="29"/>
  <c r="F28" i="1"/>
  <c r="B7" i="24"/>
  <c r="Q18" i="1"/>
  <c r="B30" i="22"/>
  <c r="AD31" i="29"/>
  <c r="K9" i="29"/>
  <c r="AA22" i="29"/>
  <c r="B4" i="22"/>
  <c r="B37" i="13"/>
  <c r="B20" i="24"/>
  <c r="AD37" i="29"/>
  <c r="B4" i="15"/>
  <c r="B5" i="29"/>
  <c r="B16" i="15"/>
  <c r="J17" i="29"/>
  <c r="B21" i="17"/>
  <c r="G17" i="29"/>
  <c r="B12" i="19"/>
  <c r="AB30" i="29"/>
  <c r="B15" i="29"/>
  <c r="B7" i="5"/>
  <c r="Q14" i="1"/>
  <c r="N9" i="29"/>
  <c r="B18" i="12"/>
  <c r="B7" i="19"/>
  <c r="AD19" i="29"/>
  <c r="M26" i="29"/>
  <c r="S12" i="1"/>
  <c r="K12" i="29"/>
  <c r="G38" i="1"/>
  <c r="B9" i="23"/>
  <c r="Q38" i="1"/>
  <c r="AA9" i="29"/>
  <c r="B25" i="13"/>
  <c r="B17" i="22"/>
  <c r="B25" i="20"/>
  <c r="B36" i="16"/>
  <c r="AC29" i="29"/>
  <c r="R22" i="1"/>
  <c r="B36" i="12"/>
  <c r="R35" i="1"/>
  <c r="B13" i="15"/>
  <c r="M27" i="29"/>
  <c r="E9" i="1"/>
  <c r="B20" i="19"/>
  <c r="B37" i="19"/>
  <c r="B9" i="18"/>
  <c r="B38" i="17"/>
  <c r="Q28" i="1"/>
  <c r="AD30" i="29"/>
  <c r="R19" i="1"/>
  <c r="F12" i="1"/>
  <c r="E11" i="1"/>
  <c r="D7" i="29" s="1"/>
  <c r="AD24" i="29"/>
  <c r="B21" i="23"/>
  <c r="B27" i="16"/>
  <c r="B38" i="16"/>
  <c r="Z35" i="29"/>
  <c r="B11" i="5"/>
  <c r="N34" i="29"/>
  <c r="N11" i="29"/>
  <c r="C38" i="27"/>
  <c r="M21" i="29"/>
  <c r="B22" i="13"/>
  <c r="N8" i="29"/>
  <c r="B20" i="12"/>
  <c r="N14" i="29"/>
  <c r="F31" i="1"/>
  <c r="E17" i="29" s="1"/>
  <c r="J35" i="29"/>
  <c r="B29" i="6"/>
  <c r="AD6" i="29"/>
  <c r="B38" i="12"/>
  <c r="E19" i="1"/>
  <c r="B37" i="22"/>
  <c r="B16" i="6"/>
  <c r="N29" i="29"/>
  <c r="B29" i="15"/>
  <c r="D17" i="29"/>
  <c r="M9" i="29"/>
  <c r="AB21" i="29"/>
  <c r="B12" i="17"/>
  <c r="B4" i="14"/>
  <c r="B14" i="13"/>
  <c r="K14" i="29"/>
  <c r="B38" i="20"/>
  <c r="E6" i="29"/>
  <c r="B24" i="13"/>
  <c r="B10" i="23"/>
  <c r="Z23" i="29"/>
  <c r="Z30" i="29"/>
  <c r="AA13" i="29"/>
  <c r="B18" i="13"/>
  <c r="G18" i="1"/>
  <c r="I10" i="29" s="1"/>
  <c r="E12" i="1"/>
  <c r="J11" i="29"/>
  <c r="W5" i="29"/>
  <c r="AB19" i="29"/>
  <c r="R32" i="1"/>
  <c r="P9" i="1"/>
  <c r="B11" i="22"/>
  <c r="B14" i="6"/>
  <c r="B20" i="23"/>
  <c r="B26" i="17"/>
  <c r="B22" i="6"/>
  <c r="AB23" i="29"/>
  <c r="N23" i="29"/>
  <c r="Q35" i="1"/>
  <c r="AB24" i="29"/>
  <c r="F25" i="1"/>
  <c r="W10" i="29"/>
  <c r="B12" i="16"/>
  <c r="B13" i="18"/>
  <c r="B25" i="19"/>
  <c r="K11" i="29"/>
  <c r="B5" i="17"/>
  <c r="J31" i="29"/>
  <c r="B5" i="24"/>
  <c r="AB37" i="29"/>
  <c r="B19" i="24"/>
  <c r="B34" i="12"/>
  <c r="K21" i="29"/>
  <c r="B36" i="22"/>
  <c r="N22" i="29"/>
  <c r="B18" i="24"/>
  <c r="B32" i="14"/>
  <c r="L21" i="29"/>
  <c r="Z13" i="29"/>
  <c r="B17" i="23"/>
  <c r="B9" i="13"/>
  <c r="E16" i="29"/>
  <c r="I4" i="29"/>
  <c r="AD8" i="29"/>
  <c r="AD32" i="29"/>
  <c r="Y6" i="29"/>
  <c r="D9" i="29"/>
  <c r="B16" i="5"/>
  <c r="L38" i="29"/>
  <c r="B23" i="16"/>
  <c r="R20" i="1"/>
  <c r="B33" i="16"/>
  <c r="S34" i="1"/>
  <c r="B20" i="18"/>
  <c r="T14" i="29"/>
  <c r="R33" i="1"/>
  <c r="AA17" i="29"/>
  <c r="B26" i="20"/>
  <c r="Q20" i="1"/>
  <c r="F30" i="1"/>
  <c r="M19" i="29"/>
  <c r="B28" i="17"/>
  <c r="B13" i="16"/>
  <c r="N37" i="29"/>
  <c r="B5" i="16"/>
  <c r="B36" i="15"/>
  <c r="G34" i="1"/>
  <c r="B9" i="22"/>
  <c r="B11" i="29"/>
  <c r="Q32" i="1"/>
  <c r="J21" i="29"/>
  <c r="I11" i="29"/>
  <c r="AC17" i="29"/>
  <c r="Y9" i="29"/>
  <c r="R15" i="1"/>
  <c r="Z37" i="29"/>
  <c r="B7" i="16"/>
  <c r="B10" i="20"/>
  <c r="J22" i="29"/>
  <c r="L26" i="29"/>
  <c r="AC30" i="29"/>
  <c r="U10" i="29"/>
  <c r="R26" i="1"/>
  <c r="G36" i="1"/>
  <c r="G4" i="29"/>
  <c r="M13" i="29"/>
  <c r="E34" i="1"/>
  <c r="D34" i="1"/>
  <c r="R16" i="1"/>
  <c r="I20" i="29"/>
  <c r="B28" i="24"/>
  <c r="B16" i="16"/>
  <c r="M11" i="29"/>
  <c r="C18" i="27"/>
  <c r="P29" i="1"/>
  <c r="B18" i="29"/>
  <c r="E18" i="1"/>
  <c r="B17" i="5"/>
  <c r="B13" i="13"/>
  <c r="B27" i="19"/>
  <c r="J34" i="29"/>
  <c r="AA37" i="29"/>
  <c r="G30" i="1"/>
  <c r="G11" i="29"/>
  <c r="E5" i="1"/>
  <c r="B17" i="12"/>
  <c r="B32" i="13"/>
  <c r="J14" i="29"/>
  <c r="E35" i="1"/>
  <c r="B15" i="15"/>
  <c r="I6" i="29"/>
  <c r="E36" i="1"/>
  <c r="B24" i="18"/>
  <c r="R40" i="1"/>
  <c r="B29" i="16"/>
  <c r="K29" i="29"/>
  <c r="H7" i="29"/>
  <c r="S6" i="29"/>
  <c r="D4" i="29"/>
  <c r="F24" i="1"/>
  <c r="C34" i="27"/>
  <c r="E41" i="1"/>
  <c r="W11" i="29"/>
  <c r="G19" i="29"/>
  <c r="V6" i="29"/>
  <c r="B21" i="16"/>
  <c r="AB9" i="29"/>
  <c r="AC14" i="29"/>
  <c r="L6" i="29"/>
  <c r="B23" i="13"/>
  <c r="B13" i="19"/>
  <c r="B12" i="18"/>
  <c r="B27" i="14"/>
  <c r="AD29" i="29"/>
  <c r="Q10" i="1"/>
  <c r="AC15" i="29"/>
  <c r="B17" i="14"/>
  <c r="B27" i="6"/>
  <c r="AB35" i="29"/>
  <c r="AB16" i="29"/>
  <c r="B12" i="24"/>
  <c r="B23" i="6"/>
  <c r="B29" i="12"/>
  <c r="R23" i="1"/>
  <c r="B35" i="20"/>
  <c r="F26" i="1"/>
  <c r="Z18" i="29"/>
  <c r="Z34" i="29"/>
  <c r="G16" i="29"/>
  <c r="AD7" i="29"/>
  <c r="I13" i="29"/>
  <c r="AD14" i="29"/>
  <c r="B25" i="5"/>
  <c r="B26" i="14"/>
  <c r="K15" i="29"/>
  <c r="K5" i="29"/>
  <c r="U14" i="29"/>
  <c r="AD35" i="29"/>
  <c r="N15" i="29"/>
  <c r="W9" i="29"/>
  <c r="B24" i="14"/>
  <c r="B28" i="18"/>
  <c r="P26" i="1"/>
  <c r="V14" i="29" s="1"/>
  <c r="B8" i="18"/>
  <c r="B6" i="15"/>
  <c r="H19" i="29"/>
  <c r="K17" i="29"/>
  <c r="B29" i="14"/>
  <c r="C32" i="27"/>
  <c r="F22" i="1"/>
  <c r="B12" i="5"/>
  <c r="AC19" i="29"/>
  <c r="Z26" i="29"/>
  <c r="B28" i="22"/>
  <c r="N7" i="29"/>
  <c r="R14" i="1"/>
  <c r="E39" i="1"/>
  <c r="B16" i="12"/>
  <c r="AA23" i="29"/>
  <c r="B8" i="13"/>
  <c r="R10" i="1"/>
  <c r="D30" i="1"/>
  <c r="B15" i="12"/>
  <c r="N16" i="29"/>
  <c r="G14" i="1"/>
  <c r="B8" i="15"/>
  <c r="N12" i="29"/>
  <c r="AA24" i="29"/>
  <c r="B31" i="12"/>
  <c r="B29" i="29"/>
  <c r="R29" i="1"/>
  <c r="M5" i="29"/>
  <c r="J13" i="29"/>
  <c r="T18" i="29"/>
  <c r="B29" i="22"/>
  <c r="B37" i="16"/>
  <c r="B5" i="13"/>
  <c r="AA12" i="29"/>
  <c r="J30" i="29"/>
  <c r="B36" i="24"/>
  <c r="B26" i="12"/>
  <c r="B27" i="13"/>
  <c r="B38" i="29"/>
  <c r="B20" i="29"/>
  <c r="B37" i="24"/>
  <c r="B17" i="20"/>
  <c r="B8" i="24"/>
  <c r="B21" i="29"/>
  <c r="B15" i="19"/>
  <c r="B4" i="12"/>
  <c r="L19" i="29"/>
  <c r="AD34" i="29"/>
  <c r="J19" i="29"/>
  <c r="AB36" i="29"/>
  <c r="F13" i="1"/>
  <c r="Z5" i="29"/>
  <c r="B6" i="14"/>
  <c r="B23" i="17"/>
  <c r="AA38" i="29"/>
  <c r="N21" i="29"/>
  <c r="B7" i="29"/>
  <c r="B25" i="17"/>
  <c r="M38" i="29"/>
  <c r="AD15" i="29"/>
  <c r="B14" i="5"/>
  <c r="B16" i="24"/>
  <c r="B31" i="18"/>
  <c r="B13" i="14"/>
  <c r="B22" i="24"/>
  <c r="AA29" i="29"/>
  <c r="B10" i="24"/>
  <c r="M22" i="29"/>
  <c r="L28" i="29"/>
  <c r="M4" i="29"/>
  <c r="R11" i="1"/>
  <c r="B33" i="14"/>
  <c r="AB31" i="29"/>
  <c r="AB13" i="29"/>
  <c r="B31" i="24"/>
  <c r="R30" i="1"/>
  <c r="R7" i="1"/>
  <c r="B37" i="17"/>
  <c r="M18" i="29"/>
  <c r="B16" i="29"/>
  <c r="B9" i="19"/>
  <c r="M12" i="29"/>
  <c r="AA31" i="29"/>
  <c r="B32" i="16"/>
  <c r="Q12" i="1"/>
  <c r="B16" i="14"/>
  <c r="W7" i="29"/>
  <c r="AC38" i="29"/>
  <c r="U8" i="29"/>
  <c r="B28" i="15"/>
  <c r="K19" i="29"/>
  <c r="Q34" i="1"/>
  <c r="W18" i="29" s="1"/>
  <c r="D18" i="29"/>
  <c r="F7" i="1"/>
  <c r="AA4" i="29"/>
  <c r="AC25" i="29"/>
  <c r="B25" i="22"/>
  <c r="AA11" i="29"/>
  <c r="W8" i="29"/>
  <c r="B25" i="14"/>
  <c r="B24" i="22"/>
  <c r="B37" i="15"/>
  <c r="C29" i="27"/>
  <c r="E21" i="1"/>
  <c r="D12" i="29" s="1"/>
  <c r="N33" i="29"/>
  <c r="G8" i="1"/>
  <c r="I5" i="29" s="1"/>
  <c r="B17" i="24"/>
  <c r="B22" i="29"/>
  <c r="B8" i="14"/>
  <c r="E13" i="1"/>
  <c r="AB15" i="29"/>
  <c r="U17" i="29"/>
  <c r="AB20" i="29"/>
  <c r="F35" i="1"/>
  <c r="M8" i="29"/>
  <c r="B38" i="6"/>
  <c r="B36" i="29"/>
  <c r="AD33" i="29"/>
  <c r="AD10" i="29"/>
  <c r="B25" i="23"/>
  <c r="B15" i="24"/>
  <c r="AB14" i="29"/>
  <c r="AB27" i="29"/>
  <c r="U11" i="29"/>
  <c r="K31" i="29"/>
  <c r="L36" i="29"/>
  <c r="K18" i="29"/>
  <c r="AD9" i="29"/>
  <c r="N31" i="29"/>
  <c r="F40" i="1"/>
  <c r="B24" i="29"/>
  <c r="B30" i="23"/>
  <c r="B19" i="23"/>
  <c r="U5" i="29"/>
  <c r="Q26" i="1"/>
  <c r="B31" i="20"/>
  <c r="B17" i="16"/>
  <c r="AD25" i="29"/>
  <c r="AD36" i="29"/>
  <c r="B8" i="5"/>
  <c r="R24" i="1"/>
  <c r="AB32" i="29"/>
  <c r="V7" i="29"/>
  <c r="B27" i="24"/>
  <c r="B23" i="14"/>
  <c r="Z28" i="29"/>
  <c r="B31" i="17"/>
  <c r="E19" i="29"/>
  <c r="B33" i="15"/>
  <c r="B21" i="13"/>
  <c r="D29" i="1"/>
  <c r="B17" i="19"/>
  <c r="E8" i="1"/>
  <c r="F19" i="1"/>
  <c r="Y18" i="29"/>
  <c r="B27" i="18"/>
  <c r="B38" i="23"/>
  <c r="L29" i="29"/>
  <c r="D20" i="29"/>
  <c r="I8" i="29"/>
  <c r="M34" i="29"/>
  <c r="B30" i="24"/>
  <c r="B4" i="17"/>
  <c r="I18" i="29"/>
  <c r="F11" i="1"/>
  <c r="H11" i="29"/>
  <c r="F5" i="1"/>
  <c r="K10" i="29"/>
  <c r="AC7" i="29"/>
  <c r="K33" i="29"/>
  <c r="X19" i="29"/>
  <c r="U4" i="29"/>
  <c r="AA33" i="29"/>
  <c r="AA14" i="29"/>
  <c r="L16" i="29"/>
  <c r="B15" i="13"/>
  <c r="J15" i="29"/>
  <c r="B14" i="19"/>
  <c r="B12" i="14"/>
  <c r="H15" i="29"/>
  <c r="B26" i="13"/>
  <c r="B5" i="15"/>
  <c r="B10" i="12"/>
  <c r="B26" i="29"/>
  <c r="T7" i="29"/>
  <c r="B31" i="14"/>
  <c r="B30" i="20"/>
  <c r="U13" i="29"/>
  <c r="AC6" i="29"/>
  <c r="P11" i="1"/>
  <c r="U7" i="29"/>
  <c r="Z16" i="29"/>
  <c r="X12" i="29"/>
  <c r="X14" i="29"/>
  <c r="U18" i="29"/>
  <c r="G8" i="29"/>
  <c r="E11" i="29"/>
  <c r="G42" i="1"/>
  <c r="G10" i="29"/>
  <c r="T19" i="29"/>
  <c r="U9" i="29"/>
  <c r="H16" i="29"/>
  <c r="G9" i="29"/>
  <c r="E8" i="29"/>
  <c r="G7" i="29"/>
  <c r="Y7" i="29"/>
  <c r="X6" i="29"/>
  <c r="C16" i="29"/>
  <c r="E4" i="29"/>
  <c r="N35" i="29"/>
  <c r="W20" i="29"/>
  <c r="Q42" i="1"/>
  <c r="E14" i="29"/>
  <c r="U16" i="29"/>
  <c r="H13" i="29"/>
  <c r="R42" i="1"/>
  <c r="I19" i="29"/>
  <c r="X16" i="29"/>
  <c r="W17" i="29"/>
  <c r="I16" i="29"/>
  <c r="B14" i="20"/>
  <c r="J26" i="29"/>
  <c r="Z11" i="29"/>
  <c r="F21" i="1"/>
  <c r="B18" i="22"/>
  <c r="B7" i="14"/>
  <c r="J38" i="29"/>
  <c r="N27" i="29"/>
  <c r="L13" i="29"/>
  <c r="C37" i="27"/>
  <c r="P25" i="1"/>
  <c r="S14" i="29" s="1"/>
  <c r="M35" i="29"/>
  <c r="B21" i="24"/>
  <c r="B4" i="24"/>
  <c r="G28" i="1"/>
  <c r="K6" i="29"/>
  <c r="AB4" i="29"/>
  <c r="B9" i="29"/>
  <c r="K4" i="29"/>
  <c r="B37" i="12"/>
  <c r="B24" i="24"/>
  <c r="B34" i="15"/>
  <c r="L34" i="29"/>
  <c r="B22" i="16"/>
  <c r="Z21" i="29"/>
  <c r="E10" i="1"/>
  <c r="G6" i="29" s="1"/>
  <c r="AC4" i="29"/>
  <c r="B23" i="23"/>
  <c r="B7" i="17"/>
  <c r="J12" i="29"/>
  <c r="S22" i="1"/>
  <c r="Y12" i="29" s="1"/>
  <c r="B38" i="5"/>
  <c r="B31" i="5"/>
  <c r="L18" i="29"/>
  <c r="B35" i="22"/>
  <c r="F18" i="1"/>
  <c r="H10" i="29" s="1"/>
  <c r="T6" i="29"/>
  <c r="B26" i="5"/>
  <c r="F6" i="1"/>
  <c r="D13" i="29"/>
  <c r="B5" i="19"/>
  <c r="B23" i="20"/>
  <c r="AD13" i="29"/>
  <c r="AC34" i="29"/>
  <c r="U6" i="29"/>
  <c r="Q29" i="1"/>
  <c r="B34" i="14"/>
  <c r="D14" i="29"/>
  <c r="AA35" i="29"/>
  <c r="N13" i="29"/>
  <c r="B18" i="16"/>
  <c r="B10" i="14"/>
  <c r="C8" i="27"/>
  <c r="D11" i="29"/>
  <c r="B10" i="13"/>
  <c r="B18" i="19"/>
  <c r="Q22" i="1"/>
  <c r="W12" i="29" s="1"/>
  <c r="B4" i="19"/>
  <c r="B17" i="15"/>
  <c r="B34" i="18"/>
  <c r="F16" i="1"/>
  <c r="B36" i="14"/>
  <c r="B5" i="6"/>
  <c r="M17" i="29"/>
  <c r="M10" i="29"/>
  <c r="R21" i="1"/>
  <c r="B18" i="14"/>
  <c r="B19" i="17"/>
  <c r="K37" i="29"/>
  <c r="B17" i="13"/>
  <c r="L20" i="29"/>
  <c r="B33" i="13"/>
  <c r="AA34" i="29"/>
  <c r="B6" i="13"/>
  <c r="AC5" i="29"/>
  <c r="B6" i="5"/>
  <c r="B19" i="12"/>
  <c r="B7" i="23"/>
  <c r="B23" i="29"/>
  <c r="J18" i="29"/>
  <c r="B21" i="19"/>
  <c r="J24" i="29"/>
  <c r="Q6" i="1"/>
  <c r="R37" i="1"/>
  <c r="B17" i="17"/>
  <c r="B34" i="23"/>
  <c r="X20" i="29"/>
  <c r="B13" i="5"/>
  <c r="P30" i="1"/>
  <c r="Z14" i="29"/>
  <c r="B18" i="20"/>
  <c r="B27" i="17"/>
  <c r="B12" i="15"/>
  <c r="M33" i="29"/>
  <c r="Y16" i="29"/>
  <c r="B11" i="13"/>
  <c r="B28" i="6"/>
  <c r="AD11" i="29"/>
  <c r="E12" i="29"/>
  <c r="B21" i="20"/>
  <c r="B7" i="20"/>
  <c r="AA28" i="29"/>
  <c r="E7" i="1"/>
  <c r="D5" i="29" s="1"/>
  <c r="H5" i="29"/>
  <c r="G5" i="29"/>
  <c r="U19" i="29"/>
  <c r="H12" i="29"/>
  <c r="H21" i="29"/>
  <c r="I15" i="29"/>
  <c r="W14" i="29"/>
  <c r="K23" i="29"/>
  <c r="B28" i="19"/>
  <c r="B35" i="5"/>
  <c r="B8" i="20"/>
  <c r="R34" i="1"/>
  <c r="X18" i="29" s="1"/>
  <c r="B27" i="15"/>
  <c r="B13" i="6"/>
  <c r="B25" i="18"/>
  <c r="B34" i="29"/>
  <c r="B23" i="12"/>
  <c r="I14" i="29"/>
  <c r="J8" i="29"/>
  <c r="B36" i="18"/>
  <c r="C36" i="27"/>
  <c r="B35" i="6"/>
  <c r="B23" i="19"/>
  <c r="W6" i="29"/>
  <c r="B17" i="6"/>
  <c r="M14" i="29"/>
  <c r="L24" i="29"/>
  <c r="G16" i="1"/>
  <c r="K34" i="29"/>
  <c r="B34" i="22"/>
  <c r="G15" i="29"/>
  <c r="X8" i="29"/>
  <c r="U12" i="29"/>
  <c r="L15" i="29"/>
  <c r="B10" i="18"/>
  <c r="B15" i="14"/>
  <c r="B29" i="5"/>
  <c r="C39" i="27"/>
  <c r="B19" i="14"/>
  <c r="B8" i="22"/>
  <c r="H14" i="29"/>
  <c r="B22" i="17"/>
  <c r="B13" i="12"/>
  <c r="R8" i="1"/>
  <c r="J32" i="29"/>
  <c r="B4" i="23"/>
  <c r="M15" i="29"/>
  <c r="AC10" i="29"/>
  <c r="C7" i="29"/>
  <c r="N19" i="29"/>
  <c r="B33" i="5"/>
  <c r="S26" i="1"/>
  <c r="Y14" i="29" s="1"/>
  <c r="B32" i="17"/>
  <c r="D6" i="29"/>
  <c r="AC13" i="29"/>
  <c r="R39" i="1"/>
  <c r="U21" i="29" s="1"/>
  <c r="B24" i="6"/>
  <c r="M25" i="29"/>
  <c r="X21" i="29"/>
  <c r="F42" i="1"/>
  <c r="S7" i="29"/>
  <c r="G14" i="29"/>
  <c r="X17" i="29"/>
  <c r="I9" i="29"/>
  <c r="AB29" i="29"/>
  <c r="B30" i="5"/>
  <c r="AD16" i="29"/>
  <c r="B36" i="13"/>
  <c r="B37" i="14"/>
  <c r="B30" i="6"/>
  <c r="B18" i="23"/>
  <c r="B34" i="19"/>
  <c r="G12" i="1"/>
  <c r="I7" i="29" s="1"/>
  <c r="C16" i="27"/>
  <c r="B36" i="17"/>
  <c r="L25" i="29"/>
  <c r="B13" i="20"/>
  <c r="B35" i="23"/>
  <c r="K36" i="29"/>
  <c r="B27" i="12"/>
  <c r="X15" i="29"/>
  <c r="B20" i="6"/>
  <c r="B27" i="5"/>
  <c r="B33" i="22"/>
  <c r="B16" i="23"/>
  <c r="B23" i="15"/>
  <c r="F23" i="1"/>
  <c r="E13" i="29" s="1"/>
  <c r="B33" i="19"/>
  <c r="I17" i="29"/>
  <c r="B18" i="6"/>
  <c r="B19" i="6"/>
  <c r="B13" i="23"/>
  <c r="B35" i="19"/>
  <c r="K35" i="29"/>
  <c r="B20" i="14"/>
  <c r="B7" i="12"/>
  <c r="AD18" i="29"/>
  <c r="E40" i="1"/>
  <c r="G21" i="29" s="1"/>
  <c r="B22" i="15"/>
  <c r="N18" i="29"/>
  <c r="Q36" i="1"/>
  <c r="W19" i="29" s="1"/>
  <c r="E38" i="1"/>
  <c r="G20" i="29" s="1"/>
  <c r="AA15" i="29"/>
  <c r="B12" i="23"/>
  <c r="B25" i="12"/>
  <c r="AA30" i="29"/>
  <c r="F33" i="1"/>
  <c r="E18" i="29" s="1"/>
  <c r="H9" i="29"/>
  <c r="H20" i="29"/>
  <c r="L5" i="29"/>
  <c r="S36" i="1"/>
  <c r="Y19" i="29" s="1"/>
  <c r="B8" i="16"/>
  <c r="G18" i="29"/>
  <c r="B28" i="5"/>
  <c r="G40" i="1"/>
  <c r="R41" i="1"/>
  <c r="I21" i="29"/>
  <c r="T16" i="29"/>
  <c r="F41" i="1"/>
  <c r="S16" i="29"/>
  <c r="X9" i="29"/>
  <c r="W13" i="29"/>
  <c r="D8" i="29"/>
  <c r="E7" i="29"/>
  <c r="L30" i="29"/>
  <c r="B14" i="14"/>
  <c r="F17" i="1"/>
  <c r="E10" i="29" s="1"/>
  <c r="B29" i="19"/>
  <c r="B12" i="13"/>
  <c r="B8" i="23"/>
  <c r="B9" i="5"/>
  <c r="E24" i="1"/>
  <c r="AC27" i="29"/>
  <c r="W15" i="29"/>
  <c r="F39" i="1"/>
  <c r="E21" i="29" s="1"/>
  <c r="B8" i="29"/>
  <c r="B25" i="6"/>
  <c r="AB28" i="29"/>
  <c r="B24" i="5"/>
  <c r="Z24" i="29"/>
  <c r="F37" i="1"/>
  <c r="E20" i="29" s="1"/>
  <c r="Q30" i="1"/>
  <c r="W16" i="29" s="1"/>
  <c r="F16" i="29"/>
  <c r="B32" i="18"/>
  <c r="B10" i="15"/>
  <c r="B21" i="5"/>
  <c r="B4" i="29"/>
  <c r="L7" i="29"/>
  <c r="U20" i="29"/>
  <c r="Q40" i="1"/>
  <c r="G13" i="29"/>
  <c r="D19" i="29"/>
  <c r="X11" i="29"/>
  <c r="W21" i="29"/>
  <c r="D21" i="29"/>
  <c r="W4" i="29"/>
  <c r="R6" i="1"/>
  <c r="X4" i="29" s="1"/>
  <c r="B5" i="12"/>
  <c r="B6" i="24"/>
  <c r="X7" i="29"/>
  <c r="AD23" i="29"/>
  <c r="AC9" i="29"/>
  <c r="L10" i="29"/>
  <c r="AD4" i="29"/>
  <c r="B22" i="5"/>
  <c r="B25" i="29"/>
  <c r="AA36" i="29"/>
  <c r="AD28" i="29"/>
  <c r="AD17" i="29"/>
  <c r="B29" i="24"/>
  <c r="E27" i="1"/>
  <c r="D15" i="29" s="1"/>
  <c r="AB25" i="29"/>
  <c r="P6" i="1"/>
  <c r="V4" i="29" s="1"/>
  <c r="H4" i="29"/>
  <c r="B10" i="22"/>
  <c r="I12" i="29"/>
  <c r="E5" i="29"/>
  <c r="F15" i="1"/>
  <c r="E9" i="29" s="1"/>
  <c r="X13" i="29"/>
  <c r="B20" i="20"/>
  <c r="V16" i="29"/>
  <c r="K32" i="29"/>
  <c r="C25" i="27"/>
  <c r="H8" i="29"/>
  <c r="F18" i="29"/>
  <c r="E42" i="1"/>
  <c r="X5" i="29"/>
  <c r="G140" i="21" l="1"/>
  <c r="E107" i="21"/>
  <c r="B30" i="27"/>
  <c r="B28" i="32" s="1"/>
  <c r="J28" i="5"/>
  <c r="H34" i="27"/>
  <c r="I34" i="27" s="1"/>
  <c r="AM32" i="29" s="1"/>
  <c r="P111" i="21"/>
  <c r="AA11" i="1"/>
  <c r="AA12" i="1"/>
  <c r="Y12" i="1"/>
  <c r="J24" i="6"/>
  <c r="J34" i="22"/>
  <c r="F124" i="21"/>
  <c r="R139" i="21"/>
  <c r="Q140" i="21"/>
  <c r="J30" i="20"/>
  <c r="J7" i="20"/>
  <c r="J8" i="16"/>
  <c r="J31" i="14"/>
  <c r="J21" i="20"/>
  <c r="J29" i="16"/>
  <c r="R140" i="21"/>
  <c r="S136" i="21"/>
  <c r="J24" i="18"/>
  <c r="J10" i="12"/>
  <c r="J32" i="17"/>
  <c r="G116" i="21"/>
  <c r="E136" i="21"/>
  <c r="J5" i="15"/>
  <c r="J26" i="13"/>
  <c r="S126" i="21"/>
  <c r="J15" i="15"/>
  <c r="J12" i="14"/>
  <c r="B35" i="27"/>
  <c r="B33" i="32" s="1"/>
  <c r="J33" i="5"/>
  <c r="E135" i="21"/>
  <c r="J14" i="19"/>
  <c r="J28" i="6"/>
  <c r="J32" i="13"/>
  <c r="J15" i="13"/>
  <c r="J11" i="13"/>
  <c r="F133" i="21"/>
  <c r="J17" i="12"/>
  <c r="H25" i="27"/>
  <c r="I25" i="27" s="1"/>
  <c r="AM23" i="29" s="1"/>
  <c r="E105" i="21"/>
  <c r="G130" i="21"/>
  <c r="J25" i="12"/>
  <c r="J17" i="6"/>
  <c r="J12" i="15"/>
  <c r="J12" i="23"/>
  <c r="J27" i="19"/>
  <c r="J21" i="5"/>
  <c r="B23" i="27"/>
  <c r="B21" i="32" s="1"/>
  <c r="J13" i="13"/>
  <c r="J27" i="17"/>
  <c r="B19" i="27"/>
  <c r="B17" i="32" s="1"/>
  <c r="J17" i="5"/>
  <c r="E118" i="21"/>
  <c r="F105" i="21"/>
  <c r="J18" i="20"/>
  <c r="E138" i="21"/>
  <c r="J10" i="15"/>
  <c r="Y30" i="1"/>
  <c r="P129" i="21"/>
  <c r="AA30" i="1"/>
  <c r="AA29" i="1"/>
  <c r="F111" i="21"/>
  <c r="Q136" i="21"/>
  <c r="H18" i="27"/>
  <c r="I18" i="27" s="1"/>
  <c r="AM16" i="29" s="1"/>
  <c r="J20" i="20"/>
  <c r="J23" i="19"/>
  <c r="J4" i="17"/>
  <c r="Z30" i="1"/>
  <c r="P130" i="21"/>
  <c r="J16" i="16"/>
  <c r="J30" i="24"/>
  <c r="J4" i="23"/>
  <c r="J32" i="18"/>
  <c r="J28" i="24"/>
  <c r="B15" i="27"/>
  <c r="A15" i="31" s="1"/>
  <c r="J13" i="5"/>
  <c r="J22" i="15"/>
  <c r="E140" i="21"/>
  <c r="R116" i="21"/>
  <c r="Q130" i="21"/>
  <c r="F33" i="21"/>
  <c r="D134" i="21"/>
  <c r="J38" i="23"/>
  <c r="E134" i="21"/>
  <c r="J27" i="18"/>
  <c r="F115" i="21"/>
  <c r="J35" i="6"/>
  <c r="J34" i="23"/>
  <c r="J7" i="12"/>
  <c r="F119" i="21"/>
  <c r="G136" i="21"/>
  <c r="E108" i="21"/>
  <c r="F137" i="21"/>
  <c r="R126" i="21"/>
  <c r="J17" i="19"/>
  <c r="J17" i="17"/>
  <c r="D129" i="21"/>
  <c r="J20" i="14"/>
  <c r="J21" i="13"/>
  <c r="R108" i="21"/>
  <c r="J33" i="15"/>
  <c r="R129" i="21"/>
  <c r="R137" i="21"/>
  <c r="J10" i="20"/>
  <c r="J31" i="17"/>
  <c r="J31" i="12"/>
  <c r="J7" i="16"/>
  <c r="J23" i="14"/>
  <c r="J24" i="5"/>
  <c r="B26" i="27"/>
  <c r="A26" i="31" s="1"/>
  <c r="R115" i="21"/>
  <c r="J27" i="24"/>
  <c r="Q106" i="21"/>
  <c r="J8" i="15"/>
  <c r="J35" i="19"/>
  <c r="G114" i="21"/>
  <c r="J13" i="12"/>
  <c r="J15" i="12"/>
  <c r="R124" i="21"/>
  <c r="H8" i="27"/>
  <c r="Q132" i="21"/>
  <c r="B10" i="27"/>
  <c r="B8" i="32" s="1"/>
  <c r="J8" i="5"/>
  <c r="J13" i="23"/>
  <c r="F29" i="21"/>
  <c r="N29" i="21" s="1"/>
  <c r="D130" i="21"/>
  <c r="J10" i="22"/>
  <c r="J10" i="14"/>
  <c r="J9" i="22"/>
  <c r="J25" i="6"/>
  <c r="R110" i="21"/>
  <c r="G134" i="21"/>
  <c r="J17" i="16"/>
  <c r="J21" i="19"/>
  <c r="J18" i="16"/>
  <c r="J36" i="15"/>
  <c r="J31" i="20"/>
  <c r="J19" i="6"/>
  <c r="J8" i="13"/>
  <c r="J5" i="16"/>
  <c r="Q126" i="21"/>
  <c r="J22" i="17"/>
  <c r="J13" i="16"/>
  <c r="J19" i="23"/>
  <c r="J28" i="17"/>
  <c r="J30" i="23"/>
  <c r="J18" i="6"/>
  <c r="J16" i="12"/>
  <c r="F140" i="21"/>
  <c r="F139" i="21"/>
  <c r="E139" i="21"/>
  <c r="F130" i="21"/>
  <c r="J34" i="14"/>
  <c r="Q120" i="21"/>
  <c r="R114" i="21"/>
  <c r="J26" i="20"/>
  <c r="Q129" i="21"/>
  <c r="R133" i="21"/>
  <c r="J7" i="23"/>
  <c r="J33" i="19"/>
  <c r="P106" i="21"/>
  <c r="J20" i="18"/>
  <c r="J28" i="22"/>
  <c r="S134" i="21"/>
  <c r="J15" i="24"/>
  <c r="J19" i="12"/>
  <c r="J33" i="16"/>
  <c r="J25" i="23"/>
  <c r="F123" i="21"/>
  <c r="R120" i="21"/>
  <c r="J8" i="22"/>
  <c r="J23" i="20"/>
  <c r="J23" i="16"/>
  <c r="E124" i="21"/>
  <c r="J5" i="19"/>
  <c r="B8" i="27"/>
  <c r="A8" i="31" s="1"/>
  <c r="J6" i="5"/>
  <c r="B18" i="27"/>
  <c r="B16" i="32" s="1"/>
  <c r="J16" i="5"/>
  <c r="J38" i="6"/>
  <c r="J23" i="15"/>
  <c r="B14" i="27"/>
  <c r="A14" i="31" s="1"/>
  <c r="J12" i="5"/>
  <c r="F135" i="21"/>
  <c r="B11" i="27"/>
  <c r="A11" i="31" s="1"/>
  <c r="J9" i="5"/>
  <c r="F106" i="21"/>
  <c r="B28" i="27"/>
  <c r="A28" i="31" s="1"/>
  <c r="J26" i="5"/>
  <c r="J16" i="23"/>
  <c r="F122" i="21"/>
  <c r="E127" i="21"/>
  <c r="E113" i="21"/>
  <c r="H36" i="27"/>
  <c r="AL34" i="29" s="1"/>
  <c r="F118" i="21"/>
  <c r="J9" i="13"/>
  <c r="J8" i="14"/>
  <c r="J6" i="13"/>
  <c r="J35" i="22"/>
  <c r="J17" i="23"/>
  <c r="J33" i="22"/>
  <c r="J17" i="24"/>
  <c r="J19" i="14"/>
  <c r="J31" i="5"/>
  <c r="B33" i="27"/>
  <c r="B31" i="32" s="1"/>
  <c r="G108" i="21"/>
  <c r="J8" i="23"/>
  <c r="J38" i="5"/>
  <c r="B40" i="27"/>
  <c r="A40" i="31" s="1"/>
  <c r="J32" i="14"/>
  <c r="S122" i="21"/>
  <c r="J18" i="24"/>
  <c r="E121" i="21"/>
  <c r="J27" i="5"/>
  <c r="B29" i="27"/>
  <c r="B27" i="32" s="1"/>
  <c r="H29" i="27"/>
  <c r="I29" i="27" s="1"/>
  <c r="AM27" i="29" s="1"/>
  <c r="J29" i="24"/>
  <c r="J7" i="17"/>
  <c r="J36" i="22"/>
  <c r="J37" i="15"/>
  <c r="J36" i="18"/>
  <c r="H32" i="27"/>
  <c r="I32" i="27" s="1"/>
  <c r="AM30" i="29" s="1"/>
  <c r="J24" i="22"/>
  <c r="J33" i="13"/>
  <c r="J23" i="23"/>
  <c r="J34" i="12"/>
  <c r="J25" i="14"/>
  <c r="J20" i="6"/>
  <c r="J29" i="14"/>
  <c r="J19" i="24"/>
  <c r="J5" i="24"/>
  <c r="J25" i="22"/>
  <c r="E110" i="21"/>
  <c r="J5" i="17"/>
  <c r="F107" i="21"/>
  <c r="J12" i="13"/>
  <c r="J9" i="20"/>
  <c r="Q128" i="21"/>
  <c r="J6" i="15"/>
  <c r="J25" i="19"/>
  <c r="F138" i="21"/>
  <c r="J38" i="17"/>
  <c r="J17" i="13"/>
  <c r="J26" i="6"/>
  <c r="J9" i="18"/>
  <c r="J22" i="16"/>
  <c r="J13" i="18"/>
  <c r="J28" i="20"/>
  <c r="J37" i="19"/>
  <c r="Q134" i="21"/>
  <c r="J27" i="12"/>
  <c r="J18" i="17"/>
  <c r="J20" i="19"/>
  <c r="J8" i="18"/>
  <c r="J12" i="16"/>
  <c r="E109" i="21"/>
  <c r="H21" i="27"/>
  <c r="AL19" i="29" s="1"/>
  <c r="J13" i="15"/>
  <c r="J28" i="15"/>
  <c r="R135" i="21"/>
  <c r="Z26" i="1"/>
  <c r="P126" i="21"/>
  <c r="F125" i="21"/>
  <c r="J36" i="12"/>
  <c r="R122" i="21"/>
  <c r="J34" i="15"/>
  <c r="R138" i="21"/>
  <c r="J36" i="16"/>
  <c r="J28" i="18"/>
  <c r="Q135" i="21"/>
  <c r="J9" i="6"/>
  <c r="J25" i="20"/>
  <c r="F136" i="21"/>
  <c r="J24" i="24"/>
  <c r="E137" i="21"/>
  <c r="J17" i="22"/>
  <c r="J16" i="14"/>
  <c r="J29" i="19"/>
  <c r="J6" i="17"/>
  <c r="J25" i="13"/>
  <c r="J24" i="14"/>
  <c r="E125" i="21"/>
  <c r="Q112" i="21"/>
  <c r="J19" i="17"/>
  <c r="Q138" i="21"/>
  <c r="J22" i="6"/>
  <c r="J9" i="23"/>
  <c r="J32" i="16"/>
  <c r="J35" i="23"/>
  <c r="J33" i="23"/>
  <c r="G138" i="21"/>
  <c r="J37" i="12"/>
  <c r="J26" i="17"/>
  <c r="J26" i="16"/>
  <c r="J22" i="5"/>
  <c r="B24" i="27"/>
  <c r="A24" i="31" s="1"/>
  <c r="J30" i="19"/>
  <c r="S112" i="21"/>
  <c r="J20" i="23"/>
  <c r="J21" i="22"/>
  <c r="J23" i="12"/>
  <c r="J14" i="6"/>
  <c r="J7" i="19"/>
  <c r="J9" i="19"/>
  <c r="J18" i="14"/>
  <c r="J18" i="12"/>
  <c r="J11" i="22"/>
  <c r="J13" i="20"/>
  <c r="P112" i="21"/>
  <c r="Z12" i="1"/>
  <c r="Q114" i="21"/>
  <c r="Y10" i="1"/>
  <c r="AA10" i="1"/>
  <c r="AA9" i="1"/>
  <c r="P109" i="21"/>
  <c r="J7" i="5"/>
  <c r="B9" i="27"/>
  <c r="B7" i="32" s="1"/>
  <c r="R132" i="21"/>
  <c r="J18" i="18"/>
  <c r="J37" i="17"/>
  <c r="F117" i="21"/>
  <c r="J12" i="19"/>
  <c r="J36" i="23"/>
  <c r="R107" i="21"/>
  <c r="R121" i="21"/>
  <c r="J38" i="24"/>
  <c r="J21" i="17"/>
  <c r="G110" i="21"/>
  <c r="R130" i="21"/>
  <c r="J10" i="5"/>
  <c r="B12" i="27"/>
  <c r="J16" i="15"/>
  <c r="J31" i="24"/>
  <c r="J20" i="22"/>
  <c r="J4" i="15"/>
  <c r="E112" i="21"/>
  <c r="J25" i="15"/>
  <c r="J38" i="18"/>
  <c r="J20" i="24"/>
  <c r="G128" i="21"/>
  <c r="G118" i="21"/>
  <c r="J37" i="13"/>
  <c r="Q124" i="21"/>
  <c r="J4" i="22"/>
  <c r="J26" i="14"/>
  <c r="J18" i="13"/>
  <c r="J33" i="14"/>
  <c r="J36" i="17"/>
  <c r="S116" i="21"/>
  <c r="J4" i="24"/>
  <c r="R117" i="21"/>
  <c r="R111" i="21"/>
  <c r="J15" i="16"/>
  <c r="J30" i="22"/>
  <c r="J25" i="5"/>
  <c r="B27" i="27"/>
  <c r="A27" i="31" s="1"/>
  <c r="Q118" i="21"/>
  <c r="J14" i="14"/>
  <c r="J10" i="16"/>
  <c r="J7" i="24"/>
  <c r="J21" i="24"/>
  <c r="J26" i="23"/>
  <c r="F128" i="21"/>
  <c r="J32" i="15"/>
  <c r="J10" i="23"/>
  <c r="H16" i="27"/>
  <c r="AL14" i="29" s="1"/>
  <c r="J19" i="19"/>
  <c r="J24" i="13"/>
  <c r="J26" i="15"/>
  <c r="J10" i="24"/>
  <c r="J33" i="6"/>
  <c r="J34" i="16"/>
  <c r="G120" i="21"/>
  <c r="J25" i="18"/>
  <c r="J32" i="6"/>
  <c r="J38" i="20"/>
  <c r="J35" i="12"/>
  <c r="J23" i="22"/>
  <c r="J22" i="24"/>
  <c r="J5" i="6"/>
  <c r="Q109" i="21"/>
  <c r="J22" i="23"/>
  <c r="B25" i="27"/>
  <c r="B23" i="32" s="1"/>
  <c r="J23" i="5"/>
  <c r="J13" i="14"/>
  <c r="G112" i="21"/>
  <c r="J27" i="23"/>
  <c r="J35" i="17"/>
  <c r="Y26" i="1"/>
  <c r="P125" i="21"/>
  <c r="AA26" i="1"/>
  <c r="AA25" i="1"/>
  <c r="J14" i="13"/>
  <c r="J11" i="19"/>
  <c r="J31" i="18"/>
  <c r="H39" i="27"/>
  <c r="AL37" i="29" s="1"/>
  <c r="J12" i="20"/>
  <c r="H35" i="27"/>
  <c r="AL33" i="29" s="1"/>
  <c r="J4" i="14"/>
  <c r="J20" i="16"/>
  <c r="B39" i="27"/>
  <c r="A39" i="31" s="1"/>
  <c r="J37" i="5"/>
  <c r="J34" i="17"/>
  <c r="J16" i="24"/>
  <c r="J13" i="6"/>
  <c r="J21" i="14"/>
  <c r="J37" i="20"/>
  <c r="J12" i="17"/>
  <c r="J27" i="22"/>
  <c r="F127" i="21"/>
  <c r="J21" i="6"/>
  <c r="J14" i="5"/>
  <c r="B16" i="27"/>
  <c r="A16" i="31" s="1"/>
  <c r="J36" i="14"/>
  <c r="J24" i="23"/>
  <c r="J28" i="14"/>
  <c r="F126" i="21"/>
  <c r="F129" i="21"/>
  <c r="J16" i="20"/>
  <c r="J34" i="6"/>
  <c r="J34" i="19"/>
  <c r="J22" i="19"/>
  <c r="Q125" i="21"/>
  <c r="J35" i="20"/>
  <c r="J29" i="23"/>
  <c r="J15" i="18"/>
  <c r="J25" i="16"/>
  <c r="J6" i="19"/>
  <c r="E128" i="21"/>
  <c r="J11" i="24"/>
  <c r="R123" i="21"/>
  <c r="J10" i="17"/>
  <c r="J33" i="12"/>
  <c r="J16" i="19"/>
  <c r="J25" i="17"/>
  <c r="F114" i="21"/>
  <c r="E116" i="21"/>
  <c r="E114" i="21"/>
  <c r="R136" i="21"/>
  <c r="J16" i="13"/>
  <c r="J29" i="12"/>
  <c r="J38" i="15"/>
  <c r="J11" i="15"/>
  <c r="J29" i="15"/>
  <c r="J5" i="22"/>
  <c r="J24" i="17"/>
  <c r="J32" i="20"/>
  <c r="J14" i="12"/>
  <c r="F116" i="21"/>
  <c r="J35" i="18"/>
  <c r="J23" i="6"/>
  <c r="J8" i="19"/>
  <c r="J38" i="13"/>
  <c r="R128" i="21"/>
  <c r="J20" i="17"/>
  <c r="J18" i="23"/>
  <c r="J12" i="24"/>
  <c r="J7" i="22"/>
  <c r="J16" i="6"/>
  <c r="J9" i="17"/>
  <c r="J26" i="22"/>
  <c r="J10" i="19"/>
  <c r="J29" i="5"/>
  <c r="B31" i="27"/>
  <c r="B29" i="32" s="1"/>
  <c r="J15" i="20"/>
  <c r="R127" i="21"/>
  <c r="J5" i="18"/>
  <c r="J11" i="17"/>
  <c r="J11" i="23"/>
  <c r="J37" i="22"/>
  <c r="E123" i="21"/>
  <c r="J10" i="6"/>
  <c r="J23" i="17"/>
  <c r="J36" i="20"/>
  <c r="J27" i="15"/>
  <c r="J11" i="12"/>
  <c r="J11" i="16"/>
  <c r="E122" i="21"/>
  <c r="E119" i="21"/>
  <c r="J37" i="6"/>
  <c r="J6" i="14"/>
  <c r="J37" i="18"/>
  <c r="J38" i="19"/>
  <c r="J34" i="18"/>
  <c r="J21" i="12"/>
  <c r="P110" i="21"/>
  <c r="Z10" i="1"/>
  <c r="J4" i="20"/>
  <c r="H37" i="27"/>
  <c r="AL35" i="29" s="1"/>
  <c r="J38" i="12"/>
  <c r="J11" i="18"/>
  <c r="J5" i="5"/>
  <c r="B7" i="27"/>
  <c r="A7" i="31" s="1"/>
  <c r="J5" i="20"/>
  <c r="J33" i="18"/>
  <c r="J30" i="6"/>
  <c r="J32" i="19"/>
  <c r="J8" i="6"/>
  <c r="J19" i="20"/>
  <c r="J11" i="20"/>
  <c r="F110" i="21"/>
  <c r="J31" i="13"/>
  <c r="F113" i="21"/>
  <c r="E133" i="21"/>
  <c r="B38" i="27"/>
  <c r="A38" i="31" s="1"/>
  <c r="J36" i="5"/>
  <c r="J6" i="24"/>
  <c r="J31" i="19"/>
  <c r="F120" i="21"/>
  <c r="J27" i="6"/>
  <c r="J18" i="15"/>
  <c r="J22" i="14"/>
  <c r="J29" i="6"/>
  <c r="J30" i="14"/>
  <c r="J30" i="15"/>
  <c r="G122" i="21"/>
  <c r="J5" i="23"/>
  <c r="R134" i="21"/>
  <c r="J7" i="13"/>
  <c r="J4" i="6"/>
  <c r="J33" i="17"/>
  <c r="J9" i="24"/>
  <c r="E132" i="21"/>
  <c r="F132" i="21"/>
  <c r="J19" i="18"/>
  <c r="J16" i="22"/>
  <c r="J17" i="15"/>
  <c r="J14" i="15"/>
  <c r="J13" i="22"/>
  <c r="J17" i="14"/>
  <c r="J26" i="24"/>
  <c r="F131" i="21"/>
  <c r="J36" i="6"/>
  <c r="J30" i="17"/>
  <c r="J37" i="14"/>
  <c r="E120" i="21"/>
  <c r="J32" i="5"/>
  <c r="B34" i="27"/>
  <c r="A34" i="31" s="1"/>
  <c r="J31" i="6"/>
  <c r="J9" i="16"/>
  <c r="E115" i="21"/>
  <c r="J12" i="12"/>
  <c r="J15" i="6"/>
  <c r="J6" i="20"/>
  <c r="H40" i="27"/>
  <c r="AL38" i="29" s="1"/>
  <c r="J15" i="14"/>
  <c r="J35" i="16"/>
  <c r="J4" i="18"/>
  <c r="J32" i="22"/>
  <c r="J33" i="20"/>
  <c r="J20" i="12"/>
  <c r="J4" i="5"/>
  <c r="B6" i="27"/>
  <c r="A6" i="31" s="1"/>
  <c r="J4" i="12"/>
  <c r="J28" i="16"/>
  <c r="J8" i="20"/>
  <c r="J7" i="14"/>
  <c r="J8" i="12"/>
  <c r="J24" i="15"/>
  <c r="J31" i="16"/>
  <c r="J15" i="19"/>
  <c r="J6" i="18"/>
  <c r="J4" i="19"/>
  <c r="J35" i="15"/>
  <c r="E126" i="21"/>
  <c r="J4" i="13"/>
  <c r="Q110" i="21"/>
  <c r="J26" i="19"/>
  <c r="J22" i="13"/>
  <c r="J32" i="12"/>
  <c r="J7" i="15"/>
  <c r="R131" i="21"/>
  <c r="J19" i="22"/>
  <c r="J29" i="18"/>
  <c r="J15" i="23"/>
  <c r="J36" i="13"/>
  <c r="J22" i="18"/>
  <c r="J6" i="16"/>
  <c r="J18" i="22"/>
  <c r="D111" i="21"/>
  <c r="D11" i="21"/>
  <c r="L11" i="21" s="1"/>
  <c r="M12" i="1"/>
  <c r="J23" i="24"/>
  <c r="R125" i="21"/>
  <c r="J19" i="16"/>
  <c r="J29" i="20"/>
  <c r="J8" i="24"/>
  <c r="J21" i="15"/>
  <c r="J12" i="6"/>
  <c r="J5" i="12"/>
  <c r="J11" i="14"/>
  <c r="R109" i="21"/>
  <c r="J9" i="14"/>
  <c r="J25" i="24"/>
  <c r="H38" i="27"/>
  <c r="I38" i="27" s="1"/>
  <c r="AM36" i="29" s="1"/>
  <c r="J14" i="18"/>
  <c r="J21" i="18"/>
  <c r="J17" i="20"/>
  <c r="J30" i="16"/>
  <c r="J35" i="5"/>
  <c r="B37" i="27"/>
  <c r="J20" i="15"/>
  <c r="J29" i="13"/>
  <c r="F121" i="21"/>
  <c r="J9" i="15"/>
  <c r="F108" i="21"/>
  <c r="J7" i="6"/>
  <c r="J31" i="22"/>
  <c r="J37" i="24"/>
  <c r="J14" i="16"/>
  <c r="Q122" i="21"/>
  <c r="J15" i="22"/>
  <c r="J8" i="17"/>
  <c r="J20" i="13"/>
  <c r="J27" i="14"/>
  <c r="J29" i="17"/>
  <c r="J38" i="14"/>
  <c r="G126" i="21"/>
  <c r="J19" i="13"/>
  <c r="J30" i="13"/>
  <c r="J37" i="23"/>
  <c r="E130" i="21"/>
  <c r="J32" i="23"/>
  <c r="B13" i="27"/>
  <c r="B11" i="32" s="1"/>
  <c r="J11" i="5"/>
  <c r="J31" i="15"/>
  <c r="J24" i="16"/>
  <c r="J22" i="20"/>
  <c r="J10" i="18"/>
  <c r="J14" i="22"/>
  <c r="J28" i="13"/>
  <c r="R112" i="21"/>
  <c r="J32" i="24"/>
  <c r="J12" i="18"/>
  <c r="J16" i="17"/>
  <c r="J22" i="12"/>
  <c r="J5" i="14"/>
  <c r="J16" i="18"/>
  <c r="J34" i="5"/>
  <c r="B36" i="27"/>
  <c r="A36" i="31" s="1"/>
  <c r="J27" i="13"/>
  <c r="G106" i="21"/>
  <c r="J19" i="15"/>
  <c r="J28" i="19"/>
  <c r="J6" i="22"/>
  <c r="J15" i="17"/>
  <c r="J28" i="23"/>
  <c r="J28" i="12"/>
  <c r="J38" i="16"/>
  <c r="J34" i="13"/>
  <c r="R118" i="21"/>
  <c r="J34" i="20"/>
  <c r="J26" i="12"/>
  <c r="J19" i="5"/>
  <c r="B21" i="27"/>
  <c r="B19" i="32" s="1"/>
  <c r="J18" i="19"/>
  <c r="J7" i="18"/>
  <c r="J35" i="14"/>
  <c r="J13" i="19"/>
  <c r="J13" i="24"/>
  <c r="J35" i="24"/>
  <c r="J27" i="16"/>
  <c r="F134" i="21"/>
  <c r="J33" i="24"/>
  <c r="J36" i="24"/>
  <c r="J14" i="23"/>
  <c r="J4" i="16"/>
  <c r="B32" i="27"/>
  <c r="A32" i="31" s="1"/>
  <c r="J30" i="5"/>
  <c r="J24" i="12"/>
  <c r="J23" i="13"/>
  <c r="H31" i="27"/>
  <c r="I31" i="27" s="1"/>
  <c r="AM29" i="29" s="1"/>
  <c r="S130" i="21"/>
  <c r="J21" i="23"/>
  <c r="J17" i="18"/>
  <c r="H9" i="27"/>
  <c r="I9" i="27" s="1"/>
  <c r="AM7" i="29" s="1"/>
  <c r="E131" i="21"/>
  <c r="J34" i="24"/>
  <c r="R106" i="21"/>
  <c r="J35" i="13"/>
  <c r="J26" i="18"/>
  <c r="F109" i="21"/>
  <c r="J13" i="17"/>
  <c r="J6" i="6"/>
  <c r="E106" i="21"/>
  <c r="B22" i="27"/>
  <c r="B20" i="32" s="1"/>
  <c r="J20" i="5"/>
  <c r="J31" i="23"/>
  <c r="G132" i="21"/>
  <c r="J12" i="22"/>
  <c r="R105" i="21"/>
  <c r="Q111" i="21"/>
  <c r="J14" i="20"/>
  <c r="J15" i="5"/>
  <c r="B17" i="27"/>
  <c r="B15" i="32" s="1"/>
  <c r="E111" i="21"/>
  <c r="J38" i="22"/>
  <c r="J6" i="12"/>
  <c r="J5" i="13"/>
  <c r="R113" i="21"/>
  <c r="J10" i="13"/>
  <c r="Q108" i="21"/>
  <c r="B20" i="27"/>
  <c r="B18" i="32" s="1"/>
  <c r="J18" i="5"/>
  <c r="S110" i="21"/>
  <c r="J24" i="20"/>
  <c r="J30" i="18"/>
  <c r="F112" i="21"/>
  <c r="J14" i="17"/>
  <c r="G124" i="21"/>
  <c r="J30" i="12"/>
  <c r="J37" i="16"/>
  <c r="J14" i="24"/>
  <c r="J6" i="23"/>
  <c r="Q116" i="21"/>
  <c r="J22" i="22"/>
  <c r="J9" i="12"/>
  <c r="J11" i="6"/>
  <c r="J36" i="19"/>
  <c r="R119" i="21"/>
  <c r="E117" i="21"/>
  <c r="J24" i="19"/>
  <c r="J29" i="22"/>
  <c r="Q133" i="21"/>
  <c r="J27" i="20"/>
  <c r="J23" i="18"/>
  <c r="J21" i="16"/>
  <c r="X333" i="21"/>
  <c r="V333" i="21" s="1"/>
  <c r="AA312" i="21"/>
  <c r="G49" i="12" s="1"/>
  <c r="D49" i="12"/>
  <c r="AA511" i="21"/>
  <c r="G48" i="15" s="1"/>
  <c r="X534" i="21"/>
  <c r="V534" i="21" s="1"/>
  <c r="D48" i="15"/>
  <c r="C50" i="15"/>
  <c r="W514" i="21"/>
  <c r="X513" i="21" s="1"/>
  <c r="W532" i="21"/>
  <c r="Z513" i="21"/>
  <c r="E50" i="15" s="1"/>
  <c r="X1315" i="21"/>
  <c r="W1329" i="21"/>
  <c r="W1317" i="21"/>
  <c r="Z1316" i="21"/>
  <c r="X1331" i="21"/>
  <c r="V1331" i="21" s="1"/>
  <c r="AA1314" i="21"/>
  <c r="Z314" i="21"/>
  <c r="E51" i="12" s="1"/>
  <c r="W315" i="21"/>
  <c r="X314" i="21" s="1"/>
  <c r="C51" i="12"/>
  <c r="W331" i="21"/>
  <c r="R142" i="21"/>
  <c r="Q142" i="21"/>
  <c r="F142" i="21"/>
  <c r="E142" i="21"/>
  <c r="G142" i="21"/>
  <c r="R141" i="21"/>
  <c r="E141" i="21"/>
  <c r="F141" i="21"/>
  <c r="W815" i="21"/>
  <c r="X814" i="21" s="1"/>
  <c r="Z814" i="21"/>
  <c r="E51" i="23" s="1"/>
  <c r="W831" i="21"/>
  <c r="C51" i="23"/>
  <c r="X632" i="21"/>
  <c r="V632" i="21" s="1"/>
  <c r="AA613" i="21"/>
  <c r="G50" i="16" s="1"/>
  <c r="D50" i="16"/>
  <c r="Z115" i="21"/>
  <c r="E52" i="6" s="1"/>
  <c r="C52" i="6"/>
  <c r="W130" i="21"/>
  <c r="W116" i="21"/>
  <c r="X115" i="21" s="1"/>
  <c r="AA13" i="21"/>
  <c r="G50" i="5" s="1"/>
  <c r="D50" i="5"/>
  <c r="X32" i="21"/>
  <c r="V32" i="21" s="1"/>
  <c r="C49" i="17"/>
  <c r="W1133" i="21"/>
  <c r="W1113" i="21"/>
  <c r="X1112" i="21" s="1"/>
  <c r="Z1112" i="21"/>
  <c r="E49" i="17" s="1"/>
  <c r="X1232" i="21"/>
  <c r="V1232" i="21" s="1"/>
  <c r="AA1213" i="21"/>
  <c r="G50" i="19" s="1"/>
  <c r="D50" i="19"/>
  <c r="X1034" i="21"/>
  <c r="V1034" i="21" s="1"/>
  <c r="D48" i="13"/>
  <c r="AA1011" i="21"/>
  <c r="G48" i="13" s="1"/>
  <c r="W217" i="21"/>
  <c r="X216" i="21" s="1"/>
  <c r="W229" i="21"/>
  <c r="Z216" i="21"/>
  <c r="E53" i="20" s="1"/>
  <c r="C53" i="20"/>
  <c r="E51" i="18"/>
  <c r="C51" i="18"/>
  <c r="X833" i="21"/>
  <c r="V833" i="21" s="1"/>
  <c r="D49" i="23"/>
  <c r="AA812" i="21"/>
  <c r="G49" i="23" s="1"/>
  <c r="W1431" i="21"/>
  <c r="X1413" i="21"/>
  <c r="W1415" i="21"/>
  <c r="C58" i="27"/>
  <c r="Z1414" i="21"/>
  <c r="C49" i="22"/>
  <c r="W733" i="21"/>
  <c r="W713" i="21"/>
  <c r="X712" i="21" s="1"/>
  <c r="Z712" i="21"/>
  <c r="E49" i="22" s="1"/>
  <c r="D48" i="14"/>
  <c r="X434" i="21"/>
  <c r="V434" i="21" s="1"/>
  <c r="AA411" i="21"/>
  <c r="G48" i="14" s="1"/>
  <c r="W414" i="21"/>
  <c r="X413" i="21" s="1"/>
  <c r="W432" i="21"/>
  <c r="C50" i="14"/>
  <c r="Z413" i="21"/>
  <c r="E50" i="14" s="1"/>
  <c r="G49" i="18"/>
  <c r="D49" i="18"/>
  <c r="AA113" i="21"/>
  <c r="G50" i="6" s="1"/>
  <c r="D50" i="6"/>
  <c r="X132" i="21"/>
  <c r="V132" i="21" s="1"/>
  <c r="C52" i="5"/>
  <c r="W16" i="21"/>
  <c r="X15" i="21" s="1"/>
  <c r="W30" i="21"/>
  <c r="Z15" i="21"/>
  <c r="E52" i="5" s="1"/>
  <c r="D47" i="17"/>
  <c r="X1135" i="21"/>
  <c r="V1135" i="21" s="1"/>
  <c r="AA1110" i="21"/>
  <c r="G47" i="17" s="1"/>
  <c r="W916" i="21"/>
  <c r="X915" i="21" s="1"/>
  <c r="W930" i="21"/>
  <c r="C52" i="24"/>
  <c r="Z915" i="21"/>
  <c r="E52" i="24" s="1"/>
  <c r="Z1013" i="21"/>
  <c r="E50" i="13" s="1"/>
  <c r="W1032" i="21"/>
  <c r="C50" i="13"/>
  <c r="W1014" i="21"/>
  <c r="X1013" i="21" s="1"/>
  <c r="X231" i="21"/>
  <c r="V231" i="21" s="1"/>
  <c r="D51" i="20"/>
  <c r="AA214" i="21"/>
  <c r="G51" i="20" s="1"/>
  <c r="A45" i="1"/>
  <c r="W630" i="21"/>
  <c r="Z615" i="21"/>
  <c r="E52" i="16" s="1"/>
  <c r="W616" i="21"/>
  <c r="X615" i="21" s="1"/>
  <c r="C52" i="16"/>
  <c r="X1433" i="21"/>
  <c r="V1433" i="21" s="1"/>
  <c r="AA1412" i="21"/>
  <c r="D56" i="27"/>
  <c r="D47" i="22"/>
  <c r="X735" i="21"/>
  <c r="V735" i="21" s="1"/>
  <c r="AA710" i="21"/>
  <c r="G47" i="22" s="1"/>
  <c r="AA913" i="21"/>
  <c r="G50" i="24" s="1"/>
  <c r="D50" i="24"/>
  <c r="X932" i="21"/>
  <c r="V932" i="21" s="1"/>
  <c r="W1216" i="21"/>
  <c r="X1215" i="21" s="1"/>
  <c r="W1230" i="21"/>
  <c r="Z1215" i="21"/>
  <c r="E52" i="19" s="1"/>
  <c r="C52" i="19"/>
  <c r="AF14" i="29"/>
  <c r="R43" i="1"/>
  <c r="AH7" i="29"/>
  <c r="AE16" i="29"/>
  <c r="Q44" i="1"/>
  <c r="U22" i="29"/>
  <c r="X22" i="29"/>
  <c r="AG6" i="29"/>
  <c r="P44" i="1"/>
  <c r="E22" i="29"/>
  <c r="I22" i="29"/>
  <c r="AE14" i="29"/>
  <c r="F43" i="1"/>
  <c r="H22" i="29"/>
  <c r="AH14" i="29"/>
  <c r="D22" i="29"/>
  <c r="AH16" i="29"/>
  <c r="Q43" i="1"/>
  <c r="R44" i="1"/>
  <c r="G22" i="29"/>
  <c r="O7" i="29"/>
  <c r="S44" i="1"/>
  <c r="AG16" i="29"/>
  <c r="V23" i="29"/>
  <c r="AG14" i="29"/>
  <c r="F44" i="1"/>
  <c r="AF16" i="29"/>
  <c r="AF6" i="29"/>
  <c r="E44" i="1"/>
  <c r="AF7" i="29"/>
  <c r="G44" i="1"/>
  <c r="AE6" i="29"/>
  <c r="P43" i="1"/>
  <c r="AE7" i="29"/>
  <c r="W22" i="29"/>
  <c r="AH6" i="29"/>
  <c r="AG7" i="29"/>
  <c r="E43" i="1"/>
  <c r="A9" i="31" l="1"/>
  <c r="B14" i="32"/>
  <c r="B38" i="32"/>
  <c r="B37" i="32"/>
  <c r="I35" i="27"/>
  <c r="AM33" i="29" s="1"/>
  <c r="I16" i="27"/>
  <c r="AM14" i="29" s="1"/>
  <c r="B25" i="32"/>
  <c r="B12" i="32"/>
  <c r="A31" i="31"/>
  <c r="B24" i="32"/>
  <c r="I36" i="27"/>
  <c r="AM34" i="29" s="1"/>
  <c r="A18" i="31"/>
  <c r="A22" i="31"/>
  <c r="AL30" i="29"/>
  <c r="B32" i="32"/>
  <c r="A10" i="31"/>
  <c r="I21" i="27"/>
  <c r="AM19" i="29" s="1"/>
  <c r="AL32" i="29"/>
  <c r="A13" i="31"/>
  <c r="A33" i="31"/>
  <c r="B9" i="32"/>
  <c r="B4" i="32"/>
  <c r="F30" i="21"/>
  <c r="H29" i="21" s="1"/>
  <c r="I29" i="21" s="1"/>
  <c r="N30" i="1" s="1"/>
  <c r="N29" i="1" s="1"/>
  <c r="G27" i="12"/>
  <c r="G26" i="12" s="1"/>
  <c r="I40" i="27"/>
  <c r="AM38" i="29" s="1"/>
  <c r="G27" i="24"/>
  <c r="G26" i="24" s="1"/>
  <c r="A35" i="31"/>
  <c r="I37" i="27"/>
  <c r="AM35" i="29" s="1"/>
  <c r="G27" i="5"/>
  <c r="G26" i="5" s="1"/>
  <c r="AL16" i="29"/>
  <c r="G27" i="15"/>
  <c r="G26" i="15" s="1"/>
  <c r="G27" i="22"/>
  <c r="G26" i="22" s="1"/>
  <c r="B22" i="32"/>
  <c r="AL29" i="29"/>
  <c r="AL27" i="29"/>
  <c r="F34" i="21"/>
  <c r="H33" i="21" s="1"/>
  <c r="I33" i="21" s="1"/>
  <c r="N34" i="1" s="1"/>
  <c r="G27" i="19"/>
  <c r="G26" i="19" s="1"/>
  <c r="G27" i="20"/>
  <c r="G26" i="20" s="1"/>
  <c r="G27" i="23"/>
  <c r="G26" i="23" s="1"/>
  <c r="G27" i="17"/>
  <c r="G26" i="17" s="1"/>
  <c r="B5" i="32"/>
  <c r="B36" i="32"/>
  <c r="I39" i="27"/>
  <c r="AM37" i="29" s="1"/>
  <c r="A23" i="31"/>
  <c r="G27" i="13"/>
  <c r="G26" i="13" s="1"/>
  <c r="G27" i="16"/>
  <c r="G26" i="16" s="1"/>
  <c r="G27" i="6"/>
  <c r="G26" i="6" s="1"/>
  <c r="G27" i="18"/>
  <c r="G26" i="18" s="1"/>
  <c r="G27" i="14"/>
  <c r="G26" i="14" s="1"/>
  <c r="B34" i="32"/>
  <c r="B26" i="32"/>
  <c r="B30" i="32"/>
  <c r="AL7" i="29"/>
  <c r="B6" i="32"/>
  <c r="B10" i="32"/>
  <c r="A12" i="31"/>
  <c r="A21" i="31"/>
  <c r="AL36" i="29"/>
  <c r="D12" i="21"/>
  <c r="AL6" i="29"/>
  <c r="I8" i="27"/>
  <c r="AM6" i="29" s="1"/>
  <c r="A30" i="31"/>
  <c r="AL23" i="29"/>
  <c r="A25" i="31"/>
  <c r="B13" i="32"/>
  <c r="A29" i="31"/>
  <c r="A20" i="31"/>
  <c r="A17" i="31"/>
  <c r="A19" i="31"/>
  <c r="B35" i="32"/>
  <c r="A37" i="31"/>
  <c r="X1330" i="21"/>
  <c r="V1330" i="21" s="1"/>
  <c r="AA1315" i="21"/>
  <c r="AA313" i="21"/>
  <c r="G50" i="12" s="1"/>
  <c r="D50" i="12"/>
  <c r="X332" i="21"/>
  <c r="V332" i="21" s="1"/>
  <c r="Z315" i="21"/>
  <c r="E52" i="12" s="1"/>
  <c r="C52" i="12"/>
  <c r="W330" i="21"/>
  <c r="W316" i="21"/>
  <c r="X315" i="21" s="1"/>
  <c r="Z514" i="21"/>
  <c r="E51" i="15" s="1"/>
  <c r="C51" i="15"/>
  <c r="W531" i="21"/>
  <c r="W515" i="21"/>
  <c r="X514" i="21" s="1"/>
  <c r="W1318" i="21"/>
  <c r="W1328" i="21"/>
  <c r="X1316" i="21"/>
  <c r="Z1317" i="21"/>
  <c r="X533" i="21"/>
  <c r="V533" i="21" s="1"/>
  <c r="D49" i="15"/>
  <c r="AA512" i="21"/>
  <c r="G49" i="15" s="1"/>
  <c r="F144" i="21"/>
  <c r="R143" i="21"/>
  <c r="Q144" i="21"/>
  <c r="S144" i="21"/>
  <c r="G144" i="21"/>
  <c r="R144" i="21"/>
  <c r="AA43" i="1"/>
  <c r="AA44" i="1"/>
  <c r="P143" i="21"/>
  <c r="Y44" i="1"/>
  <c r="E144" i="21"/>
  <c r="F143" i="21"/>
  <c r="E143" i="21"/>
  <c r="Q143" i="21"/>
  <c r="Z44" i="1"/>
  <c r="P144" i="21"/>
  <c r="W1229" i="21"/>
  <c r="C53" i="19"/>
  <c r="Z1216" i="21"/>
  <c r="E53" i="19" s="1"/>
  <c r="W1217" i="21"/>
  <c r="X1216" i="21" s="1"/>
  <c r="A47" i="1"/>
  <c r="X433" i="21"/>
  <c r="V433" i="21" s="1"/>
  <c r="AA412" i="21"/>
  <c r="G49" i="14" s="1"/>
  <c r="D49" i="14"/>
  <c r="D57" i="27"/>
  <c r="X1432" i="21"/>
  <c r="V1432" i="21" s="1"/>
  <c r="AA1413" i="21"/>
  <c r="D52" i="20"/>
  <c r="X230" i="21"/>
  <c r="V230" i="21" s="1"/>
  <c r="AA215" i="21"/>
  <c r="G52" i="20" s="1"/>
  <c r="C50" i="17"/>
  <c r="W1132" i="21"/>
  <c r="Z1113" i="21"/>
  <c r="E50" i="17" s="1"/>
  <c r="W1114" i="21"/>
  <c r="X1113" i="21" s="1"/>
  <c r="Z815" i="21"/>
  <c r="E52" i="23" s="1"/>
  <c r="W816" i="21"/>
  <c r="X815" i="21" s="1"/>
  <c r="C52" i="23"/>
  <c r="W830" i="21"/>
  <c r="D51" i="19"/>
  <c r="AA1214" i="21"/>
  <c r="G51" i="19" s="1"/>
  <c r="X1231" i="21"/>
  <c r="V1231" i="21" s="1"/>
  <c r="AA614" i="21"/>
  <c r="G51" i="16" s="1"/>
  <c r="D51" i="16"/>
  <c r="X631" i="21"/>
  <c r="V631" i="21" s="1"/>
  <c r="D49" i="13"/>
  <c r="X1033" i="21"/>
  <c r="V1033" i="21" s="1"/>
  <c r="AA1012" i="21"/>
  <c r="G49" i="13" s="1"/>
  <c r="AA14" i="21"/>
  <c r="G51" i="5" s="1"/>
  <c r="X31" i="21"/>
  <c r="D51" i="5"/>
  <c r="C51" i="14"/>
  <c r="W431" i="21"/>
  <c r="Z414" i="21"/>
  <c r="E51" i="14" s="1"/>
  <c r="W415" i="21"/>
  <c r="X414" i="21" s="1"/>
  <c r="C50" i="22"/>
  <c r="Z713" i="21"/>
  <c r="E50" i="22" s="1"/>
  <c r="W714" i="21"/>
  <c r="X713" i="21" s="1"/>
  <c r="W732" i="21"/>
  <c r="G50" i="18"/>
  <c r="D50" i="18"/>
  <c r="X131" i="21"/>
  <c r="V131" i="21" s="1"/>
  <c r="D51" i="6"/>
  <c r="AA114" i="21"/>
  <c r="G51" i="6" s="1"/>
  <c r="X832" i="21"/>
  <c r="V832" i="21" s="1"/>
  <c r="D50" i="23"/>
  <c r="AA813" i="21"/>
  <c r="G50" i="23" s="1"/>
  <c r="W629" i="21"/>
  <c r="W617" i="21"/>
  <c r="X616" i="21" s="1"/>
  <c r="C53" i="16"/>
  <c r="Z616" i="21"/>
  <c r="E53" i="16" s="1"/>
  <c r="W1015" i="21"/>
  <c r="X1014" i="21" s="1"/>
  <c r="C51" i="13"/>
  <c r="W1031" i="21"/>
  <c r="Z1014" i="21"/>
  <c r="E51" i="13" s="1"/>
  <c r="D51" i="24"/>
  <c r="X931" i="21"/>
  <c r="V931" i="21" s="1"/>
  <c r="AA914" i="21"/>
  <c r="G51" i="24" s="1"/>
  <c r="W29" i="21"/>
  <c r="Z16" i="21"/>
  <c r="E53" i="5" s="1"/>
  <c r="W17" i="21"/>
  <c r="X16" i="21" s="1"/>
  <c r="C53" i="5"/>
  <c r="D48" i="22"/>
  <c r="X734" i="21"/>
  <c r="V734" i="21" s="1"/>
  <c r="AA711" i="21"/>
  <c r="G48" i="22" s="1"/>
  <c r="C52" i="18"/>
  <c r="E52" i="18"/>
  <c r="D48" i="17"/>
  <c r="X1134" i="21"/>
  <c r="V1134" i="21" s="1"/>
  <c r="AA1111" i="21"/>
  <c r="G48" i="17" s="1"/>
  <c r="W117" i="21"/>
  <c r="X116" i="21" s="1"/>
  <c r="C53" i="6"/>
  <c r="W129" i="21"/>
  <c r="Z116" i="21"/>
  <c r="E53" i="6" s="1"/>
  <c r="W929" i="21"/>
  <c r="W917" i="21"/>
  <c r="X916" i="21" s="1"/>
  <c r="Z916" i="21"/>
  <c r="E53" i="24" s="1"/>
  <c r="C53" i="24"/>
  <c r="X1414" i="21"/>
  <c r="W1430" i="21"/>
  <c r="W1416" i="21"/>
  <c r="C59" i="27"/>
  <c r="Z1415" i="21"/>
  <c r="W218" i="21"/>
  <c r="X217" i="21" s="1"/>
  <c r="Z217" i="21"/>
  <c r="E54" i="20" s="1"/>
  <c r="C54" i="20"/>
  <c r="W228" i="21"/>
  <c r="P16" i="29"/>
  <c r="G46" i="1"/>
  <c r="R45" i="1"/>
  <c r="Q46" i="1"/>
  <c r="I23" i="29"/>
  <c r="T23" i="29"/>
  <c r="AG23" i="29"/>
  <c r="D23" i="29"/>
  <c r="E23" i="29"/>
  <c r="AE23" i="29"/>
  <c r="U23" i="29"/>
  <c r="AH23" i="29"/>
  <c r="W23" i="29"/>
  <c r="S23" i="29"/>
  <c r="G23" i="29"/>
  <c r="H23" i="29"/>
  <c r="X23" i="29"/>
  <c r="F45" i="1"/>
  <c r="P18" i="29"/>
  <c r="Y23" i="29"/>
  <c r="E46" i="1"/>
  <c r="F46" i="1"/>
  <c r="P46" i="1"/>
  <c r="R46" i="1"/>
  <c r="E45" i="1"/>
  <c r="AF23" i="29"/>
  <c r="N30" i="21" l="1"/>
  <c r="P29" i="21" s="1"/>
  <c r="Q29" i="21" s="1"/>
  <c r="N33" i="1"/>
  <c r="L12" i="21"/>
  <c r="M11" i="21" s="1"/>
  <c r="E11" i="21"/>
  <c r="V31" i="21"/>
  <c r="AA513" i="21"/>
  <c r="G50" i="15" s="1"/>
  <c r="D50" i="15"/>
  <c r="X532" i="21"/>
  <c r="V532" i="21" s="1"/>
  <c r="C53" i="12"/>
  <c r="W329" i="21"/>
  <c r="W317" i="21"/>
  <c r="X316" i="21" s="1"/>
  <c r="Z316" i="21"/>
  <c r="E53" i="12" s="1"/>
  <c r="W1327" i="21"/>
  <c r="X1317" i="21"/>
  <c r="W1319" i="21"/>
  <c r="Z1318" i="21"/>
  <c r="C52" i="15"/>
  <c r="W530" i="21"/>
  <c r="W516" i="21"/>
  <c r="X515" i="21" s="1"/>
  <c r="Z515" i="21"/>
  <c r="E52" i="15" s="1"/>
  <c r="X1329" i="21"/>
  <c r="V1329" i="21" s="1"/>
  <c r="AA1316" i="21"/>
  <c r="X331" i="21"/>
  <c r="V331" i="21" s="1"/>
  <c r="AA314" i="21"/>
  <c r="G51" i="12" s="1"/>
  <c r="D51" i="12"/>
  <c r="G146" i="21"/>
  <c r="F146" i="21"/>
  <c r="R145" i="21"/>
  <c r="E145" i="21"/>
  <c r="P146" i="21"/>
  <c r="Q146" i="21"/>
  <c r="R146" i="21"/>
  <c r="F145" i="21"/>
  <c r="E146" i="21"/>
  <c r="Z17" i="21"/>
  <c r="E54" i="5" s="1"/>
  <c r="W28" i="21"/>
  <c r="W18" i="21"/>
  <c r="X17" i="21" s="1"/>
  <c r="C54" i="5"/>
  <c r="C53" i="23"/>
  <c r="W829" i="21"/>
  <c r="W817" i="21"/>
  <c r="X816" i="21" s="1"/>
  <c r="Z816" i="21"/>
  <c r="E53" i="23" s="1"/>
  <c r="D52" i="6"/>
  <c r="X130" i="21"/>
  <c r="V130" i="21" s="1"/>
  <c r="AA115" i="21"/>
  <c r="G52" i="6" s="1"/>
  <c r="W1030" i="21"/>
  <c r="Z1015" i="21"/>
  <c r="E52" i="13" s="1"/>
  <c r="C52" i="13"/>
  <c r="W1016" i="21"/>
  <c r="X1015" i="21" s="1"/>
  <c r="D50" i="14"/>
  <c r="X432" i="21"/>
  <c r="V432" i="21" s="1"/>
  <c r="AA413" i="21"/>
  <c r="G50" i="14" s="1"/>
  <c r="AA814" i="21"/>
  <c r="G51" i="23" s="1"/>
  <c r="D51" i="23"/>
  <c r="X831" i="21"/>
  <c r="V831" i="21" s="1"/>
  <c r="W1115" i="21"/>
  <c r="X1114" i="21" s="1"/>
  <c r="Z1114" i="21"/>
  <c r="E51" i="17" s="1"/>
  <c r="C51" i="17"/>
  <c r="W1131" i="21"/>
  <c r="X1133" i="21"/>
  <c r="V1133" i="21" s="1"/>
  <c r="AA1112" i="21"/>
  <c r="G49" i="17" s="1"/>
  <c r="D49" i="17"/>
  <c r="C54" i="19"/>
  <c r="W1228" i="21"/>
  <c r="W1218" i="21"/>
  <c r="X1217" i="21" s="1"/>
  <c r="Z1217" i="21"/>
  <c r="E54" i="19" s="1"/>
  <c r="X229" i="21"/>
  <c r="V229" i="21" s="1"/>
  <c r="AA216" i="21"/>
  <c r="G53" i="20" s="1"/>
  <c r="D53" i="20"/>
  <c r="D58" i="27"/>
  <c r="X1431" i="21"/>
  <c r="V1431" i="21" s="1"/>
  <c r="AA1414" i="21"/>
  <c r="AA915" i="21"/>
  <c r="G52" i="24" s="1"/>
  <c r="D52" i="24"/>
  <c r="X930" i="21"/>
  <c r="V930" i="21" s="1"/>
  <c r="D51" i="18"/>
  <c r="G51" i="18"/>
  <c r="W618" i="21"/>
  <c r="X617" i="21" s="1"/>
  <c r="C54" i="16"/>
  <c r="W628" i="21"/>
  <c r="Z617" i="21"/>
  <c r="E54" i="16" s="1"/>
  <c r="A49" i="1"/>
  <c r="X1230" i="21"/>
  <c r="V1230" i="21" s="1"/>
  <c r="D52" i="19"/>
  <c r="AA1215" i="21"/>
  <c r="G52" i="19" s="1"/>
  <c r="C60" i="27"/>
  <c r="X1415" i="21"/>
  <c r="W1417" i="21"/>
  <c r="W1429" i="21"/>
  <c r="Z1416" i="21"/>
  <c r="W928" i="21"/>
  <c r="W918" i="21"/>
  <c r="X917" i="21" s="1"/>
  <c r="Z917" i="21"/>
  <c r="E54" i="24" s="1"/>
  <c r="C54" i="24"/>
  <c r="W118" i="21"/>
  <c r="X117" i="21" s="1"/>
  <c r="C54" i="6"/>
  <c r="W128" i="21"/>
  <c r="Z117" i="21"/>
  <c r="E54" i="6" s="1"/>
  <c r="Z714" i="21"/>
  <c r="E51" i="22" s="1"/>
  <c r="C51" i="22"/>
  <c r="W731" i="21"/>
  <c r="W715" i="21"/>
  <c r="X714" i="21" s="1"/>
  <c r="W219" i="21"/>
  <c r="X218" i="21" s="1"/>
  <c r="C55" i="20"/>
  <c r="W227" i="21"/>
  <c r="Z218" i="21"/>
  <c r="E55" i="20" s="1"/>
  <c r="E53" i="18"/>
  <c r="C53" i="18"/>
  <c r="X30" i="21"/>
  <c r="V30" i="21" s="1"/>
  <c r="AA15" i="21"/>
  <c r="G52" i="5" s="1"/>
  <c r="D52" i="5"/>
  <c r="D50" i="13"/>
  <c r="X1032" i="21"/>
  <c r="V1032" i="21" s="1"/>
  <c r="AA1013" i="21"/>
  <c r="G50" i="13" s="1"/>
  <c r="D52" i="16"/>
  <c r="X630" i="21"/>
  <c r="V630" i="21" s="1"/>
  <c r="AA615" i="21"/>
  <c r="G52" i="16" s="1"/>
  <c r="D49" i="22"/>
  <c r="X733" i="21"/>
  <c r="V733" i="21" s="1"/>
  <c r="AA712" i="21"/>
  <c r="G49" i="22" s="1"/>
  <c r="Z415" i="21"/>
  <c r="E52" i="14" s="1"/>
  <c r="W416" i="21"/>
  <c r="X415" i="21" s="1"/>
  <c r="W430" i="21"/>
  <c r="C52" i="14"/>
  <c r="F48" i="1"/>
  <c r="D41" i="1"/>
  <c r="D19" i="1"/>
  <c r="W24" i="29"/>
  <c r="E47" i="1"/>
  <c r="G24" i="29"/>
  <c r="F47" i="1"/>
  <c r="E24" i="29"/>
  <c r="V24" i="29"/>
  <c r="H24" i="29"/>
  <c r="R47" i="1"/>
  <c r="D24" i="29"/>
  <c r="U24" i="29"/>
  <c r="G48" i="1"/>
  <c r="D13" i="1"/>
  <c r="R48" i="1"/>
  <c r="E48" i="1"/>
  <c r="Q48" i="1"/>
  <c r="W25" i="29" s="1"/>
  <c r="D48" i="1"/>
  <c r="X24" i="29"/>
  <c r="I24" i="29"/>
  <c r="D37" i="1"/>
  <c r="W1326" i="21" l="1"/>
  <c r="X1318" i="21"/>
  <c r="W1320" i="21"/>
  <c r="Z1319" i="21"/>
  <c r="Z317" i="21"/>
  <c r="E54" i="12" s="1"/>
  <c r="W318" i="21"/>
  <c r="X317" i="21" s="1"/>
  <c r="C54" i="12"/>
  <c r="W328" i="21"/>
  <c r="AA514" i="21"/>
  <c r="G51" i="15" s="1"/>
  <c r="D51" i="15"/>
  <c r="X531" i="21"/>
  <c r="V531" i="21" s="1"/>
  <c r="W529" i="21"/>
  <c r="W517" i="21"/>
  <c r="X516" i="21" s="1"/>
  <c r="Z516" i="21"/>
  <c r="E53" i="15" s="1"/>
  <c r="C53" i="15"/>
  <c r="X1328" i="21"/>
  <c r="V1328" i="21" s="1"/>
  <c r="AA1317" i="21"/>
  <c r="D52" i="12"/>
  <c r="X330" i="21"/>
  <c r="V330" i="21" s="1"/>
  <c r="AA315" i="21"/>
  <c r="G52" i="12" s="1"/>
  <c r="F147" i="21"/>
  <c r="F148" i="21"/>
  <c r="E147" i="21"/>
  <c r="Q148" i="21"/>
  <c r="D41" i="21"/>
  <c r="D141" i="21"/>
  <c r="D42" i="21" s="1"/>
  <c r="E148" i="21"/>
  <c r="F47" i="21"/>
  <c r="D148" i="21"/>
  <c r="D19" i="21"/>
  <c r="D119" i="21"/>
  <c r="D20" i="21" s="1"/>
  <c r="D113" i="21"/>
  <c r="D14" i="21" s="1"/>
  <c r="D13" i="21"/>
  <c r="R148" i="21"/>
  <c r="R147" i="21"/>
  <c r="G148" i="21"/>
  <c r="D137" i="21"/>
  <c r="D38" i="21" s="1"/>
  <c r="D37" i="21"/>
  <c r="D52" i="18"/>
  <c r="G52" i="18"/>
  <c r="X732" i="21"/>
  <c r="V732" i="21" s="1"/>
  <c r="AA713" i="21"/>
  <c r="G50" i="22" s="1"/>
  <c r="D50" i="22"/>
  <c r="W127" i="21"/>
  <c r="W119" i="21"/>
  <c r="X118" i="21" s="1"/>
  <c r="Z118" i="21"/>
  <c r="E55" i="6" s="1"/>
  <c r="C55" i="6"/>
  <c r="X1416" i="21"/>
  <c r="W1418" i="21"/>
  <c r="C61" i="27"/>
  <c r="W1428" i="21"/>
  <c r="Z1417" i="21"/>
  <c r="A51" i="1"/>
  <c r="AA1014" i="21"/>
  <c r="G51" i="13" s="1"/>
  <c r="X1031" i="21"/>
  <c r="D51" i="13"/>
  <c r="W828" i="21"/>
  <c r="W818" i="21"/>
  <c r="X817" i="21" s="1"/>
  <c r="Z817" i="21"/>
  <c r="E54" i="23" s="1"/>
  <c r="C54" i="23"/>
  <c r="D54" i="20"/>
  <c r="X228" i="21"/>
  <c r="V228" i="21" s="1"/>
  <c r="AA217" i="21"/>
  <c r="G54" i="20" s="1"/>
  <c r="D59" i="27"/>
  <c r="X1430" i="21"/>
  <c r="V1430" i="21" s="1"/>
  <c r="AA1415" i="21"/>
  <c r="Z1016" i="21"/>
  <c r="E53" i="13" s="1"/>
  <c r="W1017" i="21"/>
  <c r="X1016" i="21" s="1"/>
  <c r="W1029" i="21"/>
  <c r="C53" i="13"/>
  <c r="E54" i="18"/>
  <c r="C54" i="18"/>
  <c r="D53" i="16"/>
  <c r="AA616" i="21"/>
  <c r="G53" i="16" s="1"/>
  <c r="X629" i="21"/>
  <c r="V629" i="21" s="1"/>
  <c r="C52" i="17"/>
  <c r="W1130" i="21"/>
  <c r="W1116" i="21"/>
  <c r="X1115" i="21" s="1"/>
  <c r="Z1115" i="21"/>
  <c r="E52" i="17" s="1"/>
  <c r="W429" i="21"/>
  <c r="Z416" i="21"/>
  <c r="E53" i="14" s="1"/>
  <c r="C53" i="14"/>
  <c r="W417" i="21"/>
  <c r="X416" i="21" s="1"/>
  <c r="D53" i="24"/>
  <c r="AA916" i="21"/>
  <c r="G53" i="24" s="1"/>
  <c r="X929" i="21"/>
  <c r="V929" i="21" s="1"/>
  <c r="X29" i="21"/>
  <c r="V29" i="21" s="1"/>
  <c r="D53" i="5"/>
  <c r="AA16" i="21"/>
  <c r="G53" i="5" s="1"/>
  <c r="D51" i="14"/>
  <c r="X431" i="21"/>
  <c r="V431" i="21" s="1"/>
  <c r="AA414" i="21"/>
  <c r="G51" i="14" s="1"/>
  <c r="W1227" i="21"/>
  <c r="C55" i="19"/>
  <c r="W1219" i="21"/>
  <c r="X1218" i="21" s="1"/>
  <c r="Z1218" i="21"/>
  <c r="E55" i="19" s="1"/>
  <c r="W19" i="21"/>
  <c r="X18" i="21" s="1"/>
  <c r="W27" i="21"/>
  <c r="Z18" i="21"/>
  <c r="E55" i="5" s="1"/>
  <c r="C55" i="5"/>
  <c r="C56" i="20"/>
  <c r="W226" i="21"/>
  <c r="W220" i="21"/>
  <c r="X219" i="21" s="1"/>
  <c r="Z219" i="21"/>
  <c r="E56" i="20" s="1"/>
  <c r="C52" i="22"/>
  <c r="W730" i="21"/>
  <c r="W716" i="21"/>
  <c r="X715" i="21" s="1"/>
  <c r="Z715" i="21"/>
  <c r="E52" i="22" s="1"/>
  <c r="AA116" i="21"/>
  <c r="G53" i="6" s="1"/>
  <c r="X129" i="21"/>
  <c r="V129" i="21" s="1"/>
  <c r="D53" i="6"/>
  <c r="Z918" i="21"/>
  <c r="E55" i="24" s="1"/>
  <c r="W919" i="21"/>
  <c r="X918" i="21" s="1"/>
  <c r="W927" i="21"/>
  <c r="C55" i="24"/>
  <c r="C55" i="16"/>
  <c r="W627" i="21"/>
  <c r="W619" i="21"/>
  <c r="X618" i="21" s="1"/>
  <c r="Z618" i="21"/>
  <c r="E55" i="16" s="1"/>
  <c r="AA1216" i="21"/>
  <c r="G53" i="19" s="1"/>
  <c r="X1229" i="21"/>
  <c r="V1229" i="21" s="1"/>
  <c r="D53" i="19"/>
  <c r="AA1113" i="21"/>
  <c r="G50" i="17" s="1"/>
  <c r="D50" i="17"/>
  <c r="X1132" i="21"/>
  <c r="V1132" i="21" s="1"/>
  <c r="D52" i="23"/>
  <c r="X830" i="21"/>
  <c r="V830" i="21" s="1"/>
  <c r="AA815" i="21"/>
  <c r="G52" i="23" s="1"/>
  <c r="D32" i="1"/>
  <c r="D38" i="1"/>
  <c r="D20" i="1"/>
  <c r="R49" i="1"/>
  <c r="D6" i="1"/>
  <c r="F50" i="1"/>
  <c r="F49" i="1"/>
  <c r="D46" i="1"/>
  <c r="Q50" i="1"/>
  <c r="C8" i="29"/>
  <c r="D28" i="1"/>
  <c r="D22" i="1"/>
  <c r="E50" i="1"/>
  <c r="D49" i="1"/>
  <c r="E49" i="1"/>
  <c r="Q19" i="1"/>
  <c r="D24" i="1"/>
  <c r="R50" i="1"/>
  <c r="D42" i="1"/>
  <c r="E25" i="29"/>
  <c r="S38" i="1"/>
  <c r="Q49" i="1"/>
  <c r="G25" i="29"/>
  <c r="C20" i="29"/>
  <c r="X25" i="29"/>
  <c r="Q41" i="1"/>
  <c r="C22" i="29"/>
  <c r="S48" i="1"/>
  <c r="Q37" i="1"/>
  <c r="Q21" i="1"/>
  <c r="U25" i="29"/>
  <c r="D44" i="1"/>
  <c r="I25" i="29"/>
  <c r="H25" i="29"/>
  <c r="S46" i="1"/>
  <c r="C11" i="29"/>
  <c r="D14" i="1"/>
  <c r="G50" i="1"/>
  <c r="D40" i="1"/>
  <c r="D36" i="1"/>
  <c r="F25" i="29"/>
  <c r="S6" i="1"/>
  <c r="S42" i="1"/>
  <c r="S8" i="1"/>
  <c r="D25" i="29"/>
  <c r="D50" i="1"/>
  <c r="V1031" i="21" l="1"/>
  <c r="D140" i="21"/>
  <c r="F40" i="21" s="1"/>
  <c r="F39" i="21"/>
  <c r="F41" i="21"/>
  <c r="D142" i="21"/>
  <c r="F42" i="21" s="1"/>
  <c r="D124" i="21"/>
  <c r="F24" i="21" s="1"/>
  <c r="F23" i="21"/>
  <c r="F35" i="21"/>
  <c r="D136" i="21"/>
  <c r="F36" i="21" s="1"/>
  <c r="F45" i="21"/>
  <c r="N45" i="21" s="1"/>
  <c r="D146" i="21"/>
  <c r="F46" i="21" s="1"/>
  <c r="D128" i="21"/>
  <c r="F28" i="21" s="1"/>
  <c r="F27" i="21"/>
  <c r="F31" i="21"/>
  <c r="D132" i="21"/>
  <c r="F32" i="21" s="1"/>
  <c r="F13" i="21"/>
  <c r="D114" i="21"/>
  <c r="F14" i="21" s="1"/>
  <c r="D106" i="21"/>
  <c r="F6" i="21" s="1"/>
  <c r="F5" i="21"/>
  <c r="N5" i="21" s="1"/>
  <c r="F21" i="21"/>
  <c r="D122" i="21"/>
  <c r="F22" i="21" s="1"/>
  <c r="D138" i="21"/>
  <c r="F38" i="21" s="1"/>
  <c r="F37" i="21"/>
  <c r="D144" i="21"/>
  <c r="F44" i="21" s="1"/>
  <c r="N44" i="21" s="1"/>
  <c r="F43" i="21"/>
  <c r="F19" i="21"/>
  <c r="D120" i="21"/>
  <c r="F20" i="21" s="1"/>
  <c r="X530" i="21"/>
  <c r="V530" i="21" s="1"/>
  <c r="D52" i="15"/>
  <c r="AA515" i="21"/>
  <c r="G52" i="15" s="1"/>
  <c r="W319" i="21"/>
  <c r="X318" i="21" s="1"/>
  <c r="W327" i="21"/>
  <c r="C55" i="12"/>
  <c r="Z318" i="21"/>
  <c r="E55" i="12" s="1"/>
  <c r="X1319" i="21"/>
  <c r="W1325" i="21"/>
  <c r="Z1320" i="21"/>
  <c r="W518" i="21"/>
  <c r="X517" i="21" s="1"/>
  <c r="W528" i="21"/>
  <c r="C54" i="15"/>
  <c r="Z517" i="21"/>
  <c r="E54" i="15" s="1"/>
  <c r="D53" i="12"/>
  <c r="AA316" i="21"/>
  <c r="G53" i="12" s="1"/>
  <c r="X329" i="21"/>
  <c r="V329" i="21" s="1"/>
  <c r="X1327" i="21"/>
  <c r="V1327" i="21" s="1"/>
  <c r="AA1318" i="21"/>
  <c r="S146" i="21"/>
  <c r="S142" i="21"/>
  <c r="S148" i="21"/>
  <c r="S138" i="21"/>
  <c r="S108" i="21"/>
  <c r="S106" i="21"/>
  <c r="R149" i="21"/>
  <c r="F150" i="21"/>
  <c r="G150" i="21"/>
  <c r="F149" i="21"/>
  <c r="E149" i="21"/>
  <c r="Q137" i="21"/>
  <c r="Q141" i="21"/>
  <c r="Q150" i="21"/>
  <c r="E150" i="21"/>
  <c r="F49" i="21"/>
  <c r="D150" i="21"/>
  <c r="Q121" i="21"/>
  <c r="Q119" i="21"/>
  <c r="D149" i="21"/>
  <c r="D49" i="21"/>
  <c r="R150" i="21"/>
  <c r="Q149" i="21"/>
  <c r="W1117" i="21"/>
  <c r="X1116" i="21" s="1"/>
  <c r="C53" i="17"/>
  <c r="W1129" i="21"/>
  <c r="Z1116" i="21"/>
  <c r="E53" i="17" s="1"/>
  <c r="D52" i="13"/>
  <c r="X1030" i="21"/>
  <c r="V1030" i="21" s="1"/>
  <c r="AA1015" i="21"/>
  <c r="G52" i="13" s="1"/>
  <c r="A53" i="1"/>
  <c r="C62" i="27"/>
  <c r="W1427" i="21"/>
  <c r="X1417" i="21"/>
  <c r="Z1418" i="21"/>
  <c r="W1419" i="21"/>
  <c r="AA117" i="21"/>
  <c r="G54" i="6" s="1"/>
  <c r="D54" i="6"/>
  <c r="X128" i="21"/>
  <c r="V128" i="21" s="1"/>
  <c r="X628" i="21"/>
  <c r="V628" i="21" s="1"/>
  <c r="D54" i="16"/>
  <c r="AA617" i="21"/>
  <c r="G54" i="16" s="1"/>
  <c r="X928" i="21"/>
  <c r="V928" i="21" s="1"/>
  <c r="AA917" i="21"/>
  <c r="G54" i="24" s="1"/>
  <c r="D54" i="24"/>
  <c r="C53" i="22"/>
  <c r="W729" i="21"/>
  <c r="Z716" i="21"/>
  <c r="E53" i="22" s="1"/>
  <c r="W717" i="21"/>
  <c r="X716" i="21" s="1"/>
  <c r="Z1219" i="21"/>
  <c r="E56" i="19" s="1"/>
  <c r="C56" i="19"/>
  <c r="W1226" i="21"/>
  <c r="W1220" i="21"/>
  <c r="X1219" i="21" s="1"/>
  <c r="C55" i="18"/>
  <c r="E55" i="18"/>
  <c r="Z1017" i="21"/>
  <c r="E54" i="13" s="1"/>
  <c r="C54" i="13"/>
  <c r="W1018" i="21"/>
  <c r="X1017" i="21" s="1"/>
  <c r="W1028" i="21"/>
  <c r="C55" i="23"/>
  <c r="W827" i="21"/>
  <c r="W819" i="21"/>
  <c r="X818" i="21" s="1"/>
  <c r="Z818" i="21"/>
  <c r="E55" i="23" s="1"/>
  <c r="D60" i="27"/>
  <c r="X1429" i="21"/>
  <c r="V1429" i="21" s="1"/>
  <c r="AA1416" i="21"/>
  <c r="W120" i="21"/>
  <c r="X119" i="21" s="1"/>
  <c r="W126" i="21"/>
  <c r="Z119" i="21"/>
  <c r="E56" i="6" s="1"/>
  <c r="C56" i="6"/>
  <c r="E19" i="21"/>
  <c r="E41" i="21"/>
  <c r="C56" i="16"/>
  <c r="W620" i="21"/>
  <c r="X619" i="21" s="1"/>
  <c r="Z619" i="21"/>
  <c r="E56" i="16" s="1"/>
  <c r="W626" i="21"/>
  <c r="D55" i="20"/>
  <c r="X227" i="21"/>
  <c r="V227" i="21" s="1"/>
  <c r="AA218" i="21"/>
  <c r="G55" i="20" s="1"/>
  <c r="C57" i="20"/>
  <c r="W225" i="21"/>
  <c r="Z220" i="21"/>
  <c r="E57" i="20" s="1"/>
  <c r="X430" i="21"/>
  <c r="V430" i="21" s="1"/>
  <c r="AA415" i="21"/>
  <c r="G52" i="14" s="1"/>
  <c r="D52" i="14"/>
  <c r="D51" i="17"/>
  <c r="X1131" i="21"/>
  <c r="V1131" i="21" s="1"/>
  <c r="AA1114" i="21"/>
  <c r="G51" i="17" s="1"/>
  <c r="G53" i="18"/>
  <c r="D53" i="18"/>
  <c r="D53" i="23"/>
  <c r="AA816" i="21"/>
  <c r="G53" i="23" s="1"/>
  <c r="X829" i="21"/>
  <c r="V829" i="21" s="1"/>
  <c r="F48" i="21"/>
  <c r="H47" i="21" s="1"/>
  <c r="I47" i="21" s="1"/>
  <c r="N48" i="1" s="1"/>
  <c r="C56" i="24"/>
  <c r="W926" i="21"/>
  <c r="Z919" i="21"/>
  <c r="E56" i="24" s="1"/>
  <c r="W920" i="21"/>
  <c r="X919" i="21" s="1"/>
  <c r="AA714" i="21"/>
  <c r="G51" i="22" s="1"/>
  <c r="D51" i="22"/>
  <c r="X731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1228" i="21"/>
  <c r="V1228" i="21" s="1"/>
  <c r="AA1217" i="21"/>
  <c r="G54" i="19" s="1"/>
  <c r="W418" i="21"/>
  <c r="X417" i="21" s="1"/>
  <c r="C54" i="14"/>
  <c r="W428" i="21"/>
  <c r="Z417" i="21"/>
  <c r="E54" i="14" s="1"/>
  <c r="E37" i="21"/>
  <c r="E13" i="21"/>
  <c r="T26" i="29"/>
  <c r="P25" i="29"/>
  <c r="R51" i="1"/>
  <c r="W26" i="29"/>
  <c r="F8" i="29"/>
  <c r="Y5" i="29"/>
  <c r="Y22" i="29"/>
  <c r="R52" i="1"/>
  <c r="F19" i="29"/>
  <c r="F26" i="29"/>
  <c r="F4" i="29"/>
  <c r="F20" i="29"/>
  <c r="D26" i="29"/>
  <c r="T22" i="29"/>
  <c r="Y25" i="29"/>
  <c r="E26" i="29"/>
  <c r="F17" i="29"/>
  <c r="G26" i="29"/>
  <c r="T12" i="29"/>
  <c r="F15" i="29"/>
  <c r="F21" i="29"/>
  <c r="C26" i="29"/>
  <c r="Q52" i="1"/>
  <c r="F23" i="29"/>
  <c r="X26" i="29"/>
  <c r="S52" i="1"/>
  <c r="F22" i="29"/>
  <c r="Y24" i="29"/>
  <c r="D52" i="1"/>
  <c r="Y20" i="29"/>
  <c r="T20" i="29"/>
  <c r="F11" i="29"/>
  <c r="U26" i="29"/>
  <c r="G52" i="1"/>
  <c r="I26" i="29"/>
  <c r="F52" i="1"/>
  <c r="F13" i="29"/>
  <c r="Q51" i="1"/>
  <c r="T11" i="29"/>
  <c r="F51" i="1"/>
  <c r="E52" i="1"/>
  <c r="H26" i="29"/>
  <c r="E51" i="1"/>
  <c r="F24" i="29"/>
  <c r="Y4" i="29"/>
  <c r="F12" i="29"/>
  <c r="V731" i="21" l="1"/>
  <c r="H27" i="21"/>
  <c r="I27" i="21" s="1"/>
  <c r="N28" i="1" s="1"/>
  <c r="N46" i="21"/>
  <c r="P45" i="21" s="1"/>
  <c r="Q45" i="21" s="1"/>
  <c r="Z46" i="1" s="1"/>
  <c r="H19" i="21"/>
  <c r="I19" i="21" s="1"/>
  <c r="N20" i="1" s="1"/>
  <c r="N19" i="1" s="1"/>
  <c r="H31" i="21"/>
  <c r="I31" i="21" s="1"/>
  <c r="N32" i="1" s="1"/>
  <c r="N6" i="21"/>
  <c r="P5" i="21" s="1"/>
  <c r="Q5" i="21" s="1"/>
  <c r="Z6" i="1" s="1"/>
  <c r="X529" i="21"/>
  <c r="V529" i="21" s="1"/>
  <c r="D53" i="15"/>
  <c r="AA516" i="21"/>
  <c r="G53" i="15" s="1"/>
  <c r="C55" i="15"/>
  <c r="Z518" i="21"/>
  <c r="E55" i="15" s="1"/>
  <c r="W519" i="21"/>
  <c r="X518" i="21" s="1"/>
  <c r="W527" i="21"/>
  <c r="X1326" i="21"/>
  <c r="V1326" i="21" s="1"/>
  <c r="AA1319" i="21"/>
  <c r="H21" i="21"/>
  <c r="I21" i="21" s="1"/>
  <c r="N22" i="1" s="1"/>
  <c r="H13" i="21"/>
  <c r="I13" i="21" s="1"/>
  <c r="N14" i="1" s="1"/>
  <c r="H35" i="21"/>
  <c r="I35" i="21" s="1"/>
  <c r="N36" i="1" s="1"/>
  <c r="H41" i="21"/>
  <c r="I41" i="21" s="1"/>
  <c r="N42" i="1" s="1"/>
  <c r="H43" i="21"/>
  <c r="I43" i="21" s="1"/>
  <c r="N44" i="1" s="1"/>
  <c r="N43" i="21"/>
  <c r="P43" i="21" s="1"/>
  <c r="Q43" i="21" s="1"/>
  <c r="AA317" i="21"/>
  <c r="G54" i="12" s="1"/>
  <c r="D54" i="12"/>
  <c r="X328" i="21"/>
  <c r="V328" i="21" s="1"/>
  <c r="W326" i="21"/>
  <c r="Z319" i="21"/>
  <c r="E56" i="12" s="1"/>
  <c r="C56" i="12"/>
  <c r="W320" i="21"/>
  <c r="X319" i="21" s="1"/>
  <c r="H37" i="21"/>
  <c r="I37" i="21" s="1"/>
  <c r="N38" i="1" s="1"/>
  <c r="H5" i="21"/>
  <c r="I5" i="21" s="1"/>
  <c r="N6" i="1" s="1"/>
  <c r="H45" i="21"/>
  <c r="I45" i="21" s="1"/>
  <c r="N46" i="1" s="1"/>
  <c r="H23" i="21"/>
  <c r="I23" i="21" s="1"/>
  <c r="N24" i="1" s="1"/>
  <c r="H39" i="21"/>
  <c r="I39" i="21" s="1"/>
  <c r="N40" i="1" s="1"/>
  <c r="F50" i="21"/>
  <c r="H49" i="21" s="1"/>
  <c r="I49" i="21" s="1"/>
  <c r="N50" i="1" s="1"/>
  <c r="N49" i="1" s="1"/>
  <c r="G152" i="21"/>
  <c r="Q151" i="21"/>
  <c r="F51" i="21"/>
  <c r="D152" i="21"/>
  <c r="F151" i="21"/>
  <c r="Q152" i="21"/>
  <c r="F152" i="21"/>
  <c r="E152" i="21"/>
  <c r="R151" i="21"/>
  <c r="E151" i="21"/>
  <c r="R152" i="21"/>
  <c r="S152" i="21"/>
  <c r="M14" i="1"/>
  <c r="C55" i="14"/>
  <c r="W419" i="21"/>
  <c r="X418" i="21" s="1"/>
  <c r="W427" i="21"/>
  <c r="Z418" i="21"/>
  <c r="E55" i="14" s="1"/>
  <c r="M42" i="1"/>
  <c r="C56" i="18"/>
  <c r="E56" i="18"/>
  <c r="W1221" i="21"/>
  <c r="W1225" i="21"/>
  <c r="C57" i="19"/>
  <c r="Z1220" i="21"/>
  <c r="E57" i="19" s="1"/>
  <c r="W1118" i="21"/>
  <c r="X1117" i="21" s="1"/>
  <c r="Z1117" i="21"/>
  <c r="E54" i="17" s="1"/>
  <c r="C54" i="17"/>
  <c r="W1128" i="21"/>
  <c r="M38" i="1"/>
  <c r="N47" i="1"/>
  <c r="W1019" i="21"/>
  <c r="X1018" i="21" s="1"/>
  <c r="C55" i="13"/>
  <c r="Z1018" i="21"/>
  <c r="E55" i="13" s="1"/>
  <c r="W1027" i="21"/>
  <c r="AA715" i="21"/>
  <c r="G52" i="22" s="1"/>
  <c r="D52" i="22"/>
  <c r="X730" i="21"/>
  <c r="V730" i="21" s="1"/>
  <c r="A55" i="1"/>
  <c r="X27" i="21"/>
  <c r="AA18" i="21"/>
  <c r="G55" i="5" s="1"/>
  <c r="D55" i="5"/>
  <c r="X927" i="21"/>
  <c r="V927" i="21" s="1"/>
  <c r="D55" i="24"/>
  <c r="AA918" i="21"/>
  <c r="G55" i="24" s="1"/>
  <c r="M20" i="1"/>
  <c r="D55" i="19"/>
  <c r="X1227" i="21"/>
  <c r="V1227" i="21" s="1"/>
  <c r="AA1218" i="21"/>
  <c r="G55" i="19" s="1"/>
  <c r="C54" i="22"/>
  <c r="W728" i="21"/>
  <c r="Z717" i="21"/>
  <c r="E54" i="22" s="1"/>
  <c r="W718" i="21"/>
  <c r="X717" i="21" s="1"/>
  <c r="X1428" i="21"/>
  <c r="V1428" i="21" s="1"/>
  <c r="AA1417" i="21"/>
  <c r="D61" i="27"/>
  <c r="D50" i="21"/>
  <c r="D56" i="20"/>
  <c r="X226" i="21"/>
  <c r="V226" i="21" s="1"/>
  <c r="AA219" i="21"/>
  <c r="G56" i="20" s="1"/>
  <c r="X627" i="21"/>
  <c r="V627" i="21" s="1"/>
  <c r="D55" i="16"/>
  <c r="AA618" i="21"/>
  <c r="G55" i="16" s="1"/>
  <c r="X127" i="21"/>
  <c r="V127" i="21" s="1"/>
  <c r="D55" i="6"/>
  <c r="AA118" i="21"/>
  <c r="G55" i="6" s="1"/>
  <c r="X828" i="21"/>
  <c r="V828" i="21" s="1"/>
  <c r="AA817" i="21"/>
  <c r="G54" i="23" s="1"/>
  <c r="D54" i="23"/>
  <c r="W1426" i="21"/>
  <c r="W1420" i="21"/>
  <c r="C63" i="27"/>
  <c r="X1418" i="21"/>
  <c r="Z1419" i="21"/>
  <c r="X429" i="21"/>
  <c r="V429" i="21" s="1"/>
  <c r="D53" i="14"/>
  <c r="AA416" i="21"/>
  <c r="G53" i="14" s="1"/>
  <c r="Z20" i="21"/>
  <c r="E57" i="5" s="1"/>
  <c r="C57" i="5"/>
  <c r="W25" i="21"/>
  <c r="W921" i="21"/>
  <c r="Z920" i="21"/>
  <c r="E57" i="24" s="1"/>
  <c r="C57" i="24"/>
  <c r="W925" i="21"/>
  <c r="C57" i="16"/>
  <c r="W621" i="21"/>
  <c r="W625" i="21"/>
  <c r="Z620" i="21"/>
  <c r="E57" i="16" s="1"/>
  <c r="C56" i="23"/>
  <c r="Z819" i="21"/>
  <c r="E56" i="23" s="1"/>
  <c r="W826" i="21"/>
  <c r="W820" i="21"/>
  <c r="X819" i="21" s="1"/>
  <c r="D54" i="18"/>
  <c r="G54" i="18"/>
  <c r="C57" i="6"/>
  <c r="W121" i="21"/>
  <c r="W125" i="21"/>
  <c r="Z120" i="21"/>
  <c r="E57" i="6" s="1"/>
  <c r="D53" i="13"/>
  <c r="AA1016" i="21"/>
  <c r="G53" i="13" s="1"/>
  <c r="X1029" i="21"/>
  <c r="V1029" i="21" s="1"/>
  <c r="X1130" i="21"/>
  <c r="V1130" i="21" s="1"/>
  <c r="AA1115" i="21"/>
  <c r="G52" i="17" s="1"/>
  <c r="D52" i="17"/>
  <c r="P21" i="29"/>
  <c r="R54" i="1"/>
  <c r="P49" i="1"/>
  <c r="AF4" i="29"/>
  <c r="X27" i="29"/>
  <c r="R53" i="1"/>
  <c r="P11" i="29"/>
  <c r="AF24" i="29"/>
  <c r="F54" i="1"/>
  <c r="U27" i="29"/>
  <c r="O11" i="29"/>
  <c r="P17" i="29"/>
  <c r="W27" i="29"/>
  <c r="F53" i="1"/>
  <c r="P26" i="29"/>
  <c r="Q54" i="1"/>
  <c r="O20" i="29"/>
  <c r="P22" i="29"/>
  <c r="F27" i="29"/>
  <c r="P41" i="1"/>
  <c r="P20" i="29"/>
  <c r="P13" i="29"/>
  <c r="E54" i="1"/>
  <c r="P4" i="29"/>
  <c r="D27" i="29"/>
  <c r="T27" i="29"/>
  <c r="I27" i="29"/>
  <c r="P23" i="29"/>
  <c r="E27" i="29"/>
  <c r="P8" i="29"/>
  <c r="H27" i="29"/>
  <c r="P15" i="29"/>
  <c r="E53" i="1"/>
  <c r="Y27" i="29"/>
  <c r="O8" i="29"/>
  <c r="G27" i="29"/>
  <c r="P19" i="29"/>
  <c r="P12" i="29"/>
  <c r="G54" i="1"/>
  <c r="P24" i="29"/>
  <c r="O22" i="29"/>
  <c r="P19" i="1"/>
  <c r="V27" i="21" l="1"/>
  <c r="X120" i="21"/>
  <c r="V121" i="21"/>
  <c r="X1220" i="21"/>
  <c r="V1221" i="21"/>
  <c r="V921" i="21"/>
  <c r="X920" i="21"/>
  <c r="V621" i="21"/>
  <c r="X620" i="21"/>
  <c r="N27" i="1"/>
  <c r="J37" i="21"/>
  <c r="J38" i="21" s="1"/>
  <c r="J19" i="21"/>
  <c r="J20" i="21" s="1"/>
  <c r="J13" i="21"/>
  <c r="J14" i="21" s="1"/>
  <c r="N31" i="1"/>
  <c r="N5" i="1"/>
  <c r="N21" i="1"/>
  <c r="N37" i="1"/>
  <c r="N23" i="1"/>
  <c r="W321" i="21"/>
  <c r="C57" i="12"/>
  <c r="W325" i="21"/>
  <c r="Z320" i="21"/>
  <c r="E57" i="12" s="1"/>
  <c r="N35" i="1"/>
  <c r="N43" i="1"/>
  <c r="N39" i="1"/>
  <c r="N41" i="1"/>
  <c r="W520" i="21"/>
  <c r="X519" i="21" s="1"/>
  <c r="W526" i="21"/>
  <c r="Z519" i="21"/>
  <c r="E56" i="15" s="1"/>
  <c r="C56" i="15"/>
  <c r="J41" i="21"/>
  <c r="J42" i="21" s="1"/>
  <c r="N45" i="1"/>
  <c r="X327" i="21"/>
  <c r="V327" i="21" s="1"/>
  <c r="AA318" i="21"/>
  <c r="G55" i="12" s="1"/>
  <c r="D55" i="12"/>
  <c r="N13" i="1"/>
  <c r="D54" i="15"/>
  <c r="X528" i="21"/>
  <c r="V528" i="21" s="1"/>
  <c r="AA517" i="21"/>
  <c r="G54" i="15" s="1"/>
  <c r="F52" i="21"/>
  <c r="H51" i="21" s="1"/>
  <c r="I51" i="21" s="1"/>
  <c r="N52" i="1" s="1"/>
  <c r="P149" i="21"/>
  <c r="L50" i="21" s="1"/>
  <c r="L49" i="21"/>
  <c r="P119" i="21"/>
  <c r="L20" i="21" s="1"/>
  <c r="L19" i="21"/>
  <c r="R153" i="21"/>
  <c r="F153" i="21"/>
  <c r="Q154" i="21"/>
  <c r="E153" i="21"/>
  <c r="E154" i="21"/>
  <c r="P141" i="21"/>
  <c r="L42" i="21" s="1"/>
  <c r="L41" i="21"/>
  <c r="G154" i="21"/>
  <c r="F154" i="21"/>
  <c r="R154" i="21"/>
  <c r="X126" i="21"/>
  <c r="V126" i="21" s="1"/>
  <c r="D56" i="6"/>
  <c r="AA119" i="21"/>
  <c r="G56" i="6" s="1"/>
  <c r="C58" i="16"/>
  <c r="W624" i="21"/>
  <c r="Z621" i="21"/>
  <c r="E58" i="16" s="1"/>
  <c r="B58" i="16"/>
  <c r="AA919" i="21"/>
  <c r="G56" i="24" s="1"/>
  <c r="X926" i="21"/>
  <c r="V926" i="21" s="1"/>
  <c r="D56" i="24"/>
  <c r="W1425" i="21"/>
  <c r="W1421" i="21"/>
  <c r="C64" i="27"/>
  <c r="Z1420" i="21"/>
  <c r="X1419" i="21"/>
  <c r="AA19" i="21"/>
  <c r="G56" i="5" s="1"/>
  <c r="X26" i="21"/>
  <c r="V26" i="21" s="1"/>
  <c r="D56" i="5"/>
  <c r="D62" i="27"/>
  <c r="X1427" i="21"/>
  <c r="V1427" i="21" s="1"/>
  <c r="AA1418" i="21"/>
  <c r="C55" i="22"/>
  <c r="W727" i="21"/>
  <c r="W719" i="21"/>
  <c r="X718" i="21" s="1"/>
  <c r="Z718" i="21"/>
  <c r="E55" i="22" s="1"/>
  <c r="W1127" i="21"/>
  <c r="W1119" i="21"/>
  <c r="X1118" i="21" s="1"/>
  <c r="C55" i="17"/>
  <c r="Z1118" i="21"/>
  <c r="E55" i="17" s="1"/>
  <c r="C57" i="18"/>
  <c r="E57" i="18"/>
  <c r="X428" i="21"/>
  <c r="V428" i="21" s="1"/>
  <c r="D54" i="14"/>
  <c r="AA417" i="21"/>
  <c r="G54" i="14" s="1"/>
  <c r="W124" i="21"/>
  <c r="B58" i="6"/>
  <c r="C58" i="6"/>
  <c r="Z121" i="21"/>
  <c r="E58" i="6" s="1"/>
  <c r="B58" i="24"/>
  <c r="C58" i="24"/>
  <c r="Z921" i="21"/>
  <c r="E58" i="24" s="1"/>
  <c r="W924" i="21"/>
  <c r="AA1017" i="21"/>
  <c r="G54" i="13" s="1"/>
  <c r="X1028" i="21"/>
  <c r="V1028" i="21" s="1"/>
  <c r="D54" i="13"/>
  <c r="AA1116" i="21"/>
  <c r="G53" i="17" s="1"/>
  <c r="D53" i="17"/>
  <c r="X1129" i="21"/>
  <c r="V1129" i="21" s="1"/>
  <c r="B58" i="19"/>
  <c r="W1224" i="21"/>
  <c r="Z1221" i="21"/>
  <c r="E58" i="19" s="1"/>
  <c r="C58" i="19"/>
  <c r="E49" i="21"/>
  <c r="A57" i="1"/>
  <c r="C56" i="13"/>
  <c r="W1020" i="21"/>
  <c r="X1019" i="21" s="1"/>
  <c r="W1026" i="21"/>
  <c r="Z1019" i="21"/>
  <c r="E56" i="13" s="1"/>
  <c r="D56" i="19"/>
  <c r="X1226" i="21"/>
  <c r="V1226" i="21" s="1"/>
  <c r="AA1219" i="21"/>
  <c r="G56" i="19" s="1"/>
  <c r="D55" i="18"/>
  <c r="G55" i="18"/>
  <c r="C56" i="14"/>
  <c r="W426" i="21"/>
  <c r="W420" i="21"/>
  <c r="X419" i="21" s="1"/>
  <c r="Z419" i="21"/>
  <c r="E56" i="14" s="1"/>
  <c r="C57" i="23"/>
  <c r="W825" i="21"/>
  <c r="W821" i="21"/>
  <c r="Z820" i="21"/>
  <c r="E57" i="23" s="1"/>
  <c r="D55" i="23"/>
  <c r="X827" i="21"/>
  <c r="V827" i="21" s="1"/>
  <c r="AA818" i="21"/>
  <c r="G55" i="23" s="1"/>
  <c r="D56" i="16"/>
  <c r="X626" i="21"/>
  <c r="V626" i="21" s="1"/>
  <c r="AA619" i="21"/>
  <c r="G56" i="16" s="1"/>
  <c r="D53" i="22"/>
  <c r="X729" i="21"/>
  <c r="V729" i="21" s="1"/>
  <c r="AA716" i="21"/>
  <c r="G53" i="22" s="1"/>
  <c r="S56" i="1"/>
  <c r="P55" i="1"/>
  <c r="D55" i="1"/>
  <c r="Q56" i="1"/>
  <c r="D51" i="1"/>
  <c r="X28" i="29"/>
  <c r="R55" i="1"/>
  <c r="Q55" i="1"/>
  <c r="W28" i="29"/>
  <c r="S26" i="29"/>
  <c r="E55" i="1"/>
  <c r="D17" i="1"/>
  <c r="D9" i="1"/>
  <c r="D5" i="1"/>
  <c r="D33" i="1"/>
  <c r="F55" i="1"/>
  <c r="D23" i="1"/>
  <c r="R56" i="1"/>
  <c r="G28" i="29"/>
  <c r="D39" i="1"/>
  <c r="D15" i="1"/>
  <c r="S22" i="29"/>
  <c r="D45" i="1"/>
  <c r="E28" i="29"/>
  <c r="P56" i="1"/>
  <c r="E56" i="1"/>
  <c r="G56" i="1"/>
  <c r="D56" i="1"/>
  <c r="I28" i="29"/>
  <c r="S11" i="29"/>
  <c r="D27" i="1"/>
  <c r="D21" i="1"/>
  <c r="U28" i="29"/>
  <c r="H28" i="29"/>
  <c r="F56" i="1"/>
  <c r="P27" i="29"/>
  <c r="D28" i="29"/>
  <c r="X320" i="21" l="1"/>
  <c r="V321" i="21"/>
  <c r="D5" i="21"/>
  <c r="D105" i="21"/>
  <c r="D6" i="21" s="1"/>
  <c r="D121" i="21"/>
  <c r="D22" i="21" s="1"/>
  <c r="D21" i="21"/>
  <c r="D51" i="21"/>
  <c r="D151" i="21"/>
  <c r="D52" i="21" s="1"/>
  <c r="D39" i="21"/>
  <c r="D139" i="21"/>
  <c r="D40" i="21" s="1"/>
  <c r="X820" i="21"/>
  <c r="V821" i="21"/>
  <c r="B58" i="23" s="1"/>
  <c r="O38" i="1"/>
  <c r="O37" i="1" s="1"/>
  <c r="O14" i="1"/>
  <c r="O13" i="1" s="1"/>
  <c r="O20" i="1"/>
  <c r="O19" i="1" s="1"/>
  <c r="O42" i="1"/>
  <c r="O41" i="1" s="1"/>
  <c r="X527" i="21"/>
  <c r="V527" i="21" s="1"/>
  <c r="AA518" i="21"/>
  <c r="G55" i="15" s="1"/>
  <c r="D55" i="15"/>
  <c r="W525" i="21"/>
  <c r="W521" i="21"/>
  <c r="V521" i="21" s="1"/>
  <c r="Z520" i="21"/>
  <c r="E57" i="15" s="1"/>
  <c r="C57" i="15"/>
  <c r="AA319" i="21"/>
  <c r="G56" i="12" s="1"/>
  <c r="X326" i="21"/>
  <c r="V326" i="21" s="1"/>
  <c r="D56" i="12"/>
  <c r="C58" i="12"/>
  <c r="B58" i="12"/>
  <c r="Z321" i="21"/>
  <c r="E58" i="12" s="1"/>
  <c r="W324" i="21"/>
  <c r="M19" i="21"/>
  <c r="Y20" i="1" s="1"/>
  <c r="M41" i="21"/>
  <c r="Q155" i="21"/>
  <c r="F156" i="21"/>
  <c r="S156" i="21"/>
  <c r="D55" i="21"/>
  <c r="O55" i="1"/>
  <c r="D155" i="21"/>
  <c r="O56" i="1"/>
  <c r="M56" i="1"/>
  <c r="R156" i="21"/>
  <c r="D156" i="21"/>
  <c r="F55" i="21"/>
  <c r="F155" i="21"/>
  <c r="D133" i="21"/>
  <c r="D34" i="21" s="1"/>
  <c r="D33" i="21"/>
  <c r="D109" i="21"/>
  <c r="D10" i="21" s="1"/>
  <c r="L10" i="21" s="1"/>
  <c r="D9" i="21"/>
  <c r="D145" i="21"/>
  <c r="D46" i="21" s="1"/>
  <c r="D45" i="21"/>
  <c r="AA56" i="1"/>
  <c r="Y56" i="1"/>
  <c r="P155" i="21"/>
  <c r="AA55" i="1"/>
  <c r="G156" i="21"/>
  <c r="Q156" i="21"/>
  <c r="E156" i="21"/>
  <c r="D17" i="21"/>
  <c r="D117" i="21"/>
  <c r="D18" i="21" s="1"/>
  <c r="D15" i="21"/>
  <c r="D115" i="21"/>
  <c r="D16" i="21" s="1"/>
  <c r="E155" i="21"/>
  <c r="R155" i="21"/>
  <c r="Z56" i="1"/>
  <c r="P156" i="21"/>
  <c r="D123" i="21"/>
  <c r="D24" i="21" s="1"/>
  <c r="D23" i="21"/>
  <c r="D127" i="21"/>
  <c r="D28" i="21" s="1"/>
  <c r="D27" i="21"/>
  <c r="C57" i="14"/>
  <c r="W425" i="21"/>
  <c r="W421" i="21"/>
  <c r="Z420" i="21"/>
  <c r="E57" i="14" s="1"/>
  <c r="W726" i="21"/>
  <c r="Z719" i="21"/>
  <c r="E56" i="22" s="1"/>
  <c r="C56" i="22"/>
  <c r="W720" i="21"/>
  <c r="X719" i="21" s="1"/>
  <c r="D63" i="27"/>
  <c r="AA1419" i="21"/>
  <c r="X1426" i="21"/>
  <c r="V1426" i="21" s="1"/>
  <c r="C58" i="23"/>
  <c r="W824" i="21"/>
  <c r="Z821" i="21"/>
  <c r="E58" i="23" s="1"/>
  <c r="D57" i="24"/>
  <c r="X925" i="21"/>
  <c r="V925" i="21" s="1"/>
  <c r="AA920" i="21"/>
  <c r="G57" i="24" s="1"/>
  <c r="J49" i="21"/>
  <c r="M50" i="1"/>
  <c r="N51" i="1"/>
  <c r="D54" i="22"/>
  <c r="X728" i="21"/>
  <c r="V728" i="21" s="1"/>
  <c r="AA717" i="21"/>
  <c r="G54" i="22" s="1"/>
  <c r="X625" i="21"/>
  <c r="V625" i="21" s="1"/>
  <c r="D57" i="16"/>
  <c r="AA620" i="21"/>
  <c r="G57" i="16" s="1"/>
  <c r="X1027" i="21"/>
  <c r="D55" i="13"/>
  <c r="AA1018" i="21"/>
  <c r="G55" i="13" s="1"/>
  <c r="AA1220" i="21"/>
  <c r="G57" i="19" s="1"/>
  <c r="X1225" i="21"/>
  <c r="V1225" i="21" s="1"/>
  <c r="D57" i="19"/>
  <c r="D57" i="6"/>
  <c r="AA120" i="21"/>
  <c r="G57" i="6" s="1"/>
  <c r="X125" i="21"/>
  <c r="V125" i="21" s="1"/>
  <c r="W1126" i="21"/>
  <c r="W1120" i="21"/>
  <c r="X1119" i="21" s="1"/>
  <c r="C56" i="17"/>
  <c r="Z1119" i="21"/>
  <c r="E56" i="17" s="1"/>
  <c r="AA819" i="21"/>
  <c r="G56" i="23" s="1"/>
  <c r="D56" i="23"/>
  <c r="X826" i="21"/>
  <c r="V826" i="21" s="1"/>
  <c r="D55" i="14"/>
  <c r="X427" i="21"/>
  <c r="V427" i="21" s="1"/>
  <c r="AA418" i="21"/>
  <c r="G55" i="14" s="1"/>
  <c r="C57" i="13"/>
  <c r="W1025" i="21"/>
  <c r="W1021" i="21"/>
  <c r="Z1020" i="21"/>
  <c r="E57" i="13" s="1"/>
  <c r="A59" i="1"/>
  <c r="D56" i="18"/>
  <c r="G56" i="18"/>
  <c r="X1128" i="21"/>
  <c r="V1128" i="21" s="1"/>
  <c r="D54" i="17"/>
  <c r="AA1117" i="21"/>
  <c r="G54" i="17" s="1"/>
  <c r="C65" i="27"/>
  <c r="W1424" i="21"/>
  <c r="X1420" i="21"/>
  <c r="Z1421" i="21"/>
  <c r="V1421" i="21"/>
  <c r="M49" i="21"/>
  <c r="E29" i="1"/>
  <c r="AF29" i="29"/>
  <c r="R29" i="29"/>
  <c r="C10" i="29"/>
  <c r="E58" i="1"/>
  <c r="D10" i="1"/>
  <c r="Q57" i="1"/>
  <c r="C9" i="29"/>
  <c r="AE11" i="29"/>
  <c r="Q5" i="1"/>
  <c r="D8" i="1"/>
  <c r="C21" i="29"/>
  <c r="AE29" i="29"/>
  <c r="G29" i="29"/>
  <c r="R57" i="1"/>
  <c r="Q11" i="29"/>
  <c r="Q39" i="1"/>
  <c r="Q31" i="1"/>
  <c r="S58" i="1"/>
  <c r="D57" i="1"/>
  <c r="D18" i="1"/>
  <c r="Q27" i="1"/>
  <c r="Q58" i="1"/>
  <c r="X29" i="29"/>
  <c r="G58" i="1"/>
  <c r="AG29" i="29"/>
  <c r="D29" i="29"/>
  <c r="T29" i="29"/>
  <c r="R22" i="29"/>
  <c r="Q8" i="29"/>
  <c r="C4" i="29"/>
  <c r="F29" i="29"/>
  <c r="C18" i="29"/>
  <c r="I29" i="29"/>
  <c r="C15" i="29"/>
  <c r="C29" i="29"/>
  <c r="C12" i="29"/>
  <c r="R20" i="29"/>
  <c r="AH29" i="29"/>
  <c r="C27" i="29"/>
  <c r="R11" i="29"/>
  <c r="O29" i="29"/>
  <c r="P58" i="1"/>
  <c r="S29" i="29"/>
  <c r="D16" i="1"/>
  <c r="F58" i="1"/>
  <c r="Q22" i="29"/>
  <c r="C13" i="29"/>
  <c r="O26" i="29"/>
  <c r="Q29" i="29"/>
  <c r="V29" i="29"/>
  <c r="Q23" i="1"/>
  <c r="C24" i="29"/>
  <c r="H29" i="29"/>
  <c r="E29" i="29"/>
  <c r="R58" i="1"/>
  <c r="S50" i="1"/>
  <c r="F57" i="1"/>
  <c r="D58" i="1"/>
  <c r="C6" i="29"/>
  <c r="Q20" i="29"/>
  <c r="W29" i="29"/>
  <c r="E57" i="1"/>
  <c r="Q13" i="1"/>
  <c r="Y29" i="29"/>
  <c r="R8" i="29"/>
  <c r="D54" i="1"/>
  <c r="U29" i="29"/>
  <c r="V1027" i="21" l="1"/>
  <c r="E51" i="21"/>
  <c r="J51" i="21" s="1"/>
  <c r="J52" i="21" s="1"/>
  <c r="E39" i="21"/>
  <c r="E21" i="21"/>
  <c r="E5" i="21"/>
  <c r="V1021" i="21"/>
  <c r="X1020" i="21"/>
  <c r="X520" i="21"/>
  <c r="X420" i="21"/>
  <c r="B58" i="14"/>
  <c r="F17" i="21"/>
  <c r="D118" i="21"/>
  <c r="F18" i="21" s="1"/>
  <c r="D116" i="21"/>
  <c r="F16" i="21" s="1"/>
  <c r="F15" i="21"/>
  <c r="D154" i="21"/>
  <c r="F54" i="21" s="1"/>
  <c r="F53" i="21"/>
  <c r="D108" i="21"/>
  <c r="F8" i="21" s="1"/>
  <c r="F7" i="21"/>
  <c r="F9" i="21"/>
  <c r="D110" i="21"/>
  <c r="F10" i="21" s="1"/>
  <c r="N10" i="21" s="1"/>
  <c r="AA519" i="21"/>
  <c r="G56" i="15" s="1"/>
  <c r="D56" i="15"/>
  <c r="X526" i="21"/>
  <c r="V526" i="21" s="1"/>
  <c r="AA320" i="21"/>
  <c r="G57" i="12" s="1"/>
  <c r="X325" i="21"/>
  <c r="V325" i="21" s="1"/>
  <c r="D57" i="12"/>
  <c r="B58" i="15"/>
  <c r="W524" i="21"/>
  <c r="Z521" i="21"/>
  <c r="E58" i="15" s="1"/>
  <c r="C58" i="15"/>
  <c r="S150" i="21"/>
  <c r="Y42" i="1"/>
  <c r="G158" i="21"/>
  <c r="E158" i="21"/>
  <c r="Q105" i="21"/>
  <c r="Q139" i="21"/>
  <c r="Q113" i="21"/>
  <c r="D57" i="21"/>
  <c r="D157" i="21"/>
  <c r="F158" i="21"/>
  <c r="R157" i="21"/>
  <c r="S158" i="21"/>
  <c r="E129" i="21"/>
  <c r="D30" i="21" s="1"/>
  <c r="L30" i="21" s="1"/>
  <c r="D29" i="21"/>
  <c r="Q123" i="21"/>
  <c r="Q131" i="21"/>
  <c r="R158" i="21"/>
  <c r="Q127" i="21"/>
  <c r="E157" i="21"/>
  <c r="Q158" i="21"/>
  <c r="F57" i="21"/>
  <c r="N57" i="21" s="1"/>
  <c r="D158" i="21"/>
  <c r="Q157" i="21"/>
  <c r="P158" i="21"/>
  <c r="F157" i="21"/>
  <c r="Y50" i="1"/>
  <c r="AA1420" i="21"/>
  <c r="X1425" i="21"/>
  <c r="V1425" i="21" s="1"/>
  <c r="D64" i="27"/>
  <c r="X1026" i="21"/>
  <c r="V1026" i="21" s="1"/>
  <c r="D56" i="13"/>
  <c r="AA1019" i="21"/>
  <c r="G56" i="13" s="1"/>
  <c r="W1121" i="21"/>
  <c r="W1125" i="21"/>
  <c r="C57" i="17"/>
  <c r="Z1120" i="21"/>
  <c r="E57" i="17" s="1"/>
  <c r="E15" i="21"/>
  <c r="L55" i="21"/>
  <c r="O52" i="1"/>
  <c r="W424" i="21"/>
  <c r="C58" i="14"/>
  <c r="Z421" i="21"/>
  <c r="E58" i="14" s="1"/>
  <c r="N55" i="21"/>
  <c r="Z1021" i="21"/>
  <c r="E58" i="13" s="1"/>
  <c r="B58" i="13"/>
  <c r="W1024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J50" i="21"/>
  <c r="O50" i="1"/>
  <c r="X727" i="21"/>
  <c r="D55" i="22"/>
  <c r="AA718" i="21"/>
  <c r="G55" i="22" s="1"/>
  <c r="X426" i="21"/>
  <c r="V426" i="21" s="1"/>
  <c r="D56" i="14"/>
  <c r="AA419" i="21"/>
  <c r="G56" i="14" s="1"/>
  <c r="E27" i="21"/>
  <c r="E23" i="21"/>
  <c r="E33" i="21"/>
  <c r="F56" i="21"/>
  <c r="N56" i="21" s="1"/>
  <c r="D56" i="21"/>
  <c r="L56" i="21" s="1"/>
  <c r="A61" i="1"/>
  <c r="E45" i="21"/>
  <c r="E17" i="21"/>
  <c r="E9" i="21"/>
  <c r="L9" i="21"/>
  <c r="M9" i="21" s="1"/>
  <c r="D55" i="17"/>
  <c r="X1127" i="21"/>
  <c r="V1127" i="21" s="1"/>
  <c r="AA1118" i="21"/>
  <c r="G55" i="17" s="1"/>
  <c r="X825" i="21"/>
  <c r="V825" i="21" s="1"/>
  <c r="D57" i="23"/>
  <c r="AA820" i="21"/>
  <c r="G57" i="23" s="1"/>
  <c r="W725" i="21"/>
  <c r="C57" i="22"/>
  <c r="W721" i="21"/>
  <c r="Z720" i="21"/>
  <c r="E57" i="22" s="1"/>
  <c r="Y26" i="29"/>
  <c r="D59" i="1"/>
  <c r="E60" i="1"/>
  <c r="F30" i="29"/>
  <c r="P42" i="1"/>
  <c r="V30" i="29"/>
  <c r="G30" i="29"/>
  <c r="AE22" i="29"/>
  <c r="F5" i="29"/>
  <c r="F60" i="1"/>
  <c r="W30" i="29"/>
  <c r="I30" i="29"/>
  <c r="Y30" i="29"/>
  <c r="T15" i="29"/>
  <c r="G60" i="1"/>
  <c r="D16" i="29"/>
  <c r="Q60" i="1"/>
  <c r="F28" i="29"/>
  <c r="E30" i="29"/>
  <c r="D30" i="29"/>
  <c r="S60" i="1"/>
  <c r="U30" i="29"/>
  <c r="T30" i="29"/>
  <c r="F59" i="1"/>
  <c r="D60" i="1"/>
  <c r="AE26" i="29"/>
  <c r="X30" i="29"/>
  <c r="C30" i="29"/>
  <c r="T17" i="29"/>
  <c r="T21" i="29"/>
  <c r="F9" i="29"/>
  <c r="T13" i="29"/>
  <c r="F10" i="29"/>
  <c r="Q27" i="29"/>
  <c r="Q59" i="1"/>
  <c r="F6" i="29"/>
  <c r="P20" i="1"/>
  <c r="P60" i="1"/>
  <c r="P38" i="1"/>
  <c r="Q26" i="29"/>
  <c r="T8" i="29"/>
  <c r="E59" i="1"/>
  <c r="H30" i="29"/>
  <c r="T4" i="29"/>
  <c r="R59" i="1"/>
  <c r="P14" i="1"/>
  <c r="R60" i="1"/>
  <c r="N37" i="21" l="1"/>
  <c r="P138" i="21"/>
  <c r="N38" i="21" s="1"/>
  <c r="N41" i="21"/>
  <c r="P142" i="21"/>
  <c r="N42" i="21" s="1"/>
  <c r="P114" i="21"/>
  <c r="P120" i="21"/>
  <c r="V727" i="21"/>
  <c r="M52" i="1"/>
  <c r="J39" i="21"/>
  <c r="M40" i="1"/>
  <c r="J5" i="21"/>
  <c r="M6" i="1"/>
  <c r="J21" i="21"/>
  <c r="M22" i="1"/>
  <c r="V1121" i="21"/>
  <c r="X1120" i="21"/>
  <c r="V721" i="21"/>
  <c r="B58" i="22" s="1"/>
  <c r="X720" i="21"/>
  <c r="H7" i="21"/>
  <c r="I7" i="21" s="1"/>
  <c r="N8" i="1" s="1"/>
  <c r="N7" i="1" s="1"/>
  <c r="H15" i="21"/>
  <c r="I15" i="21" s="1"/>
  <c r="N16" i="1" s="1"/>
  <c r="H53" i="21"/>
  <c r="I53" i="21" s="1"/>
  <c r="N54" i="1" s="1"/>
  <c r="H17" i="21"/>
  <c r="I17" i="21" s="1"/>
  <c r="N18" i="1" s="1"/>
  <c r="H9" i="21"/>
  <c r="I9" i="21" s="1"/>
  <c r="N10" i="1" s="1"/>
  <c r="N9" i="21"/>
  <c r="P9" i="21" s="1"/>
  <c r="Q9" i="21" s="1"/>
  <c r="R9" i="21" s="1"/>
  <c r="R10" i="21" s="1"/>
  <c r="AA520" i="21"/>
  <c r="G57" i="15" s="1"/>
  <c r="D57" i="15"/>
  <c r="X525" i="21"/>
  <c r="V525" i="21" s="1"/>
  <c r="P55" i="21"/>
  <c r="Q55" i="21" s="1"/>
  <c r="AA42" i="1"/>
  <c r="M55" i="21"/>
  <c r="H55" i="21"/>
  <c r="I55" i="21" s="1"/>
  <c r="N56" i="1" s="1"/>
  <c r="F58" i="21"/>
  <c r="H57" i="21" s="1"/>
  <c r="I57" i="21" s="1"/>
  <c r="N58" i="1" s="1"/>
  <c r="N57" i="1" s="1"/>
  <c r="R160" i="21"/>
  <c r="F160" i="21"/>
  <c r="D160" i="21"/>
  <c r="F59" i="21"/>
  <c r="N59" i="21" s="1"/>
  <c r="Q160" i="21"/>
  <c r="E159" i="21"/>
  <c r="E160" i="21"/>
  <c r="S160" i="21"/>
  <c r="G160" i="21"/>
  <c r="F159" i="21"/>
  <c r="Q159" i="21"/>
  <c r="R159" i="21"/>
  <c r="D59" i="21"/>
  <c r="D159" i="21"/>
  <c r="P160" i="21"/>
  <c r="H16" i="6"/>
  <c r="I17" i="6" s="1"/>
  <c r="I18" i="6"/>
  <c r="D58" i="21"/>
  <c r="M10" i="1"/>
  <c r="J33" i="21"/>
  <c r="M34" i="1"/>
  <c r="J27" i="21"/>
  <c r="M28" i="1"/>
  <c r="I12" i="6"/>
  <c r="H10" i="6"/>
  <c r="I11" i="6" s="1"/>
  <c r="O51" i="1"/>
  <c r="M18" i="1"/>
  <c r="O49" i="1"/>
  <c r="I9" i="6"/>
  <c r="H7" i="6"/>
  <c r="I8" i="6" s="1"/>
  <c r="I23" i="6"/>
  <c r="H22" i="6"/>
  <c r="I22" i="6" s="1"/>
  <c r="AA420" i="21"/>
  <c r="G57" i="14" s="1"/>
  <c r="D57" i="14"/>
  <c r="X425" i="21"/>
  <c r="V425" i="21" s="1"/>
  <c r="M16" i="1"/>
  <c r="L29" i="21"/>
  <c r="M29" i="21" s="1"/>
  <c r="R29" i="21" s="1"/>
  <c r="R30" i="21" s="1"/>
  <c r="E29" i="21"/>
  <c r="W724" i="21"/>
  <c r="C58" i="22"/>
  <c r="Z721" i="21"/>
  <c r="E58" i="22" s="1"/>
  <c r="A63" i="1"/>
  <c r="M24" i="1"/>
  <c r="J23" i="21"/>
  <c r="B58" i="17"/>
  <c r="W1124" i="21"/>
  <c r="C58" i="17"/>
  <c r="Z1121" i="21"/>
  <c r="E58" i="17" s="1"/>
  <c r="D56" i="22"/>
  <c r="X726" i="21"/>
  <c r="V726" i="21" s="1"/>
  <c r="AA719" i="21"/>
  <c r="G56" i="22" s="1"/>
  <c r="J45" i="21"/>
  <c r="M46" i="1"/>
  <c r="I15" i="6"/>
  <c r="H13" i="6"/>
  <c r="I14" i="6" s="1"/>
  <c r="H19" i="6"/>
  <c r="I20" i="6" s="1"/>
  <c r="I21" i="6"/>
  <c r="X1025" i="21"/>
  <c r="D57" i="13"/>
  <c r="AA1020" i="21"/>
  <c r="G57" i="13" s="1"/>
  <c r="E55" i="21"/>
  <c r="D56" i="17"/>
  <c r="X1126" i="21"/>
  <c r="V1126" i="21" s="1"/>
  <c r="AA1119" i="21"/>
  <c r="G56" i="17" s="1"/>
  <c r="P30" i="29"/>
  <c r="O10" i="29"/>
  <c r="P13" i="1"/>
  <c r="Q45" i="1"/>
  <c r="O13" i="29"/>
  <c r="O24" i="29"/>
  <c r="D12" i="1"/>
  <c r="E61" i="1"/>
  <c r="Q62" i="1"/>
  <c r="Q15" i="1"/>
  <c r="V31" i="29"/>
  <c r="P61" i="1"/>
  <c r="T31" i="29"/>
  <c r="P6" i="29"/>
  <c r="G31" i="29"/>
  <c r="S62" i="1"/>
  <c r="R27" i="29"/>
  <c r="D31" i="29"/>
  <c r="P39" i="1"/>
  <c r="P28" i="29"/>
  <c r="R62" i="1"/>
  <c r="O12" i="29"/>
  <c r="P9" i="29"/>
  <c r="V11" i="29"/>
  <c r="R26" i="29"/>
  <c r="C31" i="29"/>
  <c r="E62" i="1"/>
  <c r="P29" i="29"/>
  <c r="C24" i="27"/>
  <c r="V20" i="29"/>
  <c r="D26" i="1"/>
  <c r="P10" i="29"/>
  <c r="O27" i="29"/>
  <c r="O6" i="29"/>
  <c r="D62" i="1"/>
  <c r="P62" i="1"/>
  <c r="G62" i="1"/>
  <c r="X31" i="29"/>
  <c r="F61" i="1"/>
  <c r="Q17" i="1"/>
  <c r="O4" i="29"/>
  <c r="O15" i="29"/>
  <c r="R61" i="1"/>
  <c r="S32" i="1"/>
  <c r="U31" i="29"/>
  <c r="Q7" i="1"/>
  <c r="Q47" i="1"/>
  <c r="F62" i="1"/>
  <c r="O9" i="29"/>
  <c r="P23" i="1"/>
  <c r="Y31" i="29"/>
  <c r="P5" i="29"/>
  <c r="P37" i="1"/>
  <c r="V8" i="29"/>
  <c r="AG22" i="29"/>
  <c r="O18" i="29"/>
  <c r="I31" i="29"/>
  <c r="E31" i="29"/>
  <c r="H31" i="29"/>
  <c r="P27" i="1"/>
  <c r="O21" i="29"/>
  <c r="V22" i="29"/>
  <c r="W31" i="29"/>
  <c r="F31" i="29"/>
  <c r="Q61" i="1"/>
  <c r="Q53" i="1"/>
  <c r="P37" i="21" l="1"/>
  <c r="Q37" i="21" s="1"/>
  <c r="Z38" i="1" s="1"/>
  <c r="V1025" i="21"/>
  <c r="P41" i="21"/>
  <c r="Q41" i="21" s="1"/>
  <c r="P137" i="21"/>
  <c r="L38" i="21" s="1"/>
  <c r="L37" i="21"/>
  <c r="P127" i="21"/>
  <c r="L28" i="21" s="1"/>
  <c r="L27" i="21"/>
  <c r="O40" i="1"/>
  <c r="J40" i="21"/>
  <c r="O22" i="1"/>
  <c r="J22" i="21"/>
  <c r="J6" i="21"/>
  <c r="O6" i="1"/>
  <c r="J15" i="21"/>
  <c r="O16" i="1" s="1"/>
  <c r="J17" i="21"/>
  <c r="O18" i="1" s="1"/>
  <c r="N15" i="1"/>
  <c r="J9" i="21"/>
  <c r="J10" i="21" s="1"/>
  <c r="N53" i="1"/>
  <c r="N17" i="1"/>
  <c r="F25" i="21"/>
  <c r="D126" i="21"/>
  <c r="F26" i="21" s="1"/>
  <c r="N26" i="21" s="1"/>
  <c r="O11" i="1"/>
  <c r="D112" i="21"/>
  <c r="F12" i="21" s="1"/>
  <c r="N12" i="21" s="1"/>
  <c r="F11" i="21"/>
  <c r="O12" i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N9" i="1"/>
  <c r="S132" i="21"/>
  <c r="R55" i="21"/>
  <c r="R56" i="21" s="1"/>
  <c r="N58" i="21"/>
  <c r="P57" i="21" s="1"/>
  <c r="Q57" i="21" s="1"/>
  <c r="Z58" i="1" s="1"/>
  <c r="H24" i="27"/>
  <c r="AA41" i="1"/>
  <c r="J55" i="21"/>
  <c r="J56" i="21" s="1"/>
  <c r="N55" i="1"/>
  <c r="R161" i="21"/>
  <c r="E161" i="21"/>
  <c r="P139" i="21"/>
  <c r="L40" i="21" s="1"/>
  <c r="L39" i="21"/>
  <c r="Q115" i="21"/>
  <c r="Q161" i="21"/>
  <c r="F161" i="21"/>
  <c r="S162" i="21"/>
  <c r="Q145" i="21"/>
  <c r="Q153" i="21"/>
  <c r="P161" i="21"/>
  <c r="Y62" i="1"/>
  <c r="AA61" i="1"/>
  <c r="AA62" i="1"/>
  <c r="Q117" i="21"/>
  <c r="F162" i="21"/>
  <c r="F61" i="21"/>
  <c r="N61" i="21" s="1"/>
  <c r="D162" i="21"/>
  <c r="E162" i="21"/>
  <c r="Q162" i="21"/>
  <c r="P113" i="21"/>
  <c r="L14" i="21" s="1"/>
  <c r="L13" i="21"/>
  <c r="G162" i="21"/>
  <c r="P162" i="21"/>
  <c r="Z62" i="1"/>
  <c r="R162" i="21"/>
  <c r="P123" i="21"/>
  <c r="L24" i="21" s="1"/>
  <c r="L23" i="21"/>
  <c r="Q147" i="21"/>
  <c r="Q107" i="21"/>
  <c r="J46" i="21"/>
  <c r="O46" i="1"/>
  <c r="AA1120" i="21"/>
  <c r="G57" i="17" s="1"/>
  <c r="X1125" i="21"/>
  <c r="V1125" i="21" s="1"/>
  <c r="D57" i="17"/>
  <c r="J34" i="21"/>
  <c r="O34" i="1"/>
  <c r="F60" i="21"/>
  <c r="H59" i="21" s="1"/>
  <c r="I59" i="21" s="1"/>
  <c r="N60" i="1" s="1"/>
  <c r="J24" i="21"/>
  <c r="O24" i="1"/>
  <c r="A65" i="1"/>
  <c r="J29" i="21"/>
  <c r="M30" i="1"/>
  <c r="X725" i="21"/>
  <c r="AA720" i="21"/>
  <c r="G57" i="22" s="1"/>
  <c r="D57" i="22"/>
  <c r="E57" i="21"/>
  <c r="J28" i="21"/>
  <c r="O28" i="1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D60" i="21"/>
  <c r="Q24" i="29"/>
  <c r="R7" i="29"/>
  <c r="P31" i="29"/>
  <c r="Q7" i="29"/>
  <c r="T32" i="29"/>
  <c r="G32" i="29"/>
  <c r="P52" i="1"/>
  <c r="P18" i="1"/>
  <c r="P34" i="1"/>
  <c r="P22" i="1"/>
  <c r="V32" i="29"/>
  <c r="H32" i="29"/>
  <c r="AH32" i="29"/>
  <c r="Q18" i="29"/>
  <c r="T10" i="29"/>
  <c r="I32" i="29"/>
  <c r="Q13" i="29"/>
  <c r="T9" i="29"/>
  <c r="X32" i="29"/>
  <c r="P32" i="1"/>
  <c r="Q21" i="29"/>
  <c r="Q12" i="29"/>
  <c r="P28" i="1"/>
  <c r="AF30" i="29"/>
  <c r="S8" i="29"/>
  <c r="T25" i="29"/>
  <c r="E32" i="29"/>
  <c r="O16" i="29"/>
  <c r="AF32" i="29"/>
  <c r="P54" i="1"/>
  <c r="F32" i="29"/>
  <c r="Q9" i="29"/>
  <c r="S15" i="29"/>
  <c r="Q10" i="29"/>
  <c r="P36" i="1"/>
  <c r="D32" i="29"/>
  <c r="D63" i="1"/>
  <c r="P63" i="1"/>
  <c r="S20" i="29"/>
  <c r="Q4" i="29"/>
  <c r="AH22" i="29"/>
  <c r="S13" i="29"/>
  <c r="AE32" i="29"/>
  <c r="P50" i="1"/>
  <c r="G64" i="1"/>
  <c r="R64" i="1"/>
  <c r="T5" i="29"/>
  <c r="S21" i="29"/>
  <c r="F14" i="29"/>
  <c r="E64" i="1"/>
  <c r="Q63" i="1"/>
  <c r="Q64" i="1"/>
  <c r="R63" i="1"/>
  <c r="E63" i="1"/>
  <c r="F63" i="1"/>
  <c r="F64" i="1"/>
  <c r="AF20" i="29"/>
  <c r="T28" i="29"/>
  <c r="Y32" i="29"/>
  <c r="Q15" i="29"/>
  <c r="P48" i="1"/>
  <c r="F7" i="29"/>
  <c r="S32" i="29"/>
  <c r="AG32" i="29"/>
  <c r="U32" i="29"/>
  <c r="D64" i="1"/>
  <c r="S64" i="1"/>
  <c r="P16" i="1"/>
  <c r="Y17" i="29"/>
  <c r="P64" i="1"/>
  <c r="P8" i="1"/>
  <c r="P24" i="1"/>
  <c r="P40" i="1"/>
  <c r="T24" i="29"/>
  <c r="W32" i="29"/>
  <c r="N35" i="21" l="1"/>
  <c r="P136" i="21"/>
  <c r="N36" i="21" s="1"/>
  <c r="P128" i="21"/>
  <c r="N21" i="21"/>
  <c r="P122" i="21"/>
  <c r="N22" i="21" s="1"/>
  <c r="N49" i="21"/>
  <c r="P150" i="21"/>
  <c r="N50" i="21" s="1"/>
  <c r="Z42" i="1"/>
  <c r="R41" i="21"/>
  <c r="R42" i="21" s="1"/>
  <c r="M37" i="21"/>
  <c r="R37" i="21" s="1"/>
  <c r="R38" i="21" s="1"/>
  <c r="M27" i="21"/>
  <c r="Y28" i="1" s="1"/>
  <c r="V725" i="21"/>
  <c r="O39" i="1"/>
  <c r="O21" i="1"/>
  <c r="O5" i="1"/>
  <c r="J16" i="21"/>
  <c r="O10" i="1"/>
  <c r="O9" i="1" s="1"/>
  <c r="J18" i="21"/>
  <c r="H25" i="21"/>
  <c r="I25" i="21" s="1"/>
  <c r="N26" i="1" s="1"/>
  <c r="N25" i="21"/>
  <c r="P25" i="21" s="1"/>
  <c r="Q25" i="21" s="1"/>
  <c r="H19" i="12"/>
  <c r="I20" i="12" s="1"/>
  <c r="I21" i="12"/>
  <c r="I18" i="12"/>
  <c r="H16" i="12"/>
  <c r="I17" i="12" s="1"/>
  <c r="H11" i="21"/>
  <c r="I11" i="21" s="1"/>
  <c r="N11" i="21"/>
  <c r="P11" i="21" s="1"/>
  <c r="Q11" i="21" s="1"/>
  <c r="R11" i="21" s="1"/>
  <c r="R12" i="21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M13" i="21"/>
  <c r="M39" i="21"/>
  <c r="Y40" i="1" s="1"/>
  <c r="M23" i="21"/>
  <c r="Y24" i="1" s="1"/>
  <c r="I24" i="27"/>
  <c r="AM22" i="29" s="1"/>
  <c r="AL22" i="29"/>
  <c r="P164" i="21"/>
  <c r="Z64" i="1"/>
  <c r="R163" i="21"/>
  <c r="P132" i="21"/>
  <c r="N32" i="21" s="1"/>
  <c r="N31" i="21"/>
  <c r="R164" i="21"/>
  <c r="P124" i="21"/>
  <c r="F164" i="21"/>
  <c r="AA63" i="1"/>
  <c r="AA64" i="1"/>
  <c r="P163" i="21"/>
  <c r="Y64" i="1"/>
  <c r="G164" i="21"/>
  <c r="E164" i="21"/>
  <c r="P116" i="21"/>
  <c r="N16" i="21" s="1"/>
  <c r="N15" i="21"/>
  <c r="P140" i="21"/>
  <c r="P134" i="21"/>
  <c r="N34" i="21" s="1"/>
  <c r="N33" i="21"/>
  <c r="D164" i="21"/>
  <c r="F63" i="21"/>
  <c r="N64" i="1"/>
  <c r="P108" i="21"/>
  <c r="N8" i="21" s="1"/>
  <c r="N7" i="21"/>
  <c r="D163" i="21"/>
  <c r="O63" i="1"/>
  <c r="M64" i="1"/>
  <c r="O64" i="1"/>
  <c r="D63" i="21"/>
  <c r="E163" i="21"/>
  <c r="P152" i="21"/>
  <c r="N52" i="21" s="1"/>
  <c r="N51" i="21"/>
  <c r="Q164" i="21"/>
  <c r="F163" i="21"/>
  <c r="Q163" i="21"/>
  <c r="S164" i="21"/>
  <c r="P154" i="21"/>
  <c r="P148" i="21"/>
  <c r="N48" i="21" s="1"/>
  <c r="N47" i="21"/>
  <c r="P118" i="21"/>
  <c r="I15" i="23"/>
  <c r="H13" i="23"/>
  <c r="I14" i="23" s="1"/>
  <c r="O45" i="1"/>
  <c r="H19" i="23"/>
  <c r="I20" i="23" s="1"/>
  <c r="I21" i="23"/>
  <c r="H22" i="23"/>
  <c r="I22" i="23" s="1"/>
  <c r="I23" i="23"/>
  <c r="N59" i="1"/>
  <c r="I12" i="23"/>
  <c r="H10" i="23"/>
  <c r="I11" i="23" s="1"/>
  <c r="E59" i="21"/>
  <c r="H7" i="23"/>
  <c r="I8" i="23" s="1"/>
  <c r="I9" i="23"/>
  <c r="J30" i="21"/>
  <c r="O30" i="1"/>
  <c r="O17" i="1"/>
  <c r="A67" i="1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O27" i="1"/>
  <c r="O23" i="1"/>
  <c r="N60" i="21"/>
  <c r="P59" i="21" s="1"/>
  <c r="Q59" i="21" s="1"/>
  <c r="Z60" i="1" s="1"/>
  <c r="I18" i="23"/>
  <c r="H16" i="23"/>
  <c r="I17" i="23" s="1"/>
  <c r="J57" i="21"/>
  <c r="M58" i="1"/>
  <c r="O33" i="1"/>
  <c r="O15" i="1"/>
  <c r="F62" i="21"/>
  <c r="H61" i="21" s="1"/>
  <c r="I61" i="21" s="1"/>
  <c r="N62" i="1" s="1"/>
  <c r="I33" i="29"/>
  <c r="V19" i="29"/>
  <c r="P31" i="1"/>
  <c r="E66" i="1"/>
  <c r="R12" i="29"/>
  <c r="P17" i="1"/>
  <c r="R21" i="29"/>
  <c r="R6" i="29"/>
  <c r="AE33" i="29"/>
  <c r="P57" i="1"/>
  <c r="V17" i="29"/>
  <c r="P45" i="1"/>
  <c r="P65" i="1"/>
  <c r="P7" i="1"/>
  <c r="P35" i="1"/>
  <c r="Q65" i="1"/>
  <c r="E65" i="1"/>
  <c r="P51" i="1"/>
  <c r="AG33" i="29"/>
  <c r="AF33" i="29"/>
  <c r="P15" i="1"/>
  <c r="G33" i="29"/>
  <c r="R18" i="29"/>
  <c r="R9" i="29"/>
  <c r="F65" i="1"/>
  <c r="Q33" i="29"/>
  <c r="P33" i="29"/>
  <c r="AH33" i="29"/>
  <c r="Y33" i="29"/>
  <c r="F33" i="29"/>
  <c r="V5" i="29"/>
  <c r="V28" i="29"/>
  <c r="S27" i="29"/>
  <c r="W33" i="29"/>
  <c r="R24" i="29"/>
  <c r="V26" i="29"/>
  <c r="D65" i="1"/>
  <c r="R13" i="29"/>
  <c r="P33" i="1"/>
  <c r="V18" i="29"/>
  <c r="P5" i="1"/>
  <c r="P47" i="1"/>
  <c r="O30" i="29"/>
  <c r="R10" i="29"/>
  <c r="C33" i="29"/>
  <c r="D66" i="1"/>
  <c r="AE13" i="29"/>
  <c r="Q16" i="29"/>
  <c r="P21" i="1"/>
  <c r="X33" i="29"/>
  <c r="H33" i="29"/>
  <c r="R4" i="29"/>
  <c r="V33" i="29"/>
  <c r="AE21" i="29"/>
  <c r="V13" i="29"/>
  <c r="AE15" i="29"/>
  <c r="V27" i="29"/>
  <c r="AF31" i="29"/>
  <c r="P59" i="1"/>
  <c r="D33" i="29"/>
  <c r="V15" i="29"/>
  <c r="S33" i="29"/>
  <c r="V9" i="29"/>
  <c r="V21" i="29"/>
  <c r="O33" i="29"/>
  <c r="P53" i="1"/>
  <c r="R65" i="1"/>
  <c r="S66" i="1"/>
  <c r="R15" i="29"/>
  <c r="P32" i="29"/>
  <c r="F66" i="1"/>
  <c r="U33" i="29"/>
  <c r="P66" i="1"/>
  <c r="R33" i="29"/>
  <c r="E33" i="29"/>
  <c r="V10" i="29"/>
  <c r="R66" i="1"/>
  <c r="Q6" i="29"/>
  <c r="AF22" i="29"/>
  <c r="Q66" i="1"/>
  <c r="V25" i="29"/>
  <c r="T33" i="29"/>
  <c r="V12" i="29"/>
  <c r="P14" i="29"/>
  <c r="G66" i="1"/>
  <c r="P21" i="21" l="1"/>
  <c r="Q21" i="21" s="1"/>
  <c r="Z22" i="1" s="1"/>
  <c r="P35" i="21"/>
  <c r="Q35" i="21" s="1"/>
  <c r="Z36" i="1" s="1"/>
  <c r="P49" i="21"/>
  <c r="Q49" i="21" s="1"/>
  <c r="AA38" i="1"/>
  <c r="AA37" i="1" s="1"/>
  <c r="Y38" i="1"/>
  <c r="P159" i="21"/>
  <c r="L60" i="21" s="1"/>
  <c r="L59" i="21"/>
  <c r="P131" i="21"/>
  <c r="P151" i="21"/>
  <c r="L52" i="21" s="1"/>
  <c r="L51" i="21"/>
  <c r="N25" i="1"/>
  <c r="N12" i="1"/>
  <c r="J11" i="21"/>
  <c r="J12" i="21" s="1"/>
  <c r="AA50" i="1"/>
  <c r="AA49" i="1" s="1"/>
  <c r="Y14" i="1"/>
  <c r="P51" i="21"/>
  <c r="Q51" i="21" s="1"/>
  <c r="Z52" i="1" s="1"/>
  <c r="P7" i="21"/>
  <c r="Q7" i="21" s="1"/>
  <c r="Z8" i="1" s="1"/>
  <c r="F64" i="21"/>
  <c r="H63" i="21" s="1"/>
  <c r="I63" i="21" s="1"/>
  <c r="N62" i="21"/>
  <c r="P61" i="21" s="1"/>
  <c r="Q61" i="21" s="1"/>
  <c r="G166" i="21"/>
  <c r="Q166" i="21"/>
  <c r="R165" i="21"/>
  <c r="E166" i="21"/>
  <c r="P117" i="21"/>
  <c r="L18" i="21" s="1"/>
  <c r="L17" i="21"/>
  <c r="P153" i="21"/>
  <c r="Z66" i="1"/>
  <c r="P166" i="21"/>
  <c r="R166" i="21"/>
  <c r="Y66" i="1"/>
  <c r="AA66" i="1"/>
  <c r="AA65" i="1"/>
  <c r="P165" i="21"/>
  <c r="P147" i="21"/>
  <c r="P145" i="21"/>
  <c r="L46" i="21" s="1"/>
  <c r="L45" i="21"/>
  <c r="P115" i="21"/>
  <c r="L16" i="21" s="1"/>
  <c r="L15" i="21"/>
  <c r="E165" i="21"/>
  <c r="F166" i="21"/>
  <c r="N66" i="1"/>
  <c r="F65" i="21"/>
  <c r="D166" i="21"/>
  <c r="P135" i="21"/>
  <c r="P133" i="21"/>
  <c r="L34" i="21" s="1"/>
  <c r="L33" i="21"/>
  <c r="P107" i="21"/>
  <c r="S166" i="21"/>
  <c r="O65" i="1"/>
  <c r="D165" i="21"/>
  <c r="D65" i="21"/>
  <c r="O66" i="1"/>
  <c r="M66" i="1"/>
  <c r="Q165" i="21"/>
  <c r="F165" i="21"/>
  <c r="P121" i="21"/>
  <c r="L22" i="21" s="1"/>
  <c r="L21" i="21"/>
  <c r="P105" i="21"/>
  <c r="L6" i="21" s="1"/>
  <c r="L5" i="21"/>
  <c r="P157" i="21"/>
  <c r="L58" i="21" s="1"/>
  <c r="L57" i="21"/>
  <c r="I9" i="13"/>
  <c r="H7" i="13"/>
  <c r="I8" i="13" s="1"/>
  <c r="H19" i="13"/>
  <c r="I20" i="13" s="1"/>
  <c r="I21" i="13"/>
  <c r="A69" i="1"/>
  <c r="P33" i="21"/>
  <c r="Q33" i="21" s="1"/>
  <c r="Z34" i="1" s="1"/>
  <c r="I23" i="13"/>
  <c r="H22" i="13"/>
  <c r="I22" i="13" s="1"/>
  <c r="J58" i="21"/>
  <c r="O58" i="1"/>
  <c r="H16" i="13"/>
  <c r="I17" i="13" s="1"/>
  <c r="I18" i="13"/>
  <c r="I15" i="13"/>
  <c r="H13" i="13"/>
  <c r="I14" i="13" s="1"/>
  <c r="J59" i="21"/>
  <c r="M60" i="1"/>
  <c r="N63" i="1"/>
  <c r="N61" i="1"/>
  <c r="H10" i="13"/>
  <c r="I11" i="13" s="1"/>
  <c r="I12" i="13"/>
  <c r="O29" i="1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P47" i="21"/>
  <c r="Q47" i="21" s="1"/>
  <c r="Z48" i="1" s="1"/>
  <c r="L63" i="21"/>
  <c r="D64" i="21"/>
  <c r="L64" i="21" s="1"/>
  <c r="N63" i="21"/>
  <c r="P15" i="21"/>
  <c r="Q15" i="21" s="1"/>
  <c r="Z16" i="1" s="1"/>
  <c r="P31" i="21"/>
  <c r="Q31" i="21" s="1"/>
  <c r="S31" i="29"/>
  <c r="F68" i="1"/>
  <c r="Q68" i="1"/>
  <c r="R16" i="29"/>
  <c r="P34" i="29"/>
  <c r="S30" i="29"/>
  <c r="AE8" i="29"/>
  <c r="AE34" i="29"/>
  <c r="AG34" i="29"/>
  <c r="D67" i="1"/>
  <c r="S19" i="29"/>
  <c r="T34" i="29"/>
  <c r="AF25" i="29"/>
  <c r="X34" i="29"/>
  <c r="AH34" i="29"/>
  <c r="G34" i="29"/>
  <c r="C28" i="27"/>
  <c r="F34" i="29"/>
  <c r="S9" i="29"/>
  <c r="C22" i="27"/>
  <c r="S34" i="29"/>
  <c r="P68" i="1"/>
  <c r="Q34" i="29"/>
  <c r="I34" i="29"/>
  <c r="AF5" i="29"/>
  <c r="AF18" i="29"/>
  <c r="U34" i="29"/>
  <c r="AG20" i="29"/>
  <c r="V34" i="29"/>
  <c r="P67" i="1"/>
  <c r="Q67" i="1"/>
  <c r="S17" i="29"/>
  <c r="O34" i="29"/>
  <c r="AF19" i="29"/>
  <c r="S12" i="29"/>
  <c r="Q30" i="29"/>
  <c r="AG26" i="29"/>
  <c r="AF34" i="29"/>
  <c r="O31" i="29"/>
  <c r="E68" i="1"/>
  <c r="C34" i="29"/>
  <c r="S18" i="29"/>
  <c r="D34" i="29"/>
  <c r="S24" i="29"/>
  <c r="AF9" i="29"/>
  <c r="R68" i="1"/>
  <c r="AF27" i="29"/>
  <c r="S25" i="29"/>
  <c r="R67" i="1"/>
  <c r="S28" i="29"/>
  <c r="P7" i="29"/>
  <c r="S10" i="29"/>
  <c r="AE20" i="29"/>
  <c r="F67" i="1"/>
  <c r="G68" i="1"/>
  <c r="D68" i="1"/>
  <c r="E34" i="29"/>
  <c r="E67" i="1"/>
  <c r="S68" i="1"/>
  <c r="H34" i="29"/>
  <c r="AH20" i="29"/>
  <c r="S5" i="29"/>
  <c r="Y34" i="29"/>
  <c r="W34" i="29"/>
  <c r="R34" i="29"/>
  <c r="AH26" i="29"/>
  <c r="AF12" i="29"/>
  <c r="S4" i="29"/>
  <c r="Z50" i="1" l="1"/>
  <c r="R49" i="21"/>
  <c r="R50" i="21" s="1"/>
  <c r="H22" i="27"/>
  <c r="I22" i="27" s="1"/>
  <c r="AM20" i="29" s="1"/>
  <c r="M51" i="21"/>
  <c r="Y52" i="1" s="1"/>
  <c r="M59" i="21"/>
  <c r="N11" i="1"/>
  <c r="H28" i="27"/>
  <c r="AL26" i="29" s="1"/>
  <c r="N64" i="21"/>
  <c r="P63" i="21" s="1"/>
  <c r="Q63" i="21" s="1"/>
  <c r="E63" i="21"/>
  <c r="J63" i="21" s="1"/>
  <c r="J64" i="21" s="1"/>
  <c r="M21" i="21"/>
  <c r="R21" i="21" s="1"/>
  <c r="R22" i="21" s="1"/>
  <c r="M45" i="21"/>
  <c r="M17" i="21"/>
  <c r="M33" i="21"/>
  <c r="Y34" i="1" s="1"/>
  <c r="M5" i="21"/>
  <c r="M15" i="21"/>
  <c r="R15" i="21" s="1"/>
  <c r="F168" i="21"/>
  <c r="D167" i="21"/>
  <c r="D67" i="21"/>
  <c r="O67" i="1"/>
  <c r="M68" i="1"/>
  <c r="O68" i="1"/>
  <c r="E168" i="21"/>
  <c r="Z68" i="1"/>
  <c r="P168" i="21"/>
  <c r="E167" i="21"/>
  <c r="Q168" i="21"/>
  <c r="Q167" i="21"/>
  <c r="G168" i="21"/>
  <c r="F167" i="21"/>
  <c r="R168" i="21"/>
  <c r="S168" i="21"/>
  <c r="R167" i="21"/>
  <c r="N68" i="1"/>
  <c r="D168" i="21"/>
  <c r="F67" i="21"/>
  <c r="N67" i="21" s="1"/>
  <c r="Y68" i="1"/>
  <c r="AA67" i="1"/>
  <c r="AA68" i="1"/>
  <c r="P167" i="21"/>
  <c r="J60" i="21"/>
  <c r="O60" i="1"/>
  <c r="L65" i="21"/>
  <c r="N65" i="21"/>
  <c r="Z32" i="1"/>
  <c r="I9" i="22"/>
  <c r="H7" i="22"/>
  <c r="I8" i="22" s="1"/>
  <c r="M57" i="21"/>
  <c r="D66" i="21"/>
  <c r="L66" i="21" s="1"/>
  <c r="N65" i="1"/>
  <c r="H10" i="22"/>
  <c r="I11" i="22" s="1"/>
  <c r="I12" i="22"/>
  <c r="H19" i="22"/>
  <c r="I20" i="22" s="1"/>
  <c r="I21" i="22"/>
  <c r="I15" i="22"/>
  <c r="H13" i="22"/>
  <c r="I14" i="22" s="1"/>
  <c r="A71" i="1"/>
  <c r="M63" i="21"/>
  <c r="I23" i="22"/>
  <c r="H22" i="22"/>
  <c r="I22" i="22" s="1"/>
  <c r="H16" i="22"/>
  <c r="I17" i="22" s="1"/>
  <c r="I18" i="22"/>
  <c r="O57" i="1"/>
  <c r="F66" i="21"/>
  <c r="N66" i="21" s="1"/>
  <c r="Q35" i="29"/>
  <c r="E70" i="1"/>
  <c r="C35" i="29"/>
  <c r="R69" i="1"/>
  <c r="AH35" i="29"/>
  <c r="S35" i="29"/>
  <c r="E35" i="29"/>
  <c r="Q69" i="1"/>
  <c r="AE35" i="29"/>
  <c r="U35" i="29"/>
  <c r="S70" i="1"/>
  <c r="P69" i="1"/>
  <c r="Q70" i="1"/>
  <c r="V35" i="29"/>
  <c r="F35" i="29"/>
  <c r="D70" i="1"/>
  <c r="AF17" i="29"/>
  <c r="E69" i="1"/>
  <c r="Q31" i="29"/>
  <c r="T35" i="29"/>
  <c r="W35" i="29"/>
  <c r="AF26" i="29"/>
  <c r="X35" i="29"/>
  <c r="P70" i="1"/>
  <c r="H35" i="29"/>
  <c r="G70" i="1"/>
  <c r="P35" i="29"/>
  <c r="R70" i="1"/>
  <c r="Y35" i="29"/>
  <c r="D69" i="1"/>
  <c r="AF35" i="29"/>
  <c r="I35" i="29"/>
  <c r="F70" i="1"/>
  <c r="AE27" i="29"/>
  <c r="D35" i="29"/>
  <c r="R30" i="29"/>
  <c r="AE18" i="29"/>
  <c r="AG35" i="29"/>
  <c r="R35" i="29"/>
  <c r="O35" i="29"/>
  <c r="F69" i="1"/>
  <c r="G35" i="29"/>
  <c r="AL20" i="29" l="1"/>
  <c r="R51" i="21"/>
  <c r="R52" i="21" s="1"/>
  <c r="Y60" i="1"/>
  <c r="R59" i="21"/>
  <c r="I28" i="27"/>
  <c r="AM26" i="29" s="1"/>
  <c r="AA52" i="1"/>
  <c r="AA51" i="1" s="1"/>
  <c r="R63" i="21"/>
  <c r="R64" i="21" s="1"/>
  <c r="R33" i="21"/>
  <c r="AA34" i="1" s="1"/>
  <c r="Y16" i="1"/>
  <c r="Y22" i="1"/>
  <c r="AA22" i="1"/>
  <c r="Y18" i="1"/>
  <c r="R45" i="21"/>
  <c r="Y46" i="1"/>
  <c r="R5" i="21"/>
  <c r="Y6" i="1"/>
  <c r="E169" i="21"/>
  <c r="AA70" i="1"/>
  <c r="AA69" i="1"/>
  <c r="P169" i="21"/>
  <c r="Y70" i="1"/>
  <c r="Q169" i="21"/>
  <c r="Z70" i="1"/>
  <c r="P170" i="21"/>
  <c r="G170" i="21"/>
  <c r="R169" i="21"/>
  <c r="D69" i="21"/>
  <c r="O70" i="1"/>
  <c r="D169" i="21"/>
  <c r="O69" i="1"/>
  <c r="M70" i="1"/>
  <c r="F169" i="21"/>
  <c r="S170" i="21"/>
  <c r="E170" i="21"/>
  <c r="F170" i="21"/>
  <c r="R170" i="21"/>
  <c r="Q170" i="21"/>
  <c r="D170" i="21"/>
  <c r="F69" i="21"/>
  <c r="N69" i="21" s="1"/>
  <c r="N70" i="1"/>
  <c r="H65" i="21"/>
  <c r="I65" i="21" s="1"/>
  <c r="O59" i="1"/>
  <c r="F68" i="21"/>
  <c r="H67" i="21" s="1"/>
  <c r="I67" i="21" s="1"/>
  <c r="N67" i="1"/>
  <c r="E65" i="21"/>
  <c r="L67" i="21"/>
  <c r="P65" i="21"/>
  <c r="Q65" i="21" s="1"/>
  <c r="A73" i="1"/>
  <c r="Y58" i="1"/>
  <c r="R57" i="21"/>
  <c r="R16" i="21"/>
  <c r="AA16" i="1"/>
  <c r="M65" i="21"/>
  <c r="D68" i="21"/>
  <c r="L68" i="21" s="1"/>
  <c r="E71" i="1"/>
  <c r="AG9" i="29"/>
  <c r="R71" i="1"/>
  <c r="AG12" i="29"/>
  <c r="T36" i="29"/>
  <c r="U36" i="29"/>
  <c r="R72" i="1"/>
  <c r="AE24" i="29"/>
  <c r="D71" i="1"/>
  <c r="AG18" i="29"/>
  <c r="AH27" i="29"/>
  <c r="AE4" i="29"/>
  <c r="G72" i="1"/>
  <c r="Y36" i="29"/>
  <c r="AE31" i="29"/>
  <c r="P36" i="29"/>
  <c r="R31" i="29"/>
  <c r="Q36" i="29"/>
  <c r="D36" i="29"/>
  <c r="AE36" i="29"/>
  <c r="Q72" i="1"/>
  <c r="C36" i="29"/>
  <c r="C14" i="27"/>
  <c r="P72" i="1"/>
  <c r="P71" i="1"/>
  <c r="E72" i="1"/>
  <c r="S72" i="1"/>
  <c r="W36" i="29"/>
  <c r="AE12" i="29"/>
  <c r="AG36" i="29"/>
  <c r="S36" i="29"/>
  <c r="D72" i="1"/>
  <c r="G36" i="29"/>
  <c r="AG27" i="29"/>
  <c r="I36" i="29"/>
  <c r="H36" i="29"/>
  <c r="V36" i="29"/>
  <c r="F71" i="1"/>
  <c r="O36" i="29"/>
  <c r="F36" i="29"/>
  <c r="AF36" i="29"/>
  <c r="AE10" i="29"/>
  <c r="AH36" i="29"/>
  <c r="C20" i="27"/>
  <c r="R36" i="29"/>
  <c r="Q71" i="1"/>
  <c r="F72" i="1"/>
  <c r="C11" i="27"/>
  <c r="E36" i="29"/>
  <c r="AE30" i="29"/>
  <c r="X36" i="29"/>
  <c r="AE9" i="29"/>
  <c r="R60" i="21" l="1"/>
  <c r="AA60" i="1"/>
  <c r="R34" i="21"/>
  <c r="H14" i="27"/>
  <c r="AL12" i="29" s="1"/>
  <c r="AA21" i="1"/>
  <c r="N68" i="21"/>
  <c r="P67" i="21" s="1"/>
  <c r="Q67" i="21" s="1"/>
  <c r="R46" i="21"/>
  <c r="AA46" i="1"/>
  <c r="J65" i="21"/>
  <c r="J66" i="21" s="1"/>
  <c r="R6" i="21"/>
  <c r="AA6" i="1"/>
  <c r="E171" i="21"/>
  <c r="R172" i="21"/>
  <c r="F171" i="21"/>
  <c r="H20" i="27"/>
  <c r="Q172" i="21"/>
  <c r="N72" i="1"/>
  <c r="D172" i="21"/>
  <c r="F71" i="21"/>
  <c r="Q171" i="21"/>
  <c r="AA72" i="1"/>
  <c r="P171" i="21"/>
  <c r="Y72" i="1"/>
  <c r="AA71" i="1"/>
  <c r="H11" i="27"/>
  <c r="O71" i="1"/>
  <c r="D171" i="21"/>
  <c r="D71" i="21"/>
  <c r="M72" i="1"/>
  <c r="O72" i="1"/>
  <c r="F172" i="21"/>
  <c r="Z72" i="1"/>
  <c r="P172" i="21"/>
  <c r="G172" i="21"/>
  <c r="R171" i="21"/>
  <c r="E172" i="21"/>
  <c r="S172" i="21"/>
  <c r="AA33" i="1"/>
  <c r="M67" i="21"/>
  <c r="F70" i="21"/>
  <c r="H69" i="21" s="1"/>
  <c r="I69" i="21" s="1"/>
  <c r="L69" i="21"/>
  <c r="AA15" i="1"/>
  <c r="R58" i="21"/>
  <c r="AA58" i="1"/>
  <c r="E67" i="21"/>
  <c r="J67" i="21" s="1"/>
  <c r="J68" i="21" s="1"/>
  <c r="R65" i="21"/>
  <c r="R66" i="21" s="1"/>
  <c r="N69" i="1"/>
  <c r="D70" i="21"/>
  <c r="L70" i="21" s="1"/>
  <c r="AH37" i="29"/>
  <c r="P74" i="1"/>
  <c r="I37" i="29"/>
  <c r="P73" i="1"/>
  <c r="AG37" i="29"/>
  <c r="AG4" i="29"/>
  <c r="AG31" i="29"/>
  <c r="S37" i="29"/>
  <c r="AG30" i="29"/>
  <c r="C33" i="27"/>
  <c r="V37" i="29"/>
  <c r="G37" i="29"/>
  <c r="Q73" i="1"/>
  <c r="AF37" i="29"/>
  <c r="R73" i="1"/>
  <c r="U37" i="29"/>
  <c r="W37" i="29"/>
  <c r="X37" i="29"/>
  <c r="AH9" i="29"/>
  <c r="D73" i="1"/>
  <c r="D74" i="1"/>
  <c r="F74" i="1"/>
  <c r="AH18" i="29"/>
  <c r="AE37" i="29"/>
  <c r="E74" i="1"/>
  <c r="C26" i="27"/>
  <c r="AH12" i="29"/>
  <c r="G74" i="1"/>
  <c r="C37" i="29"/>
  <c r="F73" i="1"/>
  <c r="Q74" i="1"/>
  <c r="F37" i="29"/>
  <c r="E37" i="29"/>
  <c r="R74" i="1"/>
  <c r="H37" i="29"/>
  <c r="T37" i="29"/>
  <c r="D37" i="29"/>
  <c r="Y37" i="29"/>
  <c r="P37" i="29"/>
  <c r="R37" i="29"/>
  <c r="AG24" i="29"/>
  <c r="Q37" i="29"/>
  <c r="S74" i="1"/>
  <c r="E73" i="1"/>
  <c r="O37" i="29"/>
  <c r="C6" i="27"/>
  <c r="H33" i="27" l="1"/>
  <c r="AA59" i="1"/>
  <c r="I14" i="27"/>
  <c r="AM12" i="29" s="1"/>
  <c r="R67" i="21"/>
  <c r="R68" i="21" s="1"/>
  <c r="H26" i="27"/>
  <c r="AA45" i="1"/>
  <c r="D72" i="21"/>
  <c r="L72" i="21" s="1"/>
  <c r="H6" i="27"/>
  <c r="AA5" i="1"/>
  <c r="E69" i="21"/>
  <c r="J69" i="21" s="1"/>
  <c r="J70" i="21" s="1"/>
  <c r="F73" i="21"/>
  <c r="D174" i="21"/>
  <c r="N74" i="1"/>
  <c r="F173" i="21"/>
  <c r="O73" i="1"/>
  <c r="M74" i="1"/>
  <c r="D73" i="21"/>
  <c r="O74" i="1"/>
  <c r="D173" i="21"/>
  <c r="Q174" i="21"/>
  <c r="R174" i="21"/>
  <c r="E173" i="21"/>
  <c r="G174" i="21"/>
  <c r="E174" i="21"/>
  <c r="Y74" i="1"/>
  <c r="AA74" i="1"/>
  <c r="AA73" i="1"/>
  <c r="P173" i="21"/>
  <c r="Q173" i="21"/>
  <c r="S174" i="21"/>
  <c r="P174" i="21"/>
  <c r="Z74" i="1"/>
  <c r="F174" i="21"/>
  <c r="R173" i="21"/>
  <c r="F72" i="21"/>
  <c r="N72" i="21" s="1"/>
  <c r="L71" i="21"/>
  <c r="I11" i="27"/>
  <c r="AM9" i="29" s="1"/>
  <c r="AL9" i="29"/>
  <c r="N71" i="1"/>
  <c r="N70" i="21"/>
  <c r="P69" i="21" s="1"/>
  <c r="Q69" i="21" s="1"/>
  <c r="AA57" i="1"/>
  <c r="M69" i="21"/>
  <c r="N71" i="21"/>
  <c r="AL18" i="29"/>
  <c r="I20" i="27"/>
  <c r="AM18" i="29" s="1"/>
  <c r="AH30" i="29"/>
  <c r="V38" i="29"/>
  <c r="AH24" i="29"/>
  <c r="AH38" i="29"/>
  <c r="F38" i="29"/>
  <c r="P38" i="29"/>
  <c r="Y38" i="29"/>
  <c r="E38" i="29"/>
  <c r="AF38" i="29"/>
  <c r="D38" i="29"/>
  <c r="AG38" i="29"/>
  <c r="T38" i="29"/>
  <c r="G38" i="29"/>
  <c r="S38" i="29"/>
  <c r="W38" i="29"/>
  <c r="X38" i="29"/>
  <c r="AE38" i="29"/>
  <c r="C38" i="29"/>
  <c r="U38" i="29"/>
  <c r="Q38" i="29"/>
  <c r="R38" i="29"/>
  <c r="O38" i="29"/>
  <c r="AH4" i="29"/>
  <c r="AH31" i="29"/>
  <c r="I38" i="29"/>
  <c r="H38" i="29"/>
  <c r="AL31" i="29" l="1"/>
  <c r="I33" i="27"/>
  <c r="AM31" i="29" s="1"/>
  <c r="P71" i="21"/>
  <c r="Q71" i="21" s="1"/>
  <c r="D74" i="21"/>
  <c r="L74" i="21" s="1"/>
  <c r="E71" i="21"/>
  <c r="I26" i="27"/>
  <c r="AM24" i="29" s="1"/>
  <c r="AL24" i="29"/>
  <c r="H71" i="21"/>
  <c r="I71" i="21" s="1"/>
  <c r="AL4" i="29"/>
  <c r="I6" i="27"/>
  <c r="AM4" i="29" s="1"/>
  <c r="R69" i="21"/>
  <c r="R70" i="21" s="1"/>
  <c r="L73" i="21"/>
  <c r="N73" i="1"/>
  <c r="M71" i="21"/>
  <c r="F74" i="21"/>
  <c r="N74" i="21" s="1"/>
  <c r="N73" i="21"/>
  <c r="M73" i="21" l="1"/>
  <c r="R71" i="21"/>
  <c r="R72" i="21" s="1"/>
  <c r="E73" i="21"/>
  <c r="J71" i="21"/>
  <c r="J72" i="21" s="1"/>
  <c r="H73" i="21"/>
  <c r="I73" i="21" s="1"/>
  <c r="P73" i="21"/>
  <c r="Q73" i="21" s="1"/>
  <c r="R73" i="21" l="1"/>
  <c r="R74" i="21" s="1"/>
  <c r="J73" i="21"/>
  <c r="J74" i="21" s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D43" i="1"/>
  <c r="D7" i="1"/>
  <c r="D47" i="1"/>
  <c r="D61" i="1"/>
  <c r="D35" i="1"/>
  <c r="D53" i="1"/>
  <c r="D31" i="1"/>
  <c r="D25" i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D135" i="21"/>
  <c r="D36" i="21" s="1"/>
  <c r="L36" i="21" s="1"/>
  <c r="D35" i="21"/>
  <c r="D53" i="21"/>
  <c r="L53" i="21" s="1"/>
  <c r="D153" i="21"/>
  <c r="D54" i="21" s="1"/>
  <c r="L54" i="21" s="1"/>
  <c r="D131" i="21"/>
  <c r="D32" i="21" s="1"/>
  <c r="L32" i="21" s="1"/>
  <c r="D31" i="21"/>
  <c r="L31" i="21" s="1"/>
  <c r="D143" i="21"/>
  <c r="D44" i="21" s="1"/>
  <c r="L44" i="21" s="1"/>
  <c r="D43" i="21"/>
  <c r="D25" i="21"/>
  <c r="L25" i="21" s="1"/>
  <c r="D125" i="21"/>
  <c r="D26" i="21" s="1"/>
  <c r="L26" i="21" s="1"/>
  <c r="D7" i="21"/>
  <c r="L7" i="21" s="1"/>
  <c r="D107" i="21"/>
  <c r="D8" i="21" s="1"/>
  <c r="L8" i="21" s="1"/>
  <c r="D47" i="21"/>
  <c r="D147" i="21"/>
  <c r="D48" i="21" s="1"/>
  <c r="L48" i="21" s="1"/>
  <c r="D61" i="21"/>
  <c r="L61" i="21" s="1"/>
  <c r="D161" i="21"/>
  <c r="D62" i="21" s="1"/>
  <c r="L62" i="21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C19" i="29"/>
  <c r="C23" i="29"/>
  <c r="C5" i="29"/>
  <c r="C17" i="29"/>
  <c r="C32" i="29"/>
  <c r="C25" i="29"/>
  <c r="C14" i="29"/>
  <c r="C28" i="29"/>
  <c r="M61" i="21" l="1"/>
  <c r="R61" i="21" s="1"/>
  <c r="R62" i="21" s="1"/>
  <c r="H22" i="5"/>
  <c r="I22" i="5" s="1"/>
  <c r="E47" i="21"/>
  <c r="J47" i="21" s="1"/>
  <c r="M25" i="21"/>
  <c r="R25" i="21" s="1"/>
  <c r="R26" i="21" s="1"/>
  <c r="E43" i="21"/>
  <c r="J43" i="21" s="1"/>
  <c r="I8" i="5"/>
  <c r="M31" i="21"/>
  <c r="R31" i="21" s="1"/>
  <c r="I9" i="5"/>
  <c r="I21" i="5"/>
  <c r="E31" i="21"/>
  <c r="J31" i="21" s="1"/>
  <c r="I15" i="5"/>
  <c r="I18" i="5"/>
  <c r="I17" i="5"/>
  <c r="E25" i="21"/>
  <c r="J25" i="21" s="1"/>
  <c r="L47" i="21"/>
  <c r="M47" i="21" s="1"/>
  <c r="R47" i="21" s="1"/>
  <c r="I11" i="5"/>
  <c r="I12" i="5"/>
  <c r="H19" i="5"/>
  <c r="I20" i="5" s="1"/>
  <c r="M7" i="21"/>
  <c r="R7" i="21" s="1"/>
  <c r="M53" i="21"/>
  <c r="Y54" i="1" s="1"/>
  <c r="I14" i="5"/>
  <c r="E61" i="21"/>
  <c r="M62" i="1" s="1"/>
  <c r="L43" i="21"/>
  <c r="M43" i="21" s="1"/>
  <c r="R43" i="21" s="1"/>
  <c r="R44" i="21" s="1"/>
  <c r="E7" i="21"/>
  <c r="J7" i="21" s="1"/>
  <c r="E53" i="21"/>
  <c r="J53" i="21" s="1"/>
  <c r="E35" i="21"/>
  <c r="L35" i="21"/>
  <c r="M35" i="21" s="1"/>
  <c r="M44" i="1"/>
  <c r="M8" i="1"/>
  <c r="M26" i="1"/>
  <c r="M32" i="1"/>
  <c r="AE28" i="29"/>
  <c r="O17" i="29"/>
  <c r="O5" i="29"/>
  <c r="O32" i="29"/>
  <c r="O14" i="29"/>
  <c r="O23" i="29"/>
  <c r="J61" i="21" l="1"/>
  <c r="O62" i="1" s="1"/>
  <c r="M48" i="1"/>
  <c r="Y48" i="1"/>
  <c r="Y32" i="1"/>
  <c r="Y8" i="1"/>
  <c r="M54" i="1"/>
  <c r="R35" i="21"/>
  <c r="Y36" i="1"/>
  <c r="J35" i="21"/>
  <c r="M36" i="1"/>
  <c r="R48" i="21"/>
  <c r="AA48" i="1"/>
  <c r="J48" i="21"/>
  <c r="O48" i="1"/>
  <c r="J26" i="21"/>
  <c r="O26" i="1"/>
  <c r="R8" i="21"/>
  <c r="AA8" i="1"/>
  <c r="R32" i="21"/>
  <c r="AA32" i="1"/>
  <c r="J32" i="21"/>
  <c r="O32" i="1"/>
  <c r="J54" i="21"/>
  <c r="O54" i="1"/>
  <c r="J8" i="21"/>
  <c r="O8" i="1"/>
  <c r="J44" i="21"/>
  <c r="O44" i="1"/>
  <c r="Q28" i="29"/>
  <c r="Q25" i="29"/>
  <c r="Q32" i="29"/>
  <c r="C7" i="27"/>
  <c r="AE19" i="29"/>
  <c r="C19" i="27"/>
  <c r="O25" i="29"/>
  <c r="AG17" i="29"/>
  <c r="AG5" i="29"/>
  <c r="Q14" i="29"/>
  <c r="Q23" i="29"/>
  <c r="Q5" i="29"/>
  <c r="AE17" i="29"/>
  <c r="AG25" i="29"/>
  <c r="Q17" i="29"/>
  <c r="O28" i="29"/>
  <c r="AE25" i="29"/>
  <c r="O19" i="29"/>
  <c r="AE5" i="29"/>
  <c r="C27" i="27"/>
  <c r="J62" i="21" l="1"/>
  <c r="J36" i="21"/>
  <c r="O36" i="1"/>
  <c r="R36" i="21"/>
  <c r="AA36" i="1"/>
  <c r="H19" i="27"/>
  <c r="H7" i="27"/>
  <c r="H27" i="27"/>
  <c r="O7" i="1"/>
  <c r="AA31" i="1"/>
  <c r="AA7" i="1"/>
  <c r="O47" i="1"/>
  <c r="O31" i="1"/>
  <c r="O43" i="1"/>
  <c r="O53" i="1"/>
  <c r="O61" i="1"/>
  <c r="O25" i="1"/>
  <c r="AA47" i="1"/>
  <c r="R28" i="29"/>
  <c r="R23" i="29"/>
  <c r="R25" i="29"/>
  <c r="AH17" i="29"/>
  <c r="R32" i="29"/>
  <c r="R17" i="29"/>
  <c r="R14" i="29"/>
  <c r="AH25" i="29"/>
  <c r="AH5" i="29"/>
  <c r="Q19" i="29"/>
  <c r="AG19" i="29"/>
  <c r="R5" i="29"/>
  <c r="AA35" i="1" l="1"/>
  <c r="O35" i="1"/>
  <c r="AL5" i="29"/>
  <c r="I7" i="27"/>
  <c r="I27" i="27"/>
  <c r="AM25" i="29" s="1"/>
  <c r="AL25" i="29"/>
  <c r="I19" i="27"/>
  <c r="AM17" i="29" s="1"/>
  <c r="AL17" i="29"/>
  <c r="R19" i="29"/>
  <c r="AH19" i="29"/>
  <c r="AM5" i="29" l="1"/>
  <c r="AN219" i="21"/>
  <c r="V220" i="21" s="1"/>
  <c r="W221" i="21" s="1"/>
  <c r="C58" i="20" l="1"/>
  <c r="B58" i="20"/>
  <c r="Z221" i="21"/>
  <c r="E58" i="20" s="1"/>
  <c r="W224" i="21"/>
  <c r="X220" i="21"/>
  <c r="B57" i="20"/>
  <c r="D57" i="20" l="1"/>
  <c r="X225" i="21"/>
  <c r="V225" i="21" s="1"/>
  <c r="AA220" i="21"/>
  <c r="G57" i="20" s="1"/>
  <c r="AN362" i="21" l="1"/>
  <c r="AN1319" i="21" l="1"/>
  <c r="V1320" i="21" s="1"/>
  <c r="B57" i="18" l="1"/>
  <c r="W1321" i="21"/>
  <c r="V1321" i="21" s="1"/>
  <c r="W1324" i="21" l="1"/>
  <c r="C58" i="18"/>
  <c r="Z1321" i="21"/>
  <c r="E58" i="18" s="1"/>
  <c r="B58" i="18"/>
  <c r="X1320" i="21"/>
  <c r="D57" i="18" l="1"/>
  <c r="X1325" i="21"/>
  <c r="AA1320" i="21"/>
  <c r="G57" i="18" s="1"/>
  <c r="V1325" i="21" l="1"/>
  <c r="S54" i="1"/>
  <c r="S40" i="1"/>
  <c r="S20" i="1"/>
  <c r="S14" i="1"/>
  <c r="S18" i="1"/>
  <c r="S24" i="1"/>
  <c r="S28" i="1"/>
  <c r="S124" i="21" l="1"/>
  <c r="N24" i="21" s="1"/>
  <c r="N23" i="21"/>
  <c r="S154" i="21"/>
  <c r="N54" i="21" s="1"/>
  <c r="N53" i="21"/>
  <c r="S120" i="21"/>
  <c r="N20" i="21" s="1"/>
  <c r="N19" i="21"/>
  <c r="S114" i="21"/>
  <c r="N14" i="21" s="1"/>
  <c r="N13" i="21"/>
  <c r="S118" i="21"/>
  <c r="N18" i="21" s="1"/>
  <c r="N17" i="21"/>
  <c r="S128" i="21"/>
  <c r="N28" i="21" s="1"/>
  <c r="N27" i="21"/>
  <c r="S140" i="21"/>
  <c r="N40" i="21" s="1"/>
  <c r="N39" i="21"/>
  <c r="G8" i="18"/>
  <c r="H8" i="18" s="1"/>
  <c r="G18" i="18"/>
  <c r="H18" i="18" s="1"/>
  <c r="G11" i="18"/>
  <c r="H11" i="18" s="1"/>
  <c r="G14" i="18"/>
  <c r="H14" i="18" s="1"/>
  <c r="G17" i="18"/>
  <c r="H17" i="18" s="1"/>
  <c r="G21" i="18"/>
  <c r="H21" i="18" s="1"/>
  <c r="G20" i="18"/>
  <c r="H20" i="18" s="1"/>
  <c r="G9" i="18"/>
  <c r="H9" i="18" s="1"/>
  <c r="G12" i="18"/>
  <c r="H12" i="18" s="1"/>
  <c r="G23" i="18"/>
  <c r="H23" i="18" s="1"/>
  <c r="G15" i="18"/>
  <c r="H15" i="18" s="1"/>
  <c r="G16" i="18"/>
  <c r="G13" i="18"/>
  <c r="G7" i="18"/>
  <c r="G19" i="18"/>
  <c r="G10" i="18"/>
  <c r="G22" i="18"/>
  <c r="Y28" i="29"/>
  <c r="Y13" i="29"/>
  <c r="Y15" i="29"/>
  <c r="Y21" i="29"/>
  <c r="Y8" i="29"/>
  <c r="Y11" i="29"/>
  <c r="Y10" i="29"/>
  <c r="P53" i="21" l="1"/>
  <c r="Q53" i="21" s="1"/>
  <c r="R53" i="21" s="1"/>
  <c r="R54" i="21" s="1"/>
  <c r="P17" i="21"/>
  <c r="Q17" i="21" s="1"/>
  <c r="R17" i="21" s="1"/>
  <c r="R18" i="21" s="1"/>
  <c r="P23" i="21"/>
  <c r="Q23" i="21" s="1"/>
  <c r="R23" i="21" s="1"/>
  <c r="R24" i="21" s="1"/>
  <c r="P27" i="21"/>
  <c r="Q27" i="21" s="1"/>
  <c r="I23" i="18"/>
  <c r="H22" i="18"/>
  <c r="I22" i="18" s="1"/>
  <c r="H10" i="18"/>
  <c r="I11" i="18" s="1"/>
  <c r="I12" i="18"/>
  <c r="I21" i="18"/>
  <c r="H19" i="18"/>
  <c r="I20" i="18" s="1"/>
  <c r="P13" i="21"/>
  <c r="Q13" i="21" s="1"/>
  <c r="H13" i="18"/>
  <c r="I14" i="18" s="1"/>
  <c r="I15" i="18"/>
  <c r="I18" i="18"/>
  <c r="H16" i="18"/>
  <c r="I17" i="18" s="1"/>
  <c r="H7" i="18"/>
  <c r="I8" i="18" s="1"/>
  <c r="I9" i="18"/>
  <c r="P39" i="21"/>
  <c r="Q39" i="21" s="1"/>
  <c r="P19" i="21"/>
  <c r="Q19" i="21" s="1"/>
  <c r="Z54" i="1" l="1"/>
  <c r="AA18" i="1"/>
  <c r="AA17" i="1" s="1"/>
  <c r="AA54" i="1"/>
  <c r="AA53" i="1" s="1"/>
  <c r="Z18" i="1"/>
  <c r="AA24" i="1"/>
  <c r="AA23" i="1" s="1"/>
  <c r="Z24" i="1"/>
  <c r="R27" i="21"/>
  <c r="Z28" i="1"/>
  <c r="R39" i="21"/>
  <c r="Z40" i="1"/>
  <c r="R19" i="21"/>
  <c r="Z20" i="1"/>
  <c r="R13" i="21"/>
  <c r="Z14" i="1"/>
  <c r="C30" i="27"/>
  <c r="AF15" i="29"/>
  <c r="AH10" i="29"/>
  <c r="AH28" i="29"/>
  <c r="AF8" i="29"/>
  <c r="AG13" i="29"/>
  <c r="AF10" i="29"/>
  <c r="AF13" i="29"/>
  <c r="C15" i="27"/>
  <c r="AF21" i="29"/>
  <c r="AG10" i="29"/>
  <c r="AF11" i="29"/>
  <c r="AG28" i="29"/>
  <c r="C12" i="27"/>
  <c r="AH13" i="29"/>
  <c r="AF28" i="29"/>
  <c r="H12" i="27" l="1"/>
  <c r="I12" i="27" s="1"/>
  <c r="AM10" i="29" s="1"/>
  <c r="H30" i="27"/>
  <c r="AL28" i="29" s="1"/>
  <c r="H15" i="27"/>
  <c r="I15" i="27" s="1"/>
  <c r="AM13" i="29" s="1"/>
  <c r="R28" i="21"/>
  <c r="AA28" i="1"/>
  <c r="R20" i="21"/>
  <c r="AA20" i="1"/>
  <c r="R14" i="21"/>
  <c r="AA14" i="1"/>
  <c r="R40" i="21"/>
  <c r="AA40" i="1"/>
  <c r="AG8" i="29"/>
  <c r="AG21" i="29"/>
  <c r="C23" i="27"/>
  <c r="C17" i="27"/>
  <c r="C10" i="27"/>
  <c r="AG11" i="29"/>
  <c r="AG15" i="29"/>
  <c r="C13" i="27"/>
  <c r="AL10" i="29" l="1"/>
  <c r="I30" i="27"/>
  <c r="AM28" i="29" s="1"/>
  <c r="AL13" i="29"/>
  <c r="H17" i="27"/>
  <c r="AA27" i="1"/>
  <c r="C41" i="27"/>
  <c r="H10" i="27"/>
  <c r="H23" i="27"/>
  <c r="H13" i="27"/>
  <c r="AA13" i="1"/>
  <c r="AA39" i="1"/>
  <c r="AA19" i="1"/>
  <c r="AH8" i="29"/>
  <c r="AH11" i="29"/>
  <c r="AH21" i="29"/>
  <c r="AH15" i="29"/>
  <c r="AL15" i="29" l="1"/>
  <c r="I17" i="27"/>
  <c r="AM15" i="29" s="1"/>
  <c r="AL8" i="29"/>
  <c r="I10" i="27"/>
  <c r="AL11" i="29"/>
  <c r="I13" i="27"/>
  <c r="AM11" i="29" s="1"/>
  <c r="AL21" i="29"/>
  <c r="I23" i="27"/>
  <c r="AM21" i="29" s="1"/>
  <c r="AM8" i="29" l="1"/>
  <c r="I41" i="27"/>
</calcChain>
</file>

<file path=xl/sharedStrings.xml><?xml version="1.0" encoding="utf-8"?>
<sst xmlns="http://schemas.openxmlformats.org/spreadsheetml/2006/main" count="1816" uniqueCount="168">
  <si>
    <t>Lehrer:</t>
  </si>
  <si>
    <t>1. Halbjahr</t>
  </si>
  <si>
    <t>2. Halbjahr</t>
  </si>
  <si>
    <t>Nr</t>
  </si>
  <si>
    <t>Familienname</t>
  </si>
  <si>
    <t>Vorname</t>
  </si>
  <si>
    <t>5+</t>
  </si>
  <si>
    <t>3-</t>
  </si>
  <si>
    <t>4+</t>
  </si>
  <si>
    <t>6+</t>
  </si>
  <si>
    <t>4-</t>
  </si>
  <si>
    <t>5-</t>
  </si>
  <si>
    <t>ref.</t>
  </si>
  <si>
    <t>Schulaufgaben</t>
  </si>
  <si>
    <t>Fa-</t>
  </si>
  <si>
    <t>Name</t>
  </si>
  <si>
    <t>Anzahl</t>
  </si>
  <si>
    <t>Note</t>
  </si>
  <si>
    <t xml:space="preserve">Schuljahr: </t>
  </si>
  <si>
    <t>EP</t>
  </si>
  <si>
    <t>Kl.:</t>
  </si>
  <si>
    <t>Extemporale</t>
  </si>
  <si>
    <t>-</t>
  </si>
  <si>
    <t>Stand:</t>
  </si>
  <si>
    <t>Klasse:</t>
  </si>
  <si>
    <t>Auswertung</t>
  </si>
  <si>
    <t/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</si>
  <si>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</si>
  <si>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</si>
  <si>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</si>
  <si>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</si>
  <si>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</si>
  <si>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</si>
  <si>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</si>
  <si>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</si>
  <si>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</si>
  <si>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</si>
  <si>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</si>
  <si>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</si>
  <si>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</si>
  <si>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</si>
  <si>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</si>
  <si>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</si>
  <si>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</si>
  <si>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</si>
  <si>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</si>
  <si>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</si>
  <si>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</si>
  <si>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</si>
  <si>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</si>
  <si>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</si>
  <si>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</si>
  <si>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</si>
  <si>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schr</t>
  </si>
  <si>
    <t>mnd</t>
  </si>
  <si>
    <t>1.Hj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</si>
  <si>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</si>
  <si>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</si>
  <si>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</si>
  <si>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</si>
  <si>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</si>
  <si>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</si>
  <si>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 - 3. Schulaufgabe aus</t>
  </si>
  <si>
    <t>II - 1. Schulaufgabe aus</t>
  </si>
  <si>
    <t>II - 2. Schulaufgabe aus</t>
  </si>
  <si>
    <t>II - 3. Schulaufgabe aus</t>
  </si>
  <si>
    <t>Gewichte</t>
  </si>
  <si>
    <t>Eingabe über:</t>
  </si>
  <si>
    <t>I-1.SA</t>
  </si>
  <si>
    <t>I-2.SA</t>
  </si>
  <si>
    <t>I-3.SA</t>
  </si>
  <si>
    <t>I-1.Ext</t>
  </si>
  <si>
    <t>I-2.Ext</t>
  </si>
  <si>
    <t>I-3.Ext</t>
  </si>
  <si>
    <t>I-4.Ext</t>
  </si>
  <si>
    <t>II-1.SA</t>
  </si>
  <si>
    <t>II-2.SA</t>
  </si>
  <si>
    <t>II-3.SA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</si>
  <si>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</si>
  <si>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</si>
  <si>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</si>
  <si>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</si>
  <si>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</si>
  <si>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</si>
  <si>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</si>
  <si>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</si>
  <si>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</si>
  <si>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</si>
  <si>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</si>
  <si>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</si>
  <si>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</si>
  <si>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</si>
  <si>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JF</t>
  </si>
  <si>
    <t>mdl. Lstg.</t>
  </si>
  <si>
    <t>P</t>
  </si>
  <si>
    <t>SI1</t>
  </si>
  <si>
    <t>SI2</t>
  </si>
  <si>
    <t>SI3</t>
  </si>
  <si>
    <t>FR</t>
  </si>
  <si>
    <t>MI1</t>
  </si>
  <si>
    <t>MI2</t>
  </si>
  <si>
    <t>MI3</t>
  </si>
  <si>
    <t>SA</t>
  </si>
  <si>
    <t>sL</t>
  </si>
  <si>
    <t>S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</si>
  <si>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</si>
  <si>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</si>
  <si>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</si>
  <si>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</si>
  <si>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</si>
  <si>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</si>
  <si>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</si>
  <si>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</si>
  <si>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</si>
  <si>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</si>
  <si>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</si>
  <si>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</si>
  <si>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</si>
  <si>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</si>
  <si>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</si>
  <si>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</si>
  <si>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</si>
  <si>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</si>
  <si>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</si>
  <si>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</si>
  <si>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</si>
  <si>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</si>
  <si>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</si>
  <si>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</si>
  <si>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</si>
  <si>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</si>
  <si>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</si>
  <si>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</si>
  <si>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</si>
  <si>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</si>
  <si>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</si>
  <si>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</si>
  <si>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</si>
  <si>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</si>
  <si>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</si>
  <si>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</si>
  <si>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</si>
  <si>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2:1-Fach</t>
  </si>
  <si>
    <t>FOS / BOS Kempten</t>
  </si>
  <si>
    <t>Verbindung zur Schulverwaltung</t>
  </si>
  <si>
    <t>Mathe</t>
  </si>
  <si>
    <t>Englisch</t>
  </si>
  <si>
    <t>UMGEDREHTE LISTE</t>
  </si>
  <si>
    <t>II-4.Ext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</si>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</sst>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#\ ???/???"/>
    <numFmt numFmtId="170" formatCode="dd/\ mmmm\ yyyy"/>
  </numFmts>
  <fonts count="3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</font>
    <font>
      <b/>
      <sz val="9"/>
      <color indexed="8"/>
      <name val="Times New Roman"/>
      <family val="1"/>
    </font>
    <font>
      <sz val="10"/>
      <name val="Times New Roman"/>
      <family val="1"/>
    </font>
    <font>
      <sz val="10"/>
      <color indexed="9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1"/>
      <name val="Times New Roman"/>
      <family val="1"/>
    </font>
    <font>
      <b/>
      <sz val="9"/>
      <color indexed="10"/>
      <name val="Times New Roman"/>
      <family val="1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color indexed="10"/>
      <name val="Arial"/>
    </font>
    <font>
      <sz val="8"/>
      <name val="Arial"/>
    </font>
    <font>
      <sz val="10"/>
      <color indexed="10"/>
      <name val="Times New Roman"/>
      <family val="1"/>
    </font>
    <font>
      <sz val="8"/>
      <color indexed="8"/>
      <name val="Times New Roman"/>
      <family val="1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45">
    <xf numFmtId="0" fontId="0" fillId="0" borderId="0" xfId="0"/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11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12" fillId="2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2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0" fontId="13" fillId="3" borderId="15" xfId="0" applyFont="1" applyFill="1" applyBorder="1" applyAlignment="1" applyProtection="1">
      <alignment horizontal="center" vertical="center"/>
      <protection locked="0" hidden="1"/>
    </xf>
    <xf numFmtId="0" fontId="8" fillId="2" borderId="0" xfId="0" applyFont="1" applyFill="1" applyProtection="1"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center"/>
      <protection hidden="1"/>
    </xf>
    <xf numFmtId="0" fontId="19" fillId="2" borderId="4" xfId="0" applyFont="1" applyFill="1" applyBorder="1" applyAlignment="1" applyProtection="1">
      <alignment horizontal="left"/>
      <protection hidden="1"/>
    </xf>
    <xf numFmtId="0" fontId="19" fillId="2" borderId="17" xfId="0" applyFont="1" applyFill="1" applyBorder="1" applyProtection="1">
      <protection hidden="1"/>
    </xf>
    <xf numFmtId="1" fontId="17" fillId="0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1" fontId="8" fillId="4" borderId="18" xfId="0" applyNumberFormat="1" applyFont="1" applyFill="1" applyBorder="1" applyAlignment="1" applyProtection="1">
      <alignment horizontal="center"/>
      <protection hidden="1"/>
    </xf>
    <xf numFmtId="1" fontId="8" fillId="4" borderId="15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1" fontId="7" fillId="3" borderId="21" xfId="0" applyNumberFormat="1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22" xfId="0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6" xfId="0" applyBorder="1" applyProtection="1"/>
    <xf numFmtId="0" fontId="0" fillId="0" borderId="27" xfId="0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8" fillId="0" borderId="28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31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32" xfId="0" applyBorder="1" applyProtection="1"/>
    <xf numFmtId="0" fontId="0" fillId="0" borderId="3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3" xfId="0" applyBorder="1" applyProtection="1"/>
    <xf numFmtId="0" fontId="0" fillId="0" borderId="4" xfId="0" applyBorder="1" applyAlignment="1" applyProtection="1">
      <alignment horizontal="center"/>
    </xf>
    <xf numFmtId="164" fontId="0" fillId="0" borderId="32" xfId="0" applyNumberFormat="1" applyBorder="1" applyProtection="1"/>
    <xf numFmtId="164" fontId="0" fillId="0" borderId="9" xfId="0" applyNumberFormat="1" applyBorder="1" applyProtection="1"/>
    <xf numFmtId="0" fontId="0" fillId="0" borderId="29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31" xfId="0" quotePrefix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5" xfId="0" applyFill="1" applyBorder="1" applyAlignment="1" applyProtection="1">
      <alignment horizontal="center"/>
      <protection locked="0"/>
    </xf>
    <xf numFmtId="0" fontId="7" fillId="0" borderId="0" xfId="0" applyFont="1" applyAlignment="1" applyProtection="1"/>
    <xf numFmtId="0" fontId="7" fillId="0" borderId="0" xfId="0" applyFont="1" applyProtection="1"/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Protection="1"/>
    <xf numFmtId="0" fontId="0" fillId="0" borderId="38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164" fontId="0" fillId="0" borderId="38" xfId="0" applyNumberFormat="1" applyBorder="1" applyAlignment="1" applyProtection="1">
      <alignment horizontal="center"/>
    </xf>
    <xf numFmtId="164" fontId="0" fillId="0" borderId="39" xfId="0" applyNumberFormat="1" applyBorder="1" applyAlignment="1" applyProtection="1">
      <alignment horizontal="center"/>
    </xf>
    <xf numFmtId="1" fontId="0" fillId="0" borderId="0" xfId="0" applyNumberFormat="1" applyProtection="1"/>
    <xf numFmtId="0" fontId="7" fillId="0" borderId="0" xfId="0" applyFont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" fontId="4" fillId="0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3" fillId="0" borderId="0" xfId="0" applyFont="1"/>
    <xf numFmtId="0" fontId="23" fillId="0" borderId="0" xfId="0" applyFont="1" applyProtection="1"/>
    <xf numFmtId="0" fontId="0" fillId="0" borderId="0" xfId="0" applyBorder="1"/>
    <xf numFmtId="0" fontId="6" fillId="0" borderId="7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30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4" borderId="41" xfId="0" applyFont="1" applyFill="1" applyBorder="1" applyAlignment="1" applyProtection="1">
      <alignment horizontal="center"/>
      <protection hidden="1"/>
    </xf>
    <xf numFmtId="0" fontId="8" fillId="4" borderId="42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8" fillId="4" borderId="44" xfId="0" applyFont="1" applyFill="1" applyBorder="1" applyAlignment="1" applyProtection="1">
      <alignment horizontal="center"/>
      <protection hidden="1"/>
    </xf>
    <xf numFmtId="167" fontId="0" fillId="4" borderId="45" xfId="1" applyNumberFormat="1" applyFont="1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8" fillId="4" borderId="49" xfId="0" applyFont="1" applyFill="1" applyBorder="1" applyAlignment="1" applyProtection="1">
      <alignment horizontal="center"/>
      <protection hidden="1"/>
    </xf>
    <xf numFmtId="167" fontId="0" fillId="4" borderId="50" xfId="1" applyNumberFormat="1" applyFont="1" applyFill="1" applyBorder="1" applyAlignment="1" applyProtection="1">
      <alignment horizontal="center"/>
      <protection hidden="1"/>
    </xf>
    <xf numFmtId="0" fontId="8" fillId="0" borderId="43" xfId="0" applyFont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5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50" xfId="1" applyNumberFormat="1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1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5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0" fillId="0" borderId="18" xfId="0" applyNumberFormat="1" applyBorder="1" applyProtection="1">
      <protection hidden="1"/>
    </xf>
    <xf numFmtId="0" fontId="0" fillId="0" borderId="10" xfId="0" applyNumberFormat="1" applyBorder="1" applyProtection="1">
      <protection hidden="1"/>
    </xf>
    <xf numFmtId="0" fontId="0" fillId="4" borderId="12" xfId="0" applyNumberFormat="1" applyFill="1" applyBorder="1" applyProtection="1">
      <protection hidden="1"/>
    </xf>
    <xf numFmtId="0" fontId="0" fillId="0" borderId="11" xfId="0" applyNumberFormat="1" applyBorder="1" applyProtection="1">
      <protection hidden="1"/>
    </xf>
    <xf numFmtId="0" fontId="0" fillId="4" borderId="18" xfId="0" applyNumberFormat="1" applyFill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4" xfId="0" applyNumberFormat="1" applyBorder="1" applyProtection="1">
      <protection hidden="1"/>
    </xf>
    <xf numFmtId="0" fontId="0" fillId="0" borderId="5" xfId="0" applyNumberFormat="1" applyBorder="1" applyProtection="1">
      <protection hidden="1"/>
    </xf>
    <xf numFmtId="0" fontId="0" fillId="0" borderId="32" xfId="0" applyNumberForma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18" fillId="0" borderId="0" xfId="0" applyFont="1" applyFill="1" applyBorder="1" applyProtection="1">
      <protection hidden="1"/>
    </xf>
    <xf numFmtId="0" fontId="13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51" xfId="0" applyFill="1" applyBorder="1" applyAlignment="1" applyProtection="1">
      <alignment horizontal="center"/>
    </xf>
    <xf numFmtId="0" fontId="17" fillId="3" borderId="6" xfId="0" applyNumberFormat="1" applyFont="1" applyFill="1" applyBorder="1" applyAlignment="1" applyProtection="1">
      <alignment horizontal="center" vertical="center" textRotation="180"/>
      <protection locked="0"/>
    </xf>
    <xf numFmtId="0" fontId="0" fillId="3" borderId="18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0" applyFont="1" applyFill="1" applyBorder="1" applyProtection="1">
      <protection hidden="1"/>
    </xf>
    <xf numFmtId="0" fontId="0" fillId="0" borderId="0" xfId="0" applyFill="1" applyBorder="1"/>
    <xf numFmtId="0" fontId="3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6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8" fillId="0" borderId="56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10" fontId="0" fillId="0" borderId="30" xfId="0" applyNumberFormat="1" applyBorder="1" applyAlignment="1" applyProtection="1">
      <alignment horizontal="center"/>
      <protection hidden="1"/>
    </xf>
    <xf numFmtId="2" fontId="5" fillId="2" borderId="9" xfId="0" applyNumberFormat="1" applyFont="1" applyFill="1" applyBorder="1" applyAlignment="1" applyProtection="1">
      <alignment horizontal="center" vertical="center"/>
      <protection hidden="1"/>
    </xf>
    <xf numFmtId="0" fontId="10" fillId="2" borderId="30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0" fillId="5" borderId="6" xfId="0" applyFill="1" applyBorder="1" applyProtection="1">
      <protection hidden="1"/>
    </xf>
    <xf numFmtId="0" fontId="0" fillId="6" borderId="6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25" fillId="3" borderId="6" xfId="0" applyFont="1" applyFill="1" applyBorder="1" applyProtection="1">
      <protection hidden="1"/>
    </xf>
    <xf numFmtId="0" fontId="0" fillId="0" borderId="6" xfId="0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2" fontId="0" fillId="4" borderId="15" xfId="0" applyNumberFormat="1" applyFill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Alignment="1" applyProtection="1">
      <alignment horizontal="right"/>
      <protection hidden="1"/>
    </xf>
    <xf numFmtId="0" fontId="20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14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32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6" xfId="0" applyFill="1" applyBorder="1" applyAlignment="1" applyProtection="1">
      <alignment horizontal="center"/>
      <protection hidden="1"/>
    </xf>
    <xf numFmtId="0" fontId="0" fillId="0" borderId="48" xfId="0" applyFill="1" applyBorder="1" applyAlignment="1" applyProtection="1">
      <alignment horizontal="center"/>
      <protection hidden="1"/>
    </xf>
    <xf numFmtId="0" fontId="14" fillId="0" borderId="0" xfId="0" applyFont="1" applyFill="1" applyProtection="1">
      <protection hidden="1"/>
    </xf>
    <xf numFmtId="0" fontId="0" fillId="0" borderId="42" xfId="0" applyFill="1" applyBorder="1" applyAlignment="1" applyProtection="1">
      <alignment horizontal="center"/>
      <protection hidden="1"/>
    </xf>
    <xf numFmtId="0" fontId="23" fillId="0" borderId="0" xfId="0" applyFont="1" applyFill="1"/>
    <xf numFmtId="0" fontId="0" fillId="0" borderId="15" xfId="0" applyFill="1" applyBorder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7" fillId="0" borderId="0" xfId="0" applyFont="1" applyFill="1" applyAlignment="1" applyProtection="1">
      <protection hidden="1"/>
    </xf>
    <xf numFmtId="0" fontId="23" fillId="0" borderId="0" xfId="0" applyFont="1" applyFill="1" applyProtection="1"/>
    <xf numFmtId="0" fontId="7" fillId="0" borderId="0" xfId="0" applyFont="1" applyFill="1" applyProtection="1"/>
    <xf numFmtId="164" fontId="3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22" fillId="0" borderId="0" xfId="0" applyFont="1" applyFill="1" applyAlignment="1" applyProtection="1">
      <alignment horizontal="left"/>
      <protection hidden="1"/>
    </xf>
    <xf numFmtId="0" fontId="21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8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7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3" fillId="2" borderId="0" xfId="0" applyFont="1" applyFill="1" applyAlignment="1" applyProtection="1">
      <alignment horizontal="center"/>
      <protection hidden="1"/>
    </xf>
    <xf numFmtId="0" fontId="19" fillId="2" borderId="57" xfId="0" applyFont="1" applyFill="1" applyBorder="1" applyAlignment="1" applyProtection="1">
      <alignment horizontal="center"/>
      <protection hidden="1"/>
    </xf>
    <xf numFmtId="0" fontId="19" fillId="2" borderId="54" xfId="0" applyFont="1" applyFill="1" applyBorder="1" applyAlignment="1" applyProtection="1">
      <alignment horizontal="left"/>
      <protection hidden="1"/>
    </xf>
    <xf numFmtId="0" fontId="13" fillId="3" borderId="54" xfId="0" applyFont="1" applyFill="1" applyBorder="1" applyAlignment="1" applyProtection="1">
      <alignment horizontal="center" vertical="center"/>
      <protection locked="0" hidden="1"/>
    </xf>
    <xf numFmtId="1" fontId="5" fillId="0" borderId="58" xfId="0" applyNumberFormat="1" applyFont="1" applyFill="1" applyBorder="1" applyAlignment="1" applyProtection="1">
      <alignment horizontal="center" vertical="center"/>
      <protection hidden="1"/>
    </xf>
    <xf numFmtId="1" fontId="5" fillId="0" borderId="59" xfId="0" applyNumberFormat="1" applyFont="1" applyFill="1" applyBorder="1" applyAlignment="1" applyProtection="1">
      <alignment horizontal="center" vertical="center"/>
      <protection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5" fillId="2" borderId="58" xfId="0" applyFont="1" applyFill="1" applyBorder="1" applyAlignment="1" applyProtection="1">
      <alignment horizontal="center" vertical="center"/>
      <protection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2" borderId="60" xfId="0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0" fillId="3" borderId="62" xfId="0" applyFill="1" applyBorder="1" applyProtection="1">
      <protection locked="0"/>
    </xf>
    <xf numFmtId="1" fontId="5" fillId="0" borderId="63" xfId="0" applyNumberFormat="1" applyFont="1" applyFill="1" applyBorder="1" applyAlignment="1" applyProtection="1">
      <alignment horizontal="center" vertical="center"/>
      <protection hidden="1"/>
    </xf>
    <xf numFmtId="1" fontId="17" fillId="0" borderId="32" xfId="0" applyNumberFormat="1" applyFont="1" applyFill="1" applyBorder="1" applyAlignment="1" applyProtection="1">
      <alignment horizontal="center" vertical="center"/>
      <protection hidden="1"/>
    </xf>
    <xf numFmtId="0" fontId="4" fillId="4" borderId="57" xfId="0" applyFont="1" applyFill="1" applyBorder="1" applyAlignment="1" applyProtection="1">
      <alignment horizontal="center" vertical="center"/>
      <protection hidden="1"/>
    </xf>
    <xf numFmtId="2" fontId="5" fillId="2" borderId="54" xfId="0" applyNumberFormat="1" applyFont="1" applyFill="1" applyBorder="1" applyAlignment="1" applyProtection="1">
      <alignment horizontal="center" vertical="center"/>
      <protection hidden="1"/>
    </xf>
    <xf numFmtId="2" fontId="5" fillId="2" borderId="55" xfId="0" applyNumberFormat="1" applyFont="1" applyFill="1" applyBorder="1" applyAlignment="1" applyProtection="1">
      <alignment horizontal="center" vertical="center"/>
      <protection hidden="1"/>
    </xf>
    <xf numFmtId="2" fontId="5" fillId="2" borderId="39" xfId="0" applyNumberFormat="1" applyFont="1" applyFill="1" applyBorder="1" applyAlignment="1" applyProtection="1">
      <alignment horizontal="center" vertical="center"/>
      <protection hidden="1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22" fillId="0" borderId="0" xfId="0" quotePrefix="1" applyFont="1" applyFill="1" applyAlignment="1" applyProtection="1">
      <alignment horizontal="right"/>
      <protection locked="0"/>
    </xf>
    <xf numFmtId="0" fontId="0" fillId="0" borderId="64" xfId="0" applyFill="1" applyBorder="1" applyAlignment="1" applyProtection="1">
      <alignment horizontal="center"/>
      <protection hidden="1"/>
    </xf>
    <xf numFmtId="0" fontId="8" fillId="4" borderId="65" xfId="0" applyFont="1" applyFill="1" applyBorder="1" applyAlignment="1" applyProtection="1">
      <alignment horizontal="center"/>
      <protection hidden="1"/>
    </xf>
    <xf numFmtId="167" fontId="0" fillId="4" borderId="66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6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2" fontId="28" fillId="2" borderId="31" xfId="0" applyNumberFormat="1" applyFont="1" applyFill="1" applyBorder="1" applyAlignment="1" applyProtection="1">
      <alignment horizontal="center" vertical="center"/>
      <protection hidden="1"/>
    </xf>
    <xf numFmtId="2" fontId="28" fillId="2" borderId="5" xfId="0" applyNumberFormat="1" applyFont="1" applyFill="1" applyBorder="1" applyAlignment="1" applyProtection="1">
      <alignment horizontal="center" vertical="center"/>
      <protection hidden="1"/>
    </xf>
    <xf numFmtId="2" fontId="28" fillId="2" borderId="33" xfId="0" applyNumberFormat="1" applyFont="1" applyFill="1" applyBorder="1" applyAlignment="1" applyProtection="1">
      <alignment horizontal="center" vertical="center"/>
      <protection hidden="1"/>
    </xf>
    <xf numFmtId="2" fontId="28" fillId="2" borderId="15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16" xfId="0" applyFill="1" applyBorder="1" applyProtection="1"/>
    <xf numFmtId="0" fontId="0" fillId="0" borderId="9" xfId="0" applyFill="1" applyBorder="1" applyProtection="1"/>
    <xf numFmtId="0" fontId="0" fillId="0" borderId="26" xfId="0" applyFill="1" applyBorder="1" applyAlignment="1">
      <alignment horizontal="right"/>
    </xf>
    <xf numFmtId="0" fontId="0" fillId="3" borderId="52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32" xfId="0" applyFont="1" applyFill="1" applyBorder="1" applyAlignment="1" applyProtection="1">
      <alignment horizontal="center"/>
      <protection hidden="1"/>
    </xf>
    <xf numFmtId="0" fontId="8" fillId="0" borderId="62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32" xfId="1" applyNumberFormat="1" applyFont="1" applyBorder="1" applyAlignment="1" applyProtection="1">
      <alignment horizontal="center"/>
      <protection hidden="1"/>
    </xf>
    <xf numFmtId="10" fontId="0" fillId="0" borderId="62" xfId="1" applyNumberFormat="1" applyFont="1" applyBorder="1" applyAlignment="1" applyProtection="1">
      <alignment horizontal="center"/>
      <protection hidden="1"/>
    </xf>
    <xf numFmtId="10" fontId="0" fillId="0" borderId="18" xfId="1" applyNumberFormat="1" applyFont="1" applyBorder="1" applyAlignment="1" applyProtection="1">
      <alignment horizontal="center"/>
      <protection hidden="1"/>
    </xf>
    <xf numFmtId="10" fontId="0" fillId="0" borderId="30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8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20" xfId="0" applyNumberFormat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79" xfId="0" applyFill="1" applyBorder="1" applyAlignment="1">
      <alignment horizontal="right"/>
    </xf>
    <xf numFmtId="0" fontId="30" fillId="0" borderId="0" xfId="0" applyFont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quotePrefix="1" applyFon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78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0" fontId="8" fillId="0" borderId="0" xfId="2"/>
    <xf numFmtId="0" fontId="8" fillId="0" borderId="0" xfId="2" applyFill="1" applyProtection="1">
      <protection hidden="1"/>
    </xf>
    <xf numFmtId="0" fontId="8" fillId="0" borderId="0" xfId="2" applyFont="1" applyFill="1" applyAlignment="1" applyProtection="1">
      <alignment horizontal="right"/>
      <protection hidden="1"/>
    </xf>
    <xf numFmtId="0" fontId="8" fillId="0" borderId="32" xfId="2" applyFont="1" applyFill="1" applyBorder="1" applyAlignment="1" applyProtection="1">
      <alignment horizontal="left"/>
      <protection hidden="1"/>
    </xf>
    <xf numFmtId="0" fontId="8" fillId="0" borderId="0" xfId="2" applyFont="1" applyFill="1" applyBorder="1" applyAlignment="1" applyProtection="1">
      <alignment horizontal="left"/>
      <protection hidden="1"/>
    </xf>
    <xf numFmtId="0" fontId="8" fillId="0" borderId="6" xfId="2" applyFill="1" applyBorder="1" applyAlignment="1" applyProtection="1">
      <alignment horizontal="center"/>
      <protection hidden="1"/>
    </xf>
    <xf numFmtId="0" fontId="8" fillId="0" borderId="6" xfId="2" applyFill="1" applyBorder="1" applyProtection="1">
      <protection hidden="1"/>
    </xf>
    <xf numFmtId="0" fontId="8" fillId="0" borderId="2" xfId="2" applyBorder="1"/>
    <xf numFmtId="0" fontId="8" fillId="0" borderId="0" xfId="2" applyBorder="1"/>
    <xf numFmtId="164" fontId="7" fillId="9" borderId="6" xfId="0" applyNumberFormat="1" applyFont="1" applyFill="1" applyBorder="1" applyAlignment="1" applyProtection="1">
      <alignment horizontal="center"/>
      <protection locked="0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left"/>
    </xf>
    <xf numFmtId="0" fontId="8" fillId="0" borderId="3" xfId="2" applyBorder="1"/>
    <xf numFmtId="2" fontId="7" fillId="0" borderId="32" xfId="2" applyNumberFormat="1" applyFont="1" applyBorder="1" applyProtection="1"/>
    <xf numFmtId="0" fontId="30" fillId="0" borderId="81" xfId="2" applyFont="1" applyBorder="1" applyProtection="1"/>
    <xf numFmtId="2" fontId="7" fillId="0" borderId="2" xfId="2" applyNumberFormat="1" applyFont="1" applyBorder="1" applyProtection="1"/>
    <xf numFmtId="2" fontId="7" fillId="0" borderId="10" xfId="2" applyNumberFormat="1" applyFont="1" applyBorder="1" applyProtection="1"/>
    <xf numFmtId="0" fontId="33" fillId="0" borderId="32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 vertical="top"/>
    </xf>
    <xf numFmtId="0" fontId="33" fillId="0" borderId="0" xfId="0" applyFont="1" applyFill="1" applyAlignment="1">
      <alignment horizontal="center"/>
    </xf>
    <xf numFmtId="9" fontId="33" fillId="0" borderId="0" xfId="1" applyFont="1" applyFill="1" applyAlignment="1">
      <alignment horizontal="center"/>
    </xf>
    <xf numFmtId="0" fontId="8" fillId="0" borderId="41" xfId="2" applyBorder="1" applyProtection="1">
      <protection hidden="1"/>
    </xf>
    <xf numFmtId="1" fontId="26" fillId="3" borderId="67" xfId="0" applyNumberFormat="1" applyFont="1" applyFill="1" applyBorder="1" applyAlignment="1" applyProtection="1">
      <alignment horizontal="center"/>
      <protection locked="0"/>
    </xf>
    <xf numFmtId="1" fontId="26" fillId="3" borderId="68" xfId="0" applyNumberFormat="1" applyFont="1" applyFill="1" applyBorder="1" applyAlignment="1" applyProtection="1">
      <alignment horizontal="center"/>
      <protection locked="0"/>
    </xf>
    <xf numFmtId="0" fontId="5" fillId="2" borderId="62" xfId="0" applyFont="1" applyFill="1" applyBorder="1" applyAlignment="1" applyProtection="1">
      <alignment horizontal="right"/>
      <protection hidden="1"/>
    </xf>
    <xf numFmtId="0" fontId="5" fillId="2" borderId="62" xfId="0" applyFont="1" applyFill="1" applyBorder="1" applyAlignment="1" applyProtection="1">
      <alignment horizontal="center"/>
      <protection hidden="1"/>
    </xf>
    <xf numFmtId="0" fontId="13" fillId="2" borderId="73" xfId="0" applyFont="1" applyFill="1" applyBorder="1" applyAlignment="1" applyProtection="1">
      <alignment horizontal="center"/>
      <protection hidden="1"/>
    </xf>
    <xf numFmtId="0" fontId="13" fillId="2" borderId="74" xfId="0" applyFont="1" applyFill="1" applyBorder="1" applyAlignment="1" applyProtection="1">
      <alignment horizontal="center"/>
      <protection hidden="1"/>
    </xf>
    <xf numFmtId="0" fontId="2" fillId="2" borderId="72" xfId="0" applyFont="1" applyFill="1" applyBorder="1" applyAlignment="1" applyProtection="1">
      <alignment horizontal="center"/>
      <protection hidden="1"/>
    </xf>
    <xf numFmtId="0" fontId="2" fillId="2" borderId="73" xfId="0" applyFont="1" applyFill="1" applyBorder="1" applyAlignment="1" applyProtection="1">
      <alignment horizontal="center"/>
      <protection hidden="1"/>
    </xf>
    <xf numFmtId="0" fontId="2" fillId="2" borderId="74" xfId="0" applyFont="1" applyFill="1" applyBorder="1" applyAlignment="1" applyProtection="1">
      <alignment horizontal="center"/>
      <protection hidden="1"/>
    </xf>
    <xf numFmtId="49" fontId="0" fillId="3" borderId="62" xfId="0" applyNumberFormat="1" applyFill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left"/>
      <protection hidden="1"/>
    </xf>
    <xf numFmtId="0" fontId="27" fillId="2" borderId="70" xfId="0" applyFont="1" applyFill="1" applyBorder="1" applyAlignment="1" applyProtection="1">
      <alignment horizontal="left"/>
      <protection hidden="1"/>
    </xf>
    <xf numFmtId="0" fontId="27" fillId="2" borderId="7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9" fillId="2" borderId="62" xfId="0" applyFont="1" applyFill="1" applyBorder="1" applyAlignment="1" applyProtection="1">
      <alignment horizont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14" fontId="10" fillId="2" borderId="62" xfId="0" applyNumberFormat="1" applyFont="1" applyFill="1" applyBorder="1" applyAlignment="1" applyProtection="1">
      <alignment horizontal="left" vertical="center"/>
      <protection hidden="1"/>
    </xf>
    <xf numFmtId="14" fontId="10" fillId="2" borderId="68" xfId="0" applyNumberFormat="1" applyFont="1" applyFill="1" applyBorder="1" applyAlignment="1" applyProtection="1">
      <alignment horizontal="left" vertic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49" fontId="16" fillId="8" borderId="62" xfId="0" quotePrefix="1" applyNumberFormat="1" applyFont="1" applyFill="1" applyBorder="1" applyAlignment="1" applyProtection="1">
      <alignment horizontal="right"/>
      <protection locked="0"/>
    </xf>
    <xf numFmtId="49" fontId="16" fillId="8" borderId="62" xfId="0" applyNumberFormat="1" applyFont="1" applyFill="1" applyBorder="1" applyAlignment="1" applyProtection="1">
      <alignment horizontal="right"/>
      <protection locked="0"/>
    </xf>
    <xf numFmtId="49" fontId="5" fillId="3" borderId="62" xfId="0" applyNumberFormat="1" applyFont="1" applyFill="1" applyBorder="1" applyAlignment="1" applyProtection="1">
      <alignment horizontal="left" vertical="center"/>
      <protection locked="0"/>
    </xf>
    <xf numFmtId="0" fontId="13" fillId="2" borderId="72" xfId="0" applyFont="1" applyFill="1" applyBorder="1" applyAlignment="1" applyProtection="1">
      <alignment horizontal="center"/>
      <protection hidden="1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62" xfId="0" applyNumberFormat="1" applyFont="1" applyFill="1" applyBorder="1" applyAlignment="1" applyProtection="1">
      <alignment horizontal="center" vertical="center"/>
      <protection locked="0"/>
    </xf>
    <xf numFmtId="14" fontId="5" fillId="3" borderId="68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5" fillId="2" borderId="69" xfId="0" applyFont="1" applyFill="1" applyBorder="1" applyAlignment="1" applyProtection="1">
      <alignment horizontal="center"/>
      <protection hidden="1"/>
    </xf>
    <xf numFmtId="0" fontId="5" fillId="2" borderId="70" xfId="0" applyFont="1" applyFill="1" applyBorder="1" applyAlignment="1" applyProtection="1">
      <alignment horizontal="center"/>
      <protection hidden="1"/>
    </xf>
    <xf numFmtId="0" fontId="5" fillId="2" borderId="71" xfId="0" applyFont="1" applyFill="1" applyBorder="1" applyAlignment="1" applyProtection="1">
      <alignment horizontal="center"/>
      <protection hidden="1"/>
    </xf>
    <xf numFmtId="0" fontId="5" fillId="3" borderId="62" xfId="0" applyFont="1" applyFill="1" applyBorder="1" applyAlignment="1" applyProtection="1">
      <alignment horizontal="left"/>
      <protection locked="0"/>
    </xf>
    <xf numFmtId="169" fontId="0" fillId="0" borderId="1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7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164" fontId="0" fillId="0" borderId="26" xfId="0" applyNumberFormat="1" applyBorder="1" applyAlignment="1" applyProtection="1">
      <alignment horizontal="center"/>
    </xf>
    <xf numFmtId="164" fontId="0" fillId="0" borderId="27" xfId="0" applyNumberFormat="1" applyBorder="1" applyAlignment="1" applyProtection="1">
      <alignment horizontal="center"/>
    </xf>
    <xf numFmtId="0" fontId="7" fillId="0" borderId="22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0" fontId="0" fillId="0" borderId="75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 vertical="center" textRotation="180"/>
    </xf>
    <xf numFmtId="0" fontId="0" fillId="0" borderId="53" xfId="0" applyBorder="1" applyAlignment="1" applyProtection="1">
      <alignment horizontal="center" vertical="center" textRotation="180"/>
    </xf>
    <xf numFmtId="0" fontId="0" fillId="0" borderId="54" xfId="0" applyBorder="1" applyAlignment="1" applyProtection="1">
      <alignment horizontal="center" vertical="center" textRotation="180"/>
    </xf>
    <xf numFmtId="0" fontId="8" fillId="0" borderId="24" xfId="0" applyFont="1" applyFill="1" applyBorder="1" applyAlignment="1" applyProtection="1">
      <alignment horizontal="center" vertical="center" textRotation="180" wrapText="1"/>
    </xf>
    <xf numFmtId="0" fontId="8" fillId="0" borderId="29" xfId="0" applyFont="1" applyFill="1" applyBorder="1" applyAlignment="1" applyProtection="1">
      <alignment horizontal="center" vertical="center" textRotation="180" wrapText="1"/>
    </xf>
    <xf numFmtId="0" fontId="8" fillId="0" borderId="31" xfId="0" applyFont="1" applyFill="1" applyBorder="1" applyAlignment="1" applyProtection="1">
      <alignment horizontal="center" vertical="center" textRotation="180" wrapText="1"/>
    </xf>
    <xf numFmtId="0" fontId="8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hidden="1"/>
    </xf>
    <xf numFmtId="0" fontId="0" fillId="0" borderId="7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7" xfId="0" applyFont="1" applyBorder="1" applyAlignment="1" applyProtection="1">
      <alignment horizontal="center" vertical="center" textRotation="180" wrapText="1"/>
    </xf>
    <xf numFmtId="0" fontId="8" fillId="0" borderId="34" xfId="0" applyFont="1" applyBorder="1" applyAlignment="1" applyProtection="1">
      <alignment horizontal="center" vertical="center" textRotation="180" wrapText="1"/>
    </xf>
    <xf numFmtId="0" fontId="8" fillId="0" borderId="35" xfId="0" applyFont="1" applyBorder="1" applyAlignment="1" applyProtection="1">
      <alignment horizontal="center" vertical="center" textRotation="180" wrapText="1"/>
    </xf>
    <xf numFmtId="0" fontId="8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2" fontId="7" fillId="0" borderId="1" xfId="2" applyNumberFormat="1" applyFont="1" applyBorder="1" applyAlignment="1">
      <alignment horizontal="center"/>
    </xf>
    <xf numFmtId="2" fontId="7" fillId="0" borderId="62" xfId="2" applyNumberFormat="1" applyFont="1" applyBorder="1" applyAlignment="1">
      <alignment horizontal="center"/>
    </xf>
    <xf numFmtId="2" fontId="7" fillId="0" borderId="68" xfId="2" applyNumberFormat="1" applyFont="1" applyBorder="1" applyAlignment="1">
      <alignment horizontal="center"/>
    </xf>
    <xf numFmtId="0" fontId="8" fillId="0" borderId="80" xfId="2" applyBorder="1" applyAlignment="1">
      <alignment horizontal="center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62" xfId="2" applyFont="1" applyBorder="1" applyAlignment="1">
      <alignment horizontal="left" wrapText="1"/>
    </xf>
    <xf numFmtId="0" fontId="7" fillId="0" borderId="68" xfId="2" applyFont="1" applyBorder="1" applyAlignment="1">
      <alignment horizontal="left" wrapText="1"/>
    </xf>
    <xf numFmtId="0" fontId="7" fillId="10" borderId="1" xfId="2" applyFont="1" applyFill="1" applyBorder="1" applyAlignment="1">
      <alignment horizontal="center"/>
    </xf>
    <xf numFmtId="0" fontId="7" fillId="10" borderId="62" xfId="2" applyFont="1" applyFill="1" applyBorder="1" applyAlignment="1">
      <alignment horizontal="center"/>
    </xf>
    <xf numFmtId="0" fontId="7" fillId="10" borderId="68" xfId="2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 wrapText="1"/>
    </xf>
    <xf numFmtId="0" fontId="33" fillId="0" borderId="15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  <xf numFmtId="1" fontId="8" fillId="11" borderId="6" xfId="2" applyNumberFormat="1" applyFill="1" applyBorder="1" applyAlignment="1" applyProtection="1">
      <alignment horizontal="center"/>
      <protection hidden="1"/>
    </xf>
    <xf numFmtId="0" fontId="8" fillId="11" borderId="6" xfId="2" applyFill="1" applyBorder="1" applyAlignment="1" applyProtection="1">
      <alignment horizontal="center"/>
      <protection hidden="1"/>
    </xf>
    <xf numFmtId="0" fontId="8" fillId="0" borderId="0" xfId="2" applyProtection="1">
      <protection locked="0"/>
    </xf>
    <xf numFmtId="0" fontId="8" fillId="0" borderId="0" xfId="2" applyProtection="1"/>
    <xf numFmtId="0" fontId="22" fillId="0" borderId="0" xfId="2" applyFont="1" applyProtection="1"/>
    <xf numFmtId="0" fontId="8" fillId="0" borderId="2" xfId="2" applyBorder="1" applyProtection="1"/>
    <xf numFmtId="0" fontId="8" fillId="0" borderId="0" xfId="2" applyBorder="1" applyProtection="1"/>
    <xf numFmtId="0" fontId="8" fillId="0" borderId="11" xfId="2" applyBorder="1" applyProtection="1"/>
    <xf numFmtId="0" fontId="8" fillId="0" borderId="12" xfId="2" applyBorder="1" applyProtection="1"/>
    <xf numFmtId="0" fontId="8" fillId="0" borderId="3" xfId="2" applyBorder="1" applyProtection="1"/>
    <xf numFmtId="0" fontId="8" fillId="0" borderId="32" xfId="2" applyBorder="1" applyProtection="1"/>
    <xf numFmtId="0" fontId="8" fillId="0" borderId="5" xfId="2" applyBorder="1" applyProtection="1"/>
    <xf numFmtId="0" fontId="30" fillId="10" borderId="1" xfId="2" applyFont="1" applyFill="1" applyBorder="1" applyAlignment="1" applyProtection="1">
      <alignment horizontal="center"/>
    </xf>
    <xf numFmtId="0" fontId="30" fillId="10" borderId="62" xfId="2" applyFont="1" applyFill="1" applyBorder="1" applyAlignment="1" applyProtection="1">
      <alignment horizontal="center"/>
    </xf>
    <xf numFmtId="0" fontId="30" fillId="10" borderId="68" xfId="2" applyFont="1" applyFill="1" applyBorder="1" applyAlignment="1" applyProtection="1">
      <alignment horizontal="center"/>
    </xf>
    <xf numFmtId="0" fontId="8" fillId="0" borderId="10" xfId="2" applyBorder="1" applyProtection="1"/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center" vertical="top" wrapText="1"/>
    </xf>
    <xf numFmtId="0" fontId="7" fillId="0" borderId="0" xfId="2" applyFont="1" applyBorder="1" applyAlignment="1" applyProtection="1">
      <alignment horizontal="center" vertical="top" wrapText="1"/>
    </xf>
    <xf numFmtId="0" fontId="8" fillId="0" borderId="41" xfId="2" applyBorder="1" applyProtection="1"/>
    <xf numFmtId="0" fontId="32" fillId="0" borderId="41" xfId="2" applyFont="1" applyBorder="1" applyAlignment="1" applyProtection="1">
      <alignment horizontal="center"/>
    </xf>
    <xf numFmtId="0" fontId="31" fillId="0" borderId="41" xfId="2" applyFont="1" applyBorder="1" applyAlignment="1" applyProtection="1">
      <alignment horizontal="center"/>
    </xf>
    <xf numFmtId="0" fontId="31" fillId="0" borderId="41" xfId="2" applyFont="1" applyBorder="1" applyProtection="1"/>
    <xf numFmtId="0" fontId="8" fillId="0" borderId="82" xfId="2" applyBorder="1" applyAlignment="1" applyProtection="1">
      <alignment horizontal="center"/>
    </xf>
    <xf numFmtId="0" fontId="8" fillId="10" borderId="6" xfId="2" applyFill="1" applyBorder="1" applyAlignment="1" applyProtection="1"/>
    <xf numFmtId="0" fontId="7" fillId="10" borderId="6" xfId="2" applyFont="1" applyFill="1" applyBorder="1" applyAlignment="1" applyProtection="1">
      <alignment horizontal="center" wrapText="1"/>
    </xf>
    <xf numFmtId="0" fontId="7" fillId="10" borderId="6" xfId="2" applyFont="1" applyFill="1" applyBorder="1" applyAlignment="1" applyProtection="1">
      <alignment horizontal="center"/>
    </xf>
    <xf numFmtId="0" fontId="8" fillId="0" borderId="6" xfId="2" applyBorder="1" applyAlignment="1" applyProtection="1">
      <alignment horizontal="center"/>
    </xf>
    <xf numFmtId="0" fontId="8" fillId="0" borderId="6" xfId="2" applyBorder="1" applyAlignment="1" applyProtection="1"/>
    <xf numFmtId="0" fontId="8" fillId="0" borderId="6" xfId="2" applyBorder="1" applyAlignment="1" applyProtection="1">
      <alignment horizontal="center"/>
    </xf>
  </cellXfs>
  <cellStyles count="3">
    <cellStyle name="Prozent" xfId="1" builtinId="5"/>
    <cellStyle name="Standard" xfId="0" builtinId="0"/>
    <cellStyle name="Standard 2" xfId="2"/>
  </cellStyles>
  <dxfs count="33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AB5353"/>
      <color rgb="FF000000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2:AM38"/>
  <sheetViews>
    <sheetView topLeftCell="A16" workbookViewId="0">
      <selection activeCell="N19" sqref="N19"/>
    </sheetView>
  </sheetViews>
  <sheetFormatPr baseColWidth="10" defaultRowHeight="12.75" x14ac:dyDescent="0.2"/>
  <cols>
    <col min="1" max="1" width="3" style="8" bestFit="1" customWidth="1"/>
    <col min="2" max="2" width="24.140625" style="8" customWidth="1"/>
    <col min="3" max="14" width="4.5703125" style="8" customWidth="1"/>
    <col min="15" max="17" width="6.85546875" style="8" customWidth="1"/>
    <col min="18" max="30" width="4.5703125" style="8" customWidth="1"/>
    <col min="31" max="33" width="5.85546875" style="8" customWidth="1"/>
    <col min="34" max="36" width="4.5703125" style="8" customWidth="1"/>
    <col min="37" max="38" width="7.140625" style="8" customWidth="1"/>
    <col min="39" max="150" width="4.5703125" style="8" customWidth="1"/>
    <col min="151" max="16384" width="11.42578125" style="8"/>
  </cols>
  <sheetData>
    <row r="2" spans="1:39" x14ac:dyDescent="0.2">
      <c r="B2" s="8" t="str">
        <f>IF(I1Ext!B1="I - 1. Extemporale aus","Ex","KA")</f>
        <v>Ex</v>
      </c>
      <c r="C2" s="8">
        <v>4</v>
      </c>
      <c r="D2" s="8">
        <v>5</v>
      </c>
      <c r="E2" s="8">
        <v>6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15</v>
      </c>
      <c r="S2" s="8">
        <v>16</v>
      </c>
      <c r="T2" s="8">
        <v>17</v>
      </c>
      <c r="U2" s="8">
        <v>18</v>
      </c>
      <c r="V2" s="8">
        <v>16</v>
      </c>
      <c r="W2" s="8">
        <v>17</v>
      </c>
      <c r="X2" s="8">
        <v>18</v>
      </c>
      <c r="Y2" s="8">
        <v>19</v>
      </c>
      <c r="Z2" s="8">
        <v>20</v>
      </c>
      <c r="AA2" s="8">
        <v>21</v>
      </c>
      <c r="AB2" s="8">
        <v>22</v>
      </c>
      <c r="AC2" s="8">
        <v>23</v>
      </c>
      <c r="AD2" s="8">
        <v>24</v>
      </c>
      <c r="AE2" s="8">
        <v>25</v>
      </c>
      <c r="AF2" s="8">
        <v>26</v>
      </c>
      <c r="AG2" s="8">
        <v>27</v>
      </c>
      <c r="AH2" s="8">
        <v>27</v>
      </c>
    </row>
    <row r="3" spans="1:39" x14ac:dyDescent="0.2">
      <c r="C3" s="177" t="s">
        <v>95</v>
      </c>
      <c r="D3" s="177" t="s">
        <v>96</v>
      </c>
      <c r="E3" s="177" t="s">
        <v>97</v>
      </c>
      <c r="F3" s="177"/>
      <c r="G3" s="177"/>
      <c r="H3" s="177"/>
      <c r="I3" s="177"/>
      <c r="J3" s="177" t="s">
        <v>99</v>
      </c>
      <c r="K3" s="177" t="s">
        <v>100</v>
      </c>
      <c r="L3" s="177" t="s">
        <v>101</v>
      </c>
      <c r="M3" s="177" t="s">
        <v>19</v>
      </c>
      <c r="N3" s="177" t="s">
        <v>98</v>
      </c>
      <c r="AI3" s="8" t="s">
        <v>104</v>
      </c>
      <c r="AJ3" s="8" t="s">
        <v>57</v>
      </c>
      <c r="AK3" s="8" t="s">
        <v>94</v>
      </c>
    </row>
    <row r="4" spans="1:39" x14ac:dyDescent="0.2">
      <c r="A4" s="8">
        <v>1</v>
      </c>
      <c r="B4" s="9" t="str">
        <f ca="1">INDIRECT(ADDRESS(3+A4*2,2,,,"Notenbogen"))&amp;", "&amp;TRIM(INDIRECT(ADDRESS(4+A4*2,2,,,"Notenbogen")))</f>
        <v xml:space="preserve">, </v>
      </c>
      <c r="C4" s="210" t="str">
        <f ca="1">INDIRECT(ADDRESS(3+$A4*2,C$2,,,"Notenbogen"))</f>
        <v/>
      </c>
      <c r="D4" s="210" t="str">
        <f t="shared" ref="D4:E19" ca="1" si="0">INDIRECT(ADDRESS(3+$A4*2,D$2,,,"Notenbogen"))</f>
        <v/>
      </c>
      <c r="E4" s="210" t="str">
        <f t="shared" ca="1" si="0"/>
        <v/>
      </c>
      <c r="F4" s="211" t="str">
        <f t="shared" ref="F4:I19" ca="1" si="1">IF(INDIRECT(ADDRESS(4+$A4*2,F$2,,,"Notenbogen"))="","",INDIRECT(ADDRESS(4+$A4*2,F$2,,,"Notenbogen")))</f>
        <v/>
      </c>
      <c r="G4" s="211" t="str">
        <f t="shared" ca="1" si="1"/>
        <v/>
      </c>
      <c r="H4" s="211" t="str">
        <f t="shared" ca="1" si="1"/>
        <v/>
      </c>
      <c r="I4" s="211" t="str">
        <f t="shared" ca="1" si="1"/>
        <v/>
      </c>
      <c r="J4" s="212" t="str">
        <f t="shared" ref="J4:Q19" ca="1" si="2">IF(INDIRECT(ADDRESS(4+$A4*2,J$2,,,"Notenbogen"))="","",INDIRECT(ADDRESS(4+$A4*2,J$2,,,"Notenbogen")))</f>
        <v/>
      </c>
      <c r="K4" s="212" t="str">
        <f t="shared" ca="1" si="2"/>
        <v/>
      </c>
      <c r="L4" s="212" t="str">
        <f t="shared" ca="1" si="2"/>
        <v/>
      </c>
      <c r="M4" s="213" t="str">
        <f t="shared" ca="1" si="2"/>
        <v/>
      </c>
      <c r="N4" s="212" t="str">
        <f t="shared" ca="1" si="2"/>
        <v/>
      </c>
      <c r="O4" s="214" t="str">
        <f t="shared" ca="1" si="2"/>
        <v/>
      </c>
      <c r="P4" s="214" t="str">
        <f t="shared" ca="1" si="2"/>
        <v/>
      </c>
      <c r="Q4" s="214" t="str">
        <f t="shared" ca="1" si="2"/>
        <v/>
      </c>
      <c r="R4" s="214" t="str">
        <f t="shared" ref="R4:S19" ca="1" si="3">INDIRECT(ADDRESS(3+$A4*2,R$2,,,"Notenbogen"))</f>
        <v/>
      </c>
      <c r="S4" s="210" t="str">
        <f ca="1">INDIRECT(ADDRESS(3+$A4*2,S$2,,,"Notenbogen"))</f>
        <v/>
      </c>
      <c r="T4" s="210" t="str">
        <f t="shared" ref="T4:U19" ca="1" si="4">INDIRECT(ADDRESS(3+$A4*2,T$2,,,"Notenbogen"))</f>
        <v/>
      </c>
      <c r="U4" s="210" t="str">
        <f t="shared" ca="1" si="4"/>
        <v/>
      </c>
      <c r="V4" s="211" t="str">
        <f t="shared" ref="V4:AG9" ca="1" si="5">IF(INDIRECT(ADDRESS(4+$A4*2,V$2,,,"Notenbogen"))="","",INDIRECT(ADDRESS(4+$A4*2,V$2,,,"Notenbogen")))</f>
        <v/>
      </c>
      <c r="W4" s="211" t="str">
        <f t="shared" ca="1" si="5"/>
        <v/>
      </c>
      <c r="X4" s="211" t="str">
        <f t="shared" ca="1" si="5"/>
        <v/>
      </c>
      <c r="Y4" s="211" t="str">
        <f t="shared" ca="1" si="5"/>
        <v/>
      </c>
      <c r="Z4" s="212" t="str">
        <f t="shared" ca="1" si="5"/>
        <v/>
      </c>
      <c r="AA4" s="212" t="str">
        <f t="shared" ca="1" si="5"/>
        <v/>
      </c>
      <c r="AB4" s="212" t="str">
        <f t="shared" ca="1" si="5"/>
        <v/>
      </c>
      <c r="AC4" s="212" t="str">
        <f t="shared" ca="1" si="5"/>
        <v/>
      </c>
      <c r="AD4" s="212" t="str">
        <f t="shared" ca="1" si="5"/>
        <v/>
      </c>
      <c r="AE4" s="214" t="str">
        <f t="shared" ca="1" si="5"/>
        <v/>
      </c>
      <c r="AF4" s="214" t="str">
        <f t="shared" ca="1" si="5"/>
        <v/>
      </c>
      <c r="AG4" s="214" t="str">
        <f t="shared" ca="1" si="5"/>
        <v/>
      </c>
      <c r="AH4" s="214" t="str">
        <f t="shared" ref="AH4:AH38" ca="1" si="6">INDIRECT(ADDRESS(3+$A4*2,AH$2,,,"Notenbogen"))</f>
        <v/>
      </c>
      <c r="AI4" s="215" t="str">
        <f>AP!E6</f>
        <v/>
      </c>
      <c r="AJ4" s="215" t="str">
        <f>IF(AP!F6="","",AP!F6)</f>
        <v/>
      </c>
      <c r="AK4" s="215" t="str">
        <f>AP!G6</f>
        <v/>
      </c>
      <c r="AL4" s="215" t="str">
        <f ca="1">AP!H6</f>
        <v/>
      </c>
      <c r="AM4" s="215" t="str">
        <f ca="1">AP!I6</f>
        <v/>
      </c>
    </row>
    <row r="5" spans="1:39" x14ac:dyDescent="0.2">
      <c r="A5" s="8">
        <v>2</v>
      </c>
      <c r="B5" s="9" t="str">
        <f t="shared" ref="B5:B38" ca="1" si="7">INDIRECT(ADDRESS(3+A5*2,2,,,"Notenbogen"))&amp;", "&amp;TRIM(INDIRECT(ADDRESS(4+A5*2,2,,,"Notenbogen")))</f>
        <v xml:space="preserve">, </v>
      </c>
      <c r="C5" s="210" t="str">
        <f t="shared" ref="C5:E38" ca="1" si="8">INDIRECT(ADDRESS(3+$A5*2,C$2,,,"Notenbogen"))</f>
        <v/>
      </c>
      <c r="D5" s="210" t="str">
        <f t="shared" ca="1" si="0"/>
        <v/>
      </c>
      <c r="E5" s="210" t="str">
        <f t="shared" ca="1" si="0"/>
        <v/>
      </c>
      <c r="F5" s="211" t="str">
        <f t="shared" ca="1" si="1"/>
        <v/>
      </c>
      <c r="G5" s="211" t="str">
        <f t="shared" ca="1" si="1"/>
        <v/>
      </c>
      <c r="H5" s="211" t="str">
        <f t="shared" ca="1" si="1"/>
        <v/>
      </c>
      <c r="I5" s="211" t="str">
        <f t="shared" ca="1" si="1"/>
        <v/>
      </c>
      <c r="J5" s="212" t="str">
        <f t="shared" ca="1" si="2"/>
        <v/>
      </c>
      <c r="K5" s="212" t="str">
        <f t="shared" ca="1" si="2"/>
        <v/>
      </c>
      <c r="L5" s="212" t="str">
        <f t="shared" ca="1" si="2"/>
        <v/>
      </c>
      <c r="M5" s="213" t="str">
        <f t="shared" ca="1" si="2"/>
        <v/>
      </c>
      <c r="N5" s="212" t="str">
        <f t="shared" ca="1" si="2"/>
        <v/>
      </c>
      <c r="O5" s="214" t="str">
        <f t="shared" ca="1" si="2"/>
        <v/>
      </c>
      <c r="P5" s="214" t="str">
        <f t="shared" ca="1" si="2"/>
        <v/>
      </c>
      <c r="Q5" s="214" t="str">
        <f t="shared" ca="1" si="2"/>
        <v/>
      </c>
      <c r="R5" s="214" t="str">
        <f t="shared" ca="1" si="3"/>
        <v/>
      </c>
      <c r="S5" s="210" t="str">
        <f t="shared" ca="1" si="3"/>
        <v/>
      </c>
      <c r="T5" s="210" t="str">
        <f t="shared" ca="1" si="4"/>
        <v/>
      </c>
      <c r="U5" s="210" t="str">
        <f t="shared" ca="1" si="4"/>
        <v/>
      </c>
      <c r="V5" s="211" t="str">
        <f t="shared" ca="1" si="5"/>
        <v/>
      </c>
      <c r="W5" s="211" t="str">
        <f t="shared" ca="1" si="5"/>
        <v/>
      </c>
      <c r="X5" s="211" t="str">
        <f t="shared" ca="1" si="5"/>
        <v/>
      </c>
      <c r="Y5" s="211" t="str">
        <f t="shared" ca="1" si="5"/>
        <v/>
      </c>
      <c r="Z5" s="212" t="str">
        <f t="shared" ca="1" si="5"/>
        <v/>
      </c>
      <c r="AA5" s="212" t="str">
        <f t="shared" ca="1" si="5"/>
        <v/>
      </c>
      <c r="AB5" s="212" t="str">
        <f t="shared" ca="1" si="5"/>
        <v/>
      </c>
      <c r="AC5" s="212" t="str">
        <f t="shared" ca="1" si="5"/>
        <v/>
      </c>
      <c r="AD5" s="212" t="str">
        <f t="shared" ca="1" si="5"/>
        <v/>
      </c>
      <c r="AE5" s="214" t="str">
        <f t="shared" ca="1" si="5"/>
        <v/>
      </c>
      <c r="AF5" s="214" t="str">
        <f t="shared" ca="1" si="5"/>
        <v/>
      </c>
      <c r="AG5" s="214" t="str">
        <f t="shared" ca="1" si="5"/>
        <v/>
      </c>
      <c r="AH5" s="214" t="str">
        <f t="shared" ca="1" si="6"/>
        <v/>
      </c>
      <c r="AI5" s="215" t="str">
        <f>AP!E7</f>
        <v/>
      </c>
      <c r="AJ5" s="215" t="str">
        <f>IF(AP!F7="","",AP!F7)</f>
        <v/>
      </c>
      <c r="AK5" s="215" t="str">
        <f>AP!G7</f>
        <v/>
      </c>
      <c r="AL5" s="215" t="str">
        <f ca="1">AP!H7</f>
        <v/>
      </c>
      <c r="AM5" s="215" t="str">
        <f ca="1">AP!I7</f>
        <v/>
      </c>
    </row>
    <row r="6" spans="1:39" x14ac:dyDescent="0.2">
      <c r="A6" s="8">
        <v>3</v>
      </c>
      <c r="B6" s="9" t="str">
        <f t="shared" ca="1" si="7"/>
        <v xml:space="preserve">, </v>
      </c>
      <c r="C6" s="210" t="str">
        <f t="shared" ca="1" si="8"/>
        <v/>
      </c>
      <c r="D6" s="210" t="str">
        <f t="shared" ca="1" si="0"/>
        <v/>
      </c>
      <c r="E6" s="210" t="str">
        <f t="shared" ca="1" si="0"/>
        <v/>
      </c>
      <c r="F6" s="211" t="str">
        <f t="shared" ca="1" si="1"/>
        <v/>
      </c>
      <c r="G6" s="211" t="str">
        <f t="shared" ca="1" si="1"/>
        <v/>
      </c>
      <c r="H6" s="211" t="str">
        <f t="shared" ca="1" si="1"/>
        <v/>
      </c>
      <c r="I6" s="211" t="str">
        <f t="shared" ca="1" si="1"/>
        <v/>
      </c>
      <c r="J6" s="212" t="str">
        <f t="shared" ca="1" si="2"/>
        <v/>
      </c>
      <c r="K6" s="212" t="str">
        <f t="shared" ca="1" si="2"/>
        <v/>
      </c>
      <c r="L6" s="212" t="str">
        <f t="shared" ca="1" si="2"/>
        <v/>
      </c>
      <c r="M6" s="213" t="str">
        <f t="shared" ca="1" si="2"/>
        <v/>
      </c>
      <c r="N6" s="212" t="str">
        <f t="shared" ca="1" si="2"/>
        <v/>
      </c>
      <c r="O6" s="214" t="str">
        <f t="shared" ca="1" si="2"/>
        <v/>
      </c>
      <c r="P6" s="214" t="str">
        <f t="shared" ca="1" si="2"/>
        <v/>
      </c>
      <c r="Q6" s="214" t="str">
        <f t="shared" ca="1" si="2"/>
        <v/>
      </c>
      <c r="R6" s="214" t="str">
        <f t="shared" ca="1" si="3"/>
        <v/>
      </c>
      <c r="S6" s="210" t="str">
        <f t="shared" ca="1" si="3"/>
        <v/>
      </c>
      <c r="T6" s="210" t="str">
        <f t="shared" ca="1" si="4"/>
        <v/>
      </c>
      <c r="U6" s="210" t="str">
        <f t="shared" ca="1" si="4"/>
        <v/>
      </c>
      <c r="V6" s="211" t="str">
        <f t="shared" ca="1" si="5"/>
        <v/>
      </c>
      <c r="W6" s="211" t="str">
        <f t="shared" ca="1" si="5"/>
        <v/>
      </c>
      <c r="X6" s="211" t="str">
        <f t="shared" ca="1" si="5"/>
        <v/>
      </c>
      <c r="Y6" s="211" t="str">
        <f t="shared" ca="1" si="5"/>
        <v/>
      </c>
      <c r="Z6" s="212" t="str">
        <f t="shared" ca="1" si="5"/>
        <v/>
      </c>
      <c r="AA6" s="212" t="str">
        <f t="shared" ca="1" si="5"/>
        <v/>
      </c>
      <c r="AB6" s="212" t="str">
        <f t="shared" ca="1" si="5"/>
        <v/>
      </c>
      <c r="AC6" s="212" t="str">
        <f t="shared" ca="1" si="5"/>
        <v/>
      </c>
      <c r="AD6" s="212" t="str">
        <f t="shared" ca="1" si="5"/>
        <v/>
      </c>
      <c r="AE6" s="214" t="str">
        <f t="shared" ca="1" si="5"/>
        <v/>
      </c>
      <c r="AF6" s="214" t="str">
        <f t="shared" ca="1" si="5"/>
        <v/>
      </c>
      <c r="AG6" s="214" t="str">
        <f t="shared" ca="1" si="5"/>
        <v/>
      </c>
      <c r="AH6" s="214" t="str">
        <f t="shared" ca="1" si="6"/>
        <v/>
      </c>
      <c r="AI6" s="215" t="str">
        <f>AP!E8</f>
        <v/>
      </c>
      <c r="AJ6" s="215" t="str">
        <f>IF(AP!F8="","",AP!F8)</f>
        <v/>
      </c>
      <c r="AK6" s="215" t="str">
        <f>AP!G8</f>
        <v/>
      </c>
      <c r="AL6" s="215" t="str">
        <f ca="1">AP!H8</f>
        <v/>
      </c>
      <c r="AM6" s="215" t="str">
        <f ca="1">AP!I8</f>
        <v/>
      </c>
    </row>
    <row r="7" spans="1:39" x14ac:dyDescent="0.2">
      <c r="A7" s="8">
        <v>4</v>
      </c>
      <c r="B7" s="9" t="str">
        <f t="shared" ca="1" si="7"/>
        <v xml:space="preserve">, </v>
      </c>
      <c r="C7" s="210" t="str">
        <f ca="1">INDIRECT(ADDRESS(3+$A7*2,C$2,,,"Notenbogen"))</f>
        <v/>
      </c>
      <c r="D7" s="210" t="str">
        <f t="shared" ca="1" si="0"/>
        <v/>
      </c>
      <c r="E7" s="210" t="str">
        <f t="shared" ca="1" si="0"/>
        <v/>
      </c>
      <c r="F7" s="211" t="str">
        <f t="shared" ca="1" si="1"/>
        <v/>
      </c>
      <c r="G7" s="211" t="str">
        <f t="shared" ca="1" si="1"/>
        <v/>
      </c>
      <c r="H7" s="211" t="str">
        <f t="shared" ca="1" si="1"/>
        <v/>
      </c>
      <c r="I7" s="211" t="str">
        <f t="shared" ca="1" si="1"/>
        <v/>
      </c>
      <c r="J7" s="212" t="str">
        <f t="shared" ca="1" si="2"/>
        <v/>
      </c>
      <c r="K7" s="212" t="str">
        <f t="shared" ca="1" si="2"/>
        <v/>
      </c>
      <c r="L7" s="212" t="str">
        <f t="shared" ca="1" si="2"/>
        <v/>
      </c>
      <c r="M7" s="213" t="str">
        <f t="shared" ca="1" si="2"/>
        <v/>
      </c>
      <c r="N7" s="212" t="str">
        <f t="shared" ca="1" si="2"/>
        <v/>
      </c>
      <c r="O7" s="214" t="str">
        <f t="shared" ca="1" si="2"/>
        <v/>
      </c>
      <c r="P7" s="214" t="str">
        <f t="shared" ca="1" si="2"/>
        <v/>
      </c>
      <c r="Q7" s="214" t="str">
        <f t="shared" ca="1" si="2"/>
        <v/>
      </c>
      <c r="R7" s="214" t="str">
        <f t="shared" ca="1" si="3"/>
        <v/>
      </c>
      <c r="S7" s="210" t="str">
        <f t="shared" ca="1" si="3"/>
        <v/>
      </c>
      <c r="T7" s="210" t="str">
        <f t="shared" ca="1" si="4"/>
        <v/>
      </c>
      <c r="U7" s="210" t="str">
        <f t="shared" ca="1" si="4"/>
        <v/>
      </c>
      <c r="V7" s="211" t="str">
        <f t="shared" ca="1" si="5"/>
        <v/>
      </c>
      <c r="W7" s="211" t="str">
        <f t="shared" ca="1" si="5"/>
        <v/>
      </c>
      <c r="X7" s="211" t="str">
        <f t="shared" ca="1" si="5"/>
        <v/>
      </c>
      <c r="Y7" s="211" t="str">
        <f t="shared" ca="1" si="5"/>
        <v/>
      </c>
      <c r="Z7" s="212" t="str">
        <f t="shared" ca="1" si="5"/>
        <v/>
      </c>
      <c r="AA7" s="212" t="str">
        <f t="shared" ca="1" si="5"/>
        <v/>
      </c>
      <c r="AB7" s="212" t="str">
        <f t="shared" ca="1" si="5"/>
        <v/>
      </c>
      <c r="AC7" s="212" t="str">
        <f t="shared" ca="1" si="5"/>
        <v/>
      </c>
      <c r="AD7" s="212" t="str">
        <f t="shared" ca="1" si="5"/>
        <v/>
      </c>
      <c r="AE7" s="214" t="str">
        <f t="shared" ca="1" si="5"/>
        <v/>
      </c>
      <c r="AF7" s="214" t="str">
        <f t="shared" ca="1" si="5"/>
        <v/>
      </c>
      <c r="AG7" s="214" t="str">
        <f t="shared" ca="1" si="5"/>
        <v/>
      </c>
      <c r="AH7" s="214" t="str">
        <f t="shared" ca="1" si="6"/>
        <v/>
      </c>
      <c r="AI7" s="215" t="str">
        <f>AP!E9</f>
        <v/>
      </c>
      <c r="AJ7" s="215" t="str">
        <f>IF(AP!F9="","",AP!F9)</f>
        <v/>
      </c>
      <c r="AK7" s="215" t="str">
        <f>AP!G9</f>
        <v/>
      </c>
      <c r="AL7" s="215" t="str">
        <f ca="1">AP!H9</f>
        <v/>
      </c>
      <c r="AM7" s="215" t="str">
        <f ca="1">AP!I9</f>
        <v/>
      </c>
    </row>
    <row r="8" spans="1:39" x14ac:dyDescent="0.2">
      <c r="A8" s="8">
        <v>5</v>
      </c>
      <c r="B8" s="9" t="str">
        <f t="shared" ca="1" si="7"/>
        <v xml:space="preserve">, </v>
      </c>
      <c r="C8" s="210" t="str">
        <f t="shared" ca="1" si="8"/>
        <v/>
      </c>
      <c r="D8" s="210" t="str">
        <f t="shared" ca="1" si="0"/>
        <v/>
      </c>
      <c r="E8" s="210" t="str">
        <f t="shared" ca="1" si="0"/>
        <v/>
      </c>
      <c r="F8" s="211" t="str">
        <f t="shared" ca="1" si="1"/>
        <v/>
      </c>
      <c r="G8" s="211" t="str">
        <f t="shared" ca="1" si="1"/>
        <v/>
      </c>
      <c r="H8" s="211" t="str">
        <f t="shared" ca="1" si="1"/>
        <v/>
      </c>
      <c r="I8" s="211" t="str">
        <f t="shared" ca="1" si="1"/>
        <v/>
      </c>
      <c r="J8" s="212" t="str">
        <f t="shared" ca="1" si="2"/>
        <v/>
      </c>
      <c r="K8" s="212" t="str">
        <f t="shared" ca="1" si="2"/>
        <v/>
      </c>
      <c r="L8" s="212" t="str">
        <f t="shared" ca="1" si="2"/>
        <v/>
      </c>
      <c r="M8" s="213" t="str">
        <f t="shared" ca="1" si="2"/>
        <v/>
      </c>
      <c r="N8" s="212" t="str">
        <f t="shared" ca="1" si="2"/>
        <v/>
      </c>
      <c r="O8" s="214" t="str">
        <f t="shared" ca="1" si="2"/>
        <v/>
      </c>
      <c r="P8" s="214" t="str">
        <f t="shared" ca="1" si="2"/>
        <v/>
      </c>
      <c r="Q8" s="214" t="str">
        <f t="shared" ca="1" si="2"/>
        <v/>
      </c>
      <c r="R8" s="214" t="str">
        <f t="shared" ca="1" si="3"/>
        <v/>
      </c>
      <c r="S8" s="210" t="str">
        <f t="shared" ca="1" si="3"/>
        <v/>
      </c>
      <c r="T8" s="210" t="str">
        <f t="shared" ca="1" si="4"/>
        <v/>
      </c>
      <c r="U8" s="210" t="str">
        <f t="shared" ca="1" si="4"/>
        <v/>
      </c>
      <c r="V8" s="211" t="str">
        <f t="shared" ca="1" si="5"/>
        <v/>
      </c>
      <c r="W8" s="211" t="str">
        <f t="shared" ca="1" si="5"/>
        <v/>
      </c>
      <c r="X8" s="211" t="str">
        <f t="shared" ca="1" si="5"/>
        <v/>
      </c>
      <c r="Y8" s="211" t="str">
        <f t="shared" ca="1" si="5"/>
        <v/>
      </c>
      <c r="Z8" s="212" t="str">
        <f t="shared" ca="1" si="5"/>
        <v/>
      </c>
      <c r="AA8" s="212" t="str">
        <f t="shared" ca="1" si="5"/>
        <v/>
      </c>
      <c r="AB8" s="212" t="str">
        <f t="shared" ca="1" si="5"/>
        <v/>
      </c>
      <c r="AC8" s="212" t="str">
        <f t="shared" ca="1" si="5"/>
        <v/>
      </c>
      <c r="AD8" s="212" t="str">
        <f t="shared" ca="1" si="5"/>
        <v/>
      </c>
      <c r="AE8" s="214" t="str">
        <f t="shared" ca="1" si="5"/>
        <v/>
      </c>
      <c r="AF8" s="214" t="str">
        <f t="shared" ca="1" si="5"/>
        <v/>
      </c>
      <c r="AG8" s="214" t="str">
        <f t="shared" ca="1" si="5"/>
        <v/>
      </c>
      <c r="AH8" s="214" t="str">
        <f t="shared" ca="1" si="6"/>
        <v/>
      </c>
      <c r="AI8" s="215" t="str">
        <f>AP!E10</f>
        <v/>
      </c>
      <c r="AJ8" s="215" t="str">
        <f>IF(AP!F10="","",AP!F10)</f>
        <v/>
      </c>
      <c r="AK8" s="215" t="str">
        <f>AP!G10</f>
        <v/>
      </c>
      <c r="AL8" s="215" t="str">
        <f ca="1">AP!H10</f>
        <v/>
      </c>
      <c r="AM8" s="215" t="str">
        <f ca="1">AP!I10</f>
        <v/>
      </c>
    </row>
    <row r="9" spans="1:39" x14ac:dyDescent="0.2">
      <c r="A9" s="8">
        <v>6</v>
      </c>
      <c r="B9" s="9" t="str">
        <f t="shared" ca="1" si="7"/>
        <v xml:space="preserve">, </v>
      </c>
      <c r="C9" s="210" t="str">
        <f t="shared" ca="1" si="8"/>
        <v/>
      </c>
      <c r="D9" s="210" t="str">
        <f t="shared" ca="1" si="0"/>
        <v/>
      </c>
      <c r="E9" s="210" t="str">
        <f t="shared" ca="1" si="0"/>
        <v/>
      </c>
      <c r="F9" s="211" t="str">
        <f t="shared" ca="1" si="1"/>
        <v/>
      </c>
      <c r="G9" s="211" t="str">
        <f t="shared" ca="1" si="1"/>
        <v/>
      </c>
      <c r="H9" s="211" t="str">
        <f t="shared" ca="1" si="1"/>
        <v/>
      </c>
      <c r="I9" s="211" t="str">
        <f t="shared" ca="1" si="1"/>
        <v/>
      </c>
      <c r="J9" s="212" t="str">
        <f t="shared" ca="1" si="2"/>
        <v/>
      </c>
      <c r="K9" s="212" t="str">
        <f t="shared" ca="1" si="2"/>
        <v/>
      </c>
      <c r="L9" s="212" t="str">
        <f t="shared" ca="1" si="2"/>
        <v/>
      </c>
      <c r="M9" s="213" t="str">
        <f t="shared" ca="1" si="2"/>
        <v/>
      </c>
      <c r="N9" s="212" t="str">
        <f t="shared" ca="1" si="2"/>
        <v/>
      </c>
      <c r="O9" s="214" t="str">
        <f t="shared" ca="1" si="2"/>
        <v/>
      </c>
      <c r="P9" s="214" t="str">
        <f t="shared" ca="1" si="2"/>
        <v/>
      </c>
      <c r="Q9" s="214" t="str">
        <f t="shared" ca="1" si="2"/>
        <v/>
      </c>
      <c r="R9" s="214" t="str">
        <f t="shared" ca="1" si="3"/>
        <v/>
      </c>
      <c r="S9" s="210" t="str">
        <f t="shared" ca="1" si="3"/>
        <v/>
      </c>
      <c r="T9" s="210" t="str">
        <f t="shared" ca="1" si="4"/>
        <v/>
      </c>
      <c r="U9" s="210" t="str">
        <f t="shared" ca="1" si="4"/>
        <v/>
      </c>
      <c r="V9" s="211" t="str">
        <f t="shared" ca="1" si="5"/>
        <v/>
      </c>
      <c r="W9" s="211" t="str">
        <f t="shared" ca="1" si="5"/>
        <v/>
      </c>
      <c r="X9" s="211" t="str">
        <f t="shared" ca="1" si="5"/>
        <v/>
      </c>
      <c r="Y9" s="211" t="str">
        <f t="shared" ca="1" si="5"/>
        <v/>
      </c>
      <c r="Z9" s="212" t="str">
        <f t="shared" ca="1" si="5"/>
        <v/>
      </c>
      <c r="AA9" s="212" t="str">
        <f t="shared" ca="1" si="5"/>
        <v/>
      </c>
      <c r="AB9" s="212" t="str">
        <f t="shared" ca="1" si="5"/>
        <v/>
      </c>
      <c r="AC9" s="212" t="str">
        <f t="shared" ca="1" si="5"/>
        <v/>
      </c>
      <c r="AD9" s="212" t="str">
        <f t="shared" ca="1" si="5"/>
        <v/>
      </c>
      <c r="AE9" s="214" t="str">
        <f t="shared" ca="1" si="5"/>
        <v/>
      </c>
      <c r="AF9" s="214" t="str">
        <f t="shared" ca="1" si="5"/>
        <v/>
      </c>
      <c r="AG9" s="214" t="str">
        <f t="shared" ca="1" si="5"/>
        <v/>
      </c>
      <c r="AH9" s="214" t="str">
        <f t="shared" ca="1" si="6"/>
        <v/>
      </c>
      <c r="AI9" s="215" t="str">
        <f>AP!E11</f>
        <v/>
      </c>
      <c r="AJ9" s="215" t="str">
        <f>IF(AP!F11="","",AP!F11)</f>
        <v/>
      </c>
      <c r="AK9" s="215" t="str">
        <f>AP!G11</f>
        <v/>
      </c>
      <c r="AL9" s="215" t="str">
        <f ca="1">AP!H11</f>
        <v/>
      </c>
      <c r="AM9" s="215" t="str">
        <f ca="1">AP!I11</f>
        <v/>
      </c>
    </row>
    <row r="10" spans="1:39" x14ac:dyDescent="0.2">
      <c r="A10" s="8">
        <v>7</v>
      </c>
      <c r="B10" s="9" t="str">
        <f t="shared" ca="1" si="7"/>
        <v xml:space="preserve">, </v>
      </c>
      <c r="C10" s="210" t="str">
        <f t="shared" ca="1" si="8"/>
        <v/>
      </c>
      <c r="D10" s="210" t="str">
        <f t="shared" ca="1" si="0"/>
        <v/>
      </c>
      <c r="E10" s="210" t="str">
        <f t="shared" ca="1" si="0"/>
        <v/>
      </c>
      <c r="F10" s="211" t="str">
        <f t="shared" ca="1" si="1"/>
        <v/>
      </c>
      <c r="G10" s="211" t="str">
        <f t="shared" ca="1" si="1"/>
        <v/>
      </c>
      <c r="H10" s="211" t="str">
        <f t="shared" ca="1" si="1"/>
        <v/>
      </c>
      <c r="I10" s="211" t="str">
        <f t="shared" ca="1" si="1"/>
        <v/>
      </c>
      <c r="J10" s="212" t="str">
        <f t="shared" ca="1" si="2"/>
        <v/>
      </c>
      <c r="K10" s="212" t="str">
        <f t="shared" ca="1" si="2"/>
        <v/>
      </c>
      <c r="L10" s="212" t="str">
        <f t="shared" ca="1" si="2"/>
        <v/>
      </c>
      <c r="M10" s="213" t="str">
        <f t="shared" ca="1" si="2"/>
        <v/>
      </c>
      <c r="N10" s="212" t="str">
        <f t="shared" ca="1" si="2"/>
        <v/>
      </c>
      <c r="O10" s="214" t="str">
        <f t="shared" ca="1" si="2"/>
        <v/>
      </c>
      <c r="P10" s="214" t="str">
        <f t="shared" ca="1" si="2"/>
        <v/>
      </c>
      <c r="Q10" s="214" t="str">
        <f t="shared" ca="1" si="2"/>
        <v/>
      </c>
      <c r="R10" s="214" t="str">
        <f t="shared" ca="1" si="3"/>
        <v/>
      </c>
      <c r="S10" s="210" t="str">
        <f t="shared" ca="1" si="3"/>
        <v/>
      </c>
      <c r="T10" s="210" t="str">
        <f t="shared" ca="1" si="4"/>
        <v/>
      </c>
      <c r="U10" s="210" t="str">
        <f t="shared" ca="1" si="4"/>
        <v/>
      </c>
      <c r="V10" s="211" t="str">
        <f ca="1">IF(INDIRECT(ADDRESS(4+$A10*2,V$2,,,"Notenbogen"))="","",INDIRECT(ADDRESS(4+$A10*2,V$2,,,"Notenbogen")))</f>
        <v/>
      </c>
      <c r="W10" s="211" t="str">
        <f ca="1">IF(INDIRECT(ADDRESS(4+$A10*2,W$2,,,"Notenbogen"))="","",INDIRECT(ADDRESS(4+$A10*2,W$2,,,"Notenbogen")))</f>
        <v/>
      </c>
      <c r="X10" s="211" t="str">
        <f ca="1">IF(INDIRECT(ADDRESS(4+$A10*2,X$2,,,"Notenbogen"))="","",INDIRECT(ADDRESS(4+$A10*2,X$2,,,"Notenbogen")))</f>
        <v/>
      </c>
      <c r="Y10" s="211" t="str">
        <f t="shared" ref="V10:AG31" ca="1" si="9">IF(INDIRECT(ADDRESS(4+$A10*2,Y$2,,,"Notenbogen"))="","",INDIRECT(ADDRESS(4+$A10*2,Y$2,,,"Notenbogen")))</f>
        <v/>
      </c>
      <c r="Z10" s="212" t="str">
        <f t="shared" ca="1" si="9"/>
        <v/>
      </c>
      <c r="AA10" s="212" t="str">
        <f t="shared" ca="1" si="9"/>
        <v/>
      </c>
      <c r="AB10" s="212" t="str">
        <f t="shared" ca="1" si="9"/>
        <v/>
      </c>
      <c r="AC10" s="212" t="str">
        <f t="shared" ca="1" si="9"/>
        <v/>
      </c>
      <c r="AD10" s="212" t="str">
        <f t="shared" ca="1" si="9"/>
        <v/>
      </c>
      <c r="AE10" s="214" t="str">
        <f t="shared" ca="1" si="9"/>
        <v/>
      </c>
      <c r="AF10" s="214" t="str">
        <f t="shared" ca="1" si="9"/>
        <v/>
      </c>
      <c r="AG10" s="214" t="str">
        <f t="shared" ca="1" si="9"/>
        <v/>
      </c>
      <c r="AH10" s="214" t="str">
        <f t="shared" ca="1" si="6"/>
        <v/>
      </c>
      <c r="AI10" s="215" t="str">
        <f>AP!E12</f>
        <v/>
      </c>
      <c r="AJ10" s="215" t="str">
        <f>IF(AP!F12="","",AP!F12)</f>
        <v/>
      </c>
      <c r="AK10" s="215" t="str">
        <f>AP!G12</f>
        <v/>
      </c>
      <c r="AL10" s="215" t="str">
        <f ca="1">AP!H12</f>
        <v/>
      </c>
      <c r="AM10" s="215" t="str">
        <f ca="1">AP!I12</f>
        <v/>
      </c>
    </row>
    <row r="11" spans="1:39" x14ac:dyDescent="0.2">
      <c r="A11" s="8">
        <v>8</v>
      </c>
      <c r="B11" s="9" t="str">
        <f t="shared" ca="1" si="7"/>
        <v xml:space="preserve">, </v>
      </c>
      <c r="C11" s="210" t="str">
        <f t="shared" ca="1" si="8"/>
        <v/>
      </c>
      <c r="D11" s="210" t="str">
        <f t="shared" ca="1" si="0"/>
        <v/>
      </c>
      <c r="E11" s="210" t="str">
        <f t="shared" ca="1" si="0"/>
        <v/>
      </c>
      <c r="F11" s="211" t="str">
        <f t="shared" ca="1" si="1"/>
        <v/>
      </c>
      <c r="G11" s="211" t="str">
        <f t="shared" ca="1" si="1"/>
        <v/>
      </c>
      <c r="H11" s="211" t="str">
        <f t="shared" ca="1" si="1"/>
        <v/>
      </c>
      <c r="I11" s="211" t="str">
        <f t="shared" ca="1" si="1"/>
        <v/>
      </c>
      <c r="J11" s="212" t="str">
        <f t="shared" ca="1" si="2"/>
        <v/>
      </c>
      <c r="K11" s="212" t="str">
        <f t="shared" ca="1" si="2"/>
        <v/>
      </c>
      <c r="L11" s="212" t="str">
        <f t="shared" ca="1" si="2"/>
        <v/>
      </c>
      <c r="M11" s="213" t="str">
        <f t="shared" ca="1" si="2"/>
        <v/>
      </c>
      <c r="N11" s="212" t="str">
        <f t="shared" ca="1" si="2"/>
        <v/>
      </c>
      <c r="O11" s="214" t="str">
        <f t="shared" ca="1" si="2"/>
        <v/>
      </c>
      <c r="P11" s="214" t="str">
        <f t="shared" ca="1" si="2"/>
        <v/>
      </c>
      <c r="Q11" s="214" t="str">
        <f t="shared" ca="1" si="2"/>
        <v/>
      </c>
      <c r="R11" s="214" t="str">
        <f t="shared" ca="1" si="3"/>
        <v/>
      </c>
      <c r="S11" s="210" t="str">
        <f t="shared" ca="1" si="3"/>
        <v/>
      </c>
      <c r="T11" s="210" t="str">
        <f t="shared" ca="1" si="4"/>
        <v/>
      </c>
      <c r="U11" s="210" t="str">
        <f t="shared" ca="1" si="4"/>
        <v/>
      </c>
      <c r="V11" s="211" t="str">
        <f t="shared" ca="1" si="9"/>
        <v/>
      </c>
      <c r="W11" s="211" t="str">
        <f t="shared" ca="1" si="9"/>
        <v/>
      </c>
      <c r="X11" s="211" t="str">
        <f t="shared" ca="1" si="9"/>
        <v/>
      </c>
      <c r="Y11" s="211" t="str">
        <f t="shared" ca="1" si="9"/>
        <v/>
      </c>
      <c r="Z11" s="212" t="str">
        <f t="shared" ca="1" si="9"/>
        <v/>
      </c>
      <c r="AA11" s="212" t="str">
        <f t="shared" ca="1" si="9"/>
        <v/>
      </c>
      <c r="AB11" s="212" t="str">
        <f t="shared" ca="1" si="9"/>
        <v/>
      </c>
      <c r="AC11" s="212" t="str">
        <f t="shared" ca="1" si="9"/>
        <v/>
      </c>
      <c r="AD11" s="212" t="str">
        <f t="shared" ca="1" si="9"/>
        <v/>
      </c>
      <c r="AE11" s="214" t="str">
        <f t="shared" ca="1" si="9"/>
        <v/>
      </c>
      <c r="AF11" s="214" t="str">
        <f t="shared" ca="1" si="9"/>
        <v/>
      </c>
      <c r="AG11" s="214" t="str">
        <f t="shared" ca="1" si="9"/>
        <v/>
      </c>
      <c r="AH11" s="214" t="str">
        <f t="shared" ca="1" si="6"/>
        <v/>
      </c>
      <c r="AI11" s="215" t="str">
        <f>AP!E13</f>
        <v/>
      </c>
      <c r="AJ11" s="215" t="str">
        <f>IF(AP!F13="","",AP!F13)</f>
        <v/>
      </c>
      <c r="AK11" s="215" t="str">
        <f>AP!G13</f>
        <v/>
      </c>
      <c r="AL11" s="215" t="str">
        <f ca="1">AP!H13</f>
        <v/>
      </c>
      <c r="AM11" s="215" t="str">
        <f ca="1">AP!I13</f>
        <v/>
      </c>
    </row>
    <row r="12" spans="1:39" x14ac:dyDescent="0.2">
      <c r="A12" s="8">
        <v>9</v>
      </c>
      <c r="B12" s="9" t="str">
        <f t="shared" ca="1" si="7"/>
        <v xml:space="preserve">, </v>
      </c>
      <c r="C12" s="210" t="str">
        <f t="shared" ca="1" si="8"/>
        <v/>
      </c>
      <c r="D12" s="210" t="str">
        <f t="shared" ca="1" si="0"/>
        <v/>
      </c>
      <c r="E12" s="210" t="str">
        <f t="shared" ca="1" si="0"/>
        <v/>
      </c>
      <c r="F12" s="211" t="str">
        <f t="shared" ca="1" si="1"/>
        <v/>
      </c>
      <c r="G12" s="211" t="str">
        <f t="shared" ca="1" si="1"/>
        <v/>
      </c>
      <c r="H12" s="211" t="str">
        <f t="shared" ca="1" si="1"/>
        <v/>
      </c>
      <c r="I12" s="211" t="str">
        <f t="shared" ca="1" si="1"/>
        <v/>
      </c>
      <c r="J12" s="212" t="str">
        <f t="shared" ca="1" si="2"/>
        <v/>
      </c>
      <c r="K12" s="212" t="str">
        <f t="shared" ca="1" si="2"/>
        <v/>
      </c>
      <c r="L12" s="212" t="str">
        <f t="shared" ca="1" si="2"/>
        <v/>
      </c>
      <c r="M12" s="213" t="str">
        <f t="shared" ca="1" si="2"/>
        <v/>
      </c>
      <c r="N12" s="212" t="str">
        <f t="shared" ca="1" si="2"/>
        <v/>
      </c>
      <c r="O12" s="214" t="str">
        <f t="shared" ca="1" si="2"/>
        <v/>
      </c>
      <c r="P12" s="214" t="str">
        <f t="shared" ca="1" si="2"/>
        <v/>
      </c>
      <c r="Q12" s="214" t="str">
        <f t="shared" ca="1" si="2"/>
        <v/>
      </c>
      <c r="R12" s="214" t="str">
        <f t="shared" ca="1" si="3"/>
        <v/>
      </c>
      <c r="S12" s="210" t="str">
        <f t="shared" ca="1" si="3"/>
        <v/>
      </c>
      <c r="T12" s="210" t="str">
        <f t="shared" ca="1" si="4"/>
        <v/>
      </c>
      <c r="U12" s="210" t="str">
        <f t="shared" ca="1" si="4"/>
        <v/>
      </c>
      <c r="V12" s="211" t="str">
        <f t="shared" ca="1" si="9"/>
        <v/>
      </c>
      <c r="W12" s="211" t="str">
        <f t="shared" ca="1" si="9"/>
        <v/>
      </c>
      <c r="X12" s="211" t="str">
        <f t="shared" ca="1" si="9"/>
        <v/>
      </c>
      <c r="Y12" s="211" t="str">
        <f t="shared" ca="1" si="9"/>
        <v/>
      </c>
      <c r="Z12" s="212" t="str">
        <f t="shared" ca="1" si="9"/>
        <v/>
      </c>
      <c r="AA12" s="212" t="str">
        <f t="shared" ca="1" si="9"/>
        <v/>
      </c>
      <c r="AB12" s="212" t="str">
        <f t="shared" ca="1" si="9"/>
        <v/>
      </c>
      <c r="AC12" s="212" t="str">
        <f t="shared" ca="1" si="9"/>
        <v/>
      </c>
      <c r="AD12" s="212" t="str">
        <f t="shared" ca="1" si="9"/>
        <v/>
      </c>
      <c r="AE12" s="214" t="str">
        <f t="shared" ca="1" si="9"/>
        <v/>
      </c>
      <c r="AF12" s="214" t="str">
        <f t="shared" ca="1" si="9"/>
        <v/>
      </c>
      <c r="AG12" s="214" t="str">
        <f t="shared" ca="1" si="9"/>
        <v/>
      </c>
      <c r="AH12" s="214" t="str">
        <f t="shared" ca="1" si="6"/>
        <v/>
      </c>
      <c r="AI12" s="215" t="str">
        <f>AP!E14</f>
        <v/>
      </c>
      <c r="AJ12" s="215" t="str">
        <f>IF(AP!F14="","",AP!F14)</f>
        <v/>
      </c>
      <c r="AK12" s="215" t="str">
        <f>AP!G14</f>
        <v/>
      </c>
      <c r="AL12" s="215" t="str">
        <f ca="1">AP!H14</f>
        <v/>
      </c>
      <c r="AM12" s="215" t="str">
        <f ca="1">AP!I14</f>
        <v/>
      </c>
    </row>
    <row r="13" spans="1:39" x14ac:dyDescent="0.2">
      <c r="A13" s="8">
        <v>10</v>
      </c>
      <c r="B13" s="9" t="str">
        <f t="shared" ca="1" si="7"/>
        <v xml:space="preserve">, </v>
      </c>
      <c r="C13" s="210" t="str">
        <f t="shared" ca="1" si="8"/>
        <v/>
      </c>
      <c r="D13" s="210" t="str">
        <f t="shared" ca="1" si="0"/>
        <v/>
      </c>
      <c r="E13" s="210" t="str">
        <f t="shared" ca="1" si="0"/>
        <v/>
      </c>
      <c r="F13" s="211" t="str">
        <f t="shared" ca="1" si="1"/>
        <v/>
      </c>
      <c r="G13" s="211" t="str">
        <f t="shared" ca="1" si="1"/>
        <v/>
      </c>
      <c r="H13" s="211" t="str">
        <f t="shared" ca="1" si="1"/>
        <v/>
      </c>
      <c r="I13" s="211" t="str">
        <f t="shared" ca="1" si="1"/>
        <v/>
      </c>
      <c r="J13" s="212" t="str">
        <f t="shared" ca="1" si="2"/>
        <v/>
      </c>
      <c r="K13" s="212" t="str">
        <f t="shared" ca="1" si="2"/>
        <v/>
      </c>
      <c r="L13" s="212" t="str">
        <f t="shared" ca="1" si="2"/>
        <v/>
      </c>
      <c r="M13" s="213" t="str">
        <f t="shared" ca="1" si="2"/>
        <v/>
      </c>
      <c r="N13" s="212" t="str">
        <f t="shared" ca="1" si="2"/>
        <v/>
      </c>
      <c r="O13" s="214" t="str">
        <f t="shared" ca="1" si="2"/>
        <v/>
      </c>
      <c r="P13" s="214" t="str">
        <f t="shared" ca="1" si="2"/>
        <v/>
      </c>
      <c r="Q13" s="214" t="str">
        <f t="shared" ca="1" si="2"/>
        <v/>
      </c>
      <c r="R13" s="214" t="str">
        <f t="shared" ca="1" si="3"/>
        <v/>
      </c>
      <c r="S13" s="210" t="str">
        <f t="shared" ca="1" si="3"/>
        <v/>
      </c>
      <c r="T13" s="210" t="str">
        <f t="shared" ca="1" si="4"/>
        <v/>
      </c>
      <c r="U13" s="210" t="str">
        <f t="shared" ca="1" si="4"/>
        <v/>
      </c>
      <c r="V13" s="211" t="str">
        <f t="shared" ca="1" si="9"/>
        <v/>
      </c>
      <c r="W13" s="211" t="str">
        <f t="shared" ca="1" si="9"/>
        <v/>
      </c>
      <c r="X13" s="211" t="str">
        <f t="shared" ca="1" si="9"/>
        <v/>
      </c>
      <c r="Y13" s="211" t="str">
        <f t="shared" ca="1" si="9"/>
        <v/>
      </c>
      <c r="Z13" s="212" t="str">
        <f t="shared" ca="1" si="9"/>
        <v/>
      </c>
      <c r="AA13" s="212" t="str">
        <f t="shared" ca="1" si="9"/>
        <v/>
      </c>
      <c r="AB13" s="212" t="str">
        <f t="shared" ca="1" si="9"/>
        <v/>
      </c>
      <c r="AC13" s="212" t="str">
        <f t="shared" ca="1" si="9"/>
        <v/>
      </c>
      <c r="AD13" s="212" t="str">
        <f t="shared" ca="1" si="9"/>
        <v/>
      </c>
      <c r="AE13" s="214" t="str">
        <f t="shared" ca="1" si="9"/>
        <v/>
      </c>
      <c r="AF13" s="214" t="str">
        <f t="shared" ca="1" si="9"/>
        <v/>
      </c>
      <c r="AG13" s="214" t="str">
        <f t="shared" ca="1" si="9"/>
        <v/>
      </c>
      <c r="AH13" s="214" t="str">
        <f t="shared" ca="1" si="6"/>
        <v/>
      </c>
      <c r="AI13" s="215" t="str">
        <f>AP!E15</f>
        <v/>
      </c>
      <c r="AJ13" s="215" t="str">
        <f>IF(AP!F15="","",AP!F15)</f>
        <v/>
      </c>
      <c r="AK13" s="215" t="str">
        <f>AP!G15</f>
        <v/>
      </c>
      <c r="AL13" s="215" t="str">
        <f ca="1">AP!H15</f>
        <v/>
      </c>
      <c r="AM13" s="215" t="str">
        <f ca="1">AP!I15</f>
        <v/>
      </c>
    </row>
    <row r="14" spans="1:39" x14ac:dyDescent="0.2">
      <c r="A14" s="8">
        <v>11</v>
      </c>
      <c r="B14" s="9" t="str">
        <f t="shared" ca="1" si="7"/>
        <v xml:space="preserve">, </v>
      </c>
      <c r="C14" s="210" t="str">
        <f t="shared" ca="1" si="8"/>
        <v/>
      </c>
      <c r="D14" s="210" t="str">
        <f t="shared" ca="1" si="0"/>
        <v/>
      </c>
      <c r="E14" s="210" t="str">
        <f t="shared" ca="1" si="0"/>
        <v/>
      </c>
      <c r="F14" s="211" t="str">
        <f t="shared" ca="1" si="1"/>
        <v/>
      </c>
      <c r="G14" s="211" t="str">
        <f t="shared" ca="1" si="1"/>
        <v/>
      </c>
      <c r="H14" s="211" t="str">
        <f t="shared" ca="1" si="1"/>
        <v/>
      </c>
      <c r="I14" s="211" t="str">
        <f t="shared" ca="1" si="1"/>
        <v/>
      </c>
      <c r="J14" s="212" t="str">
        <f t="shared" ca="1" si="2"/>
        <v/>
      </c>
      <c r="K14" s="212" t="str">
        <f t="shared" ca="1" si="2"/>
        <v/>
      </c>
      <c r="L14" s="212" t="str">
        <f t="shared" ca="1" si="2"/>
        <v/>
      </c>
      <c r="M14" s="213" t="str">
        <f t="shared" ca="1" si="2"/>
        <v/>
      </c>
      <c r="N14" s="212" t="str">
        <f t="shared" ca="1" si="2"/>
        <v/>
      </c>
      <c r="O14" s="214" t="str">
        <f t="shared" ca="1" si="2"/>
        <v/>
      </c>
      <c r="P14" s="214" t="str">
        <f t="shared" ca="1" si="2"/>
        <v/>
      </c>
      <c r="Q14" s="214" t="str">
        <f t="shared" ca="1" si="2"/>
        <v/>
      </c>
      <c r="R14" s="214" t="str">
        <f t="shared" ca="1" si="3"/>
        <v/>
      </c>
      <c r="S14" s="210" t="str">
        <f t="shared" ca="1" si="3"/>
        <v/>
      </c>
      <c r="T14" s="210" t="str">
        <f t="shared" ca="1" si="4"/>
        <v/>
      </c>
      <c r="U14" s="210" t="str">
        <f t="shared" ca="1" si="4"/>
        <v/>
      </c>
      <c r="V14" s="211" t="str">
        <f t="shared" ca="1" si="9"/>
        <v/>
      </c>
      <c r="W14" s="211" t="str">
        <f t="shared" ca="1" si="9"/>
        <v/>
      </c>
      <c r="X14" s="211" t="str">
        <f t="shared" ca="1" si="9"/>
        <v/>
      </c>
      <c r="Y14" s="211" t="str">
        <f t="shared" ca="1" si="9"/>
        <v/>
      </c>
      <c r="Z14" s="212" t="str">
        <f t="shared" ca="1" si="9"/>
        <v/>
      </c>
      <c r="AA14" s="212" t="str">
        <f t="shared" ca="1" si="9"/>
        <v/>
      </c>
      <c r="AB14" s="212" t="str">
        <f t="shared" ca="1" si="9"/>
        <v/>
      </c>
      <c r="AC14" s="212" t="str">
        <f t="shared" ca="1" si="9"/>
        <v/>
      </c>
      <c r="AD14" s="212" t="str">
        <f t="shared" ca="1" si="9"/>
        <v/>
      </c>
      <c r="AE14" s="214" t="str">
        <f t="shared" ca="1" si="9"/>
        <v/>
      </c>
      <c r="AF14" s="214" t="str">
        <f t="shared" ca="1" si="9"/>
        <v/>
      </c>
      <c r="AG14" s="214" t="str">
        <f t="shared" ca="1" si="9"/>
        <v/>
      </c>
      <c r="AH14" s="214" t="str">
        <f t="shared" ca="1" si="6"/>
        <v/>
      </c>
      <c r="AI14" s="215" t="str">
        <f>AP!E16</f>
        <v/>
      </c>
      <c r="AJ14" s="215" t="str">
        <f>IF(AP!F16="","",AP!F16)</f>
        <v/>
      </c>
      <c r="AK14" s="215" t="str">
        <f>AP!G16</f>
        <v/>
      </c>
      <c r="AL14" s="215" t="str">
        <f ca="1">AP!H16</f>
        <v/>
      </c>
      <c r="AM14" s="215" t="str">
        <f ca="1">AP!I16</f>
        <v/>
      </c>
    </row>
    <row r="15" spans="1:39" x14ac:dyDescent="0.2">
      <c r="A15" s="8">
        <v>12</v>
      </c>
      <c r="B15" s="9" t="str">
        <f t="shared" ca="1" si="7"/>
        <v xml:space="preserve">, </v>
      </c>
      <c r="C15" s="210" t="str">
        <f t="shared" ca="1" si="8"/>
        <v/>
      </c>
      <c r="D15" s="210" t="str">
        <f t="shared" ca="1" si="0"/>
        <v/>
      </c>
      <c r="E15" s="210" t="str">
        <f t="shared" ca="1" si="0"/>
        <v/>
      </c>
      <c r="F15" s="211" t="str">
        <f t="shared" ca="1" si="1"/>
        <v/>
      </c>
      <c r="G15" s="211" t="str">
        <f t="shared" ca="1" si="1"/>
        <v/>
      </c>
      <c r="H15" s="211" t="str">
        <f t="shared" ca="1" si="1"/>
        <v/>
      </c>
      <c r="I15" s="211" t="str">
        <f t="shared" ca="1" si="1"/>
        <v/>
      </c>
      <c r="J15" s="212" t="str">
        <f t="shared" ca="1" si="2"/>
        <v/>
      </c>
      <c r="K15" s="212" t="str">
        <f t="shared" ca="1" si="2"/>
        <v/>
      </c>
      <c r="L15" s="212" t="str">
        <f t="shared" ca="1" si="2"/>
        <v/>
      </c>
      <c r="M15" s="213" t="str">
        <f t="shared" ca="1" si="2"/>
        <v/>
      </c>
      <c r="N15" s="212" t="str">
        <f t="shared" ca="1" si="2"/>
        <v/>
      </c>
      <c r="O15" s="214" t="str">
        <f t="shared" ca="1" si="2"/>
        <v/>
      </c>
      <c r="P15" s="214" t="str">
        <f t="shared" ca="1" si="2"/>
        <v/>
      </c>
      <c r="Q15" s="214" t="str">
        <f t="shared" ca="1" si="2"/>
        <v/>
      </c>
      <c r="R15" s="214" t="str">
        <f t="shared" ca="1" si="3"/>
        <v/>
      </c>
      <c r="S15" s="210" t="str">
        <f t="shared" ca="1" si="3"/>
        <v/>
      </c>
      <c r="T15" s="210" t="str">
        <f t="shared" ca="1" si="4"/>
        <v/>
      </c>
      <c r="U15" s="210" t="str">
        <f t="shared" ca="1" si="4"/>
        <v/>
      </c>
      <c r="V15" s="211" t="str">
        <f t="shared" ca="1" si="9"/>
        <v/>
      </c>
      <c r="W15" s="211" t="str">
        <f t="shared" ca="1" si="9"/>
        <v/>
      </c>
      <c r="X15" s="211" t="str">
        <f t="shared" ca="1" si="9"/>
        <v/>
      </c>
      <c r="Y15" s="211" t="str">
        <f t="shared" ca="1" si="9"/>
        <v/>
      </c>
      <c r="Z15" s="212" t="str">
        <f t="shared" ca="1" si="9"/>
        <v/>
      </c>
      <c r="AA15" s="212" t="str">
        <f t="shared" ca="1" si="9"/>
        <v/>
      </c>
      <c r="AB15" s="212" t="str">
        <f t="shared" ca="1" si="9"/>
        <v/>
      </c>
      <c r="AC15" s="212" t="str">
        <f t="shared" ca="1" si="9"/>
        <v/>
      </c>
      <c r="AD15" s="212" t="str">
        <f t="shared" ca="1" si="9"/>
        <v/>
      </c>
      <c r="AE15" s="214" t="str">
        <f t="shared" ca="1" si="9"/>
        <v/>
      </c>
      <c r="AF15" s="214" t="str">
        <f t="shared" ca="1" si="9"/>
        <v/>
      </c>
      <c r="AG15" s="214" t="str">
        <f t="shared" ca="1" si="9"/>
        <v/>
      </c>
      <c r="AH15" s="214" t="str">
        <f t="shared" ca="1" si="6"/>
        <v/>
      </c>
      <c r="AI15" s="215" t="str">
        <f>AP!E17</f>
        <v/>
      </c>
      <c r="AJ15" s="215" t="str">
        <f>IF(AP!F17="","",AP!F17)</f>
        <v/>
      </c>
      <c r="AK15" s="215" t="str">
        <f>AP!G17</f>
        <v/>
      </c>
      <c r="AL15" s="215" t="str">
        <f ca="1">AP!H17</f>
        <v/>
      </c>
      <c r="AM15" s="215" t="str">
        <f ca="1">AP!I17</f>
        <v/>
      </c>
    </row>
    <row r="16" spans="1:39" x14ac:dyDescent="0.2">
      <c r="A16" s="8">
        <v>13</v>
      </c>
      <c r="B16" s="9" t="str">
        <f t="shared" ca="1" si="7"/>
        <v xml:space="preserve">, </v>
      </c>
      <c r="C16" s="210" t="str">
        <f t="shared" ca="1" si="8"/>
        <v/>
      </c>
      <c r="D16" s="210" t="str">
        <f t="shared" ca="1" si="0"/>
        <v/>
      </c>
      <c r="E16" s="210" t="str">
        <f t="shared" ca="1" si="0"/>
        <v/>
      </c>
      <c r="F16" s="211" t="str">
        <f t="shared" ca="1" si="1"/>
        <v/>
      </c>
      <c r="G16" s="211" t="str">
        <f t="shared" ca="1" si="1"/>
        <v/>
      </c>
      <c r="H16" s="211" t="str">
        <f t="shared" ca="1" si="1"/>
        <v/>
      </c>
      <c r="I16" s="211" t="str">
        <f t="shared" ca="1" si="1"/>
        <v/>
      </c>
      <c r="J16" s="212" t="str">
        <f t="shared" ca="1" si="2"/>
        <v/>
      </c>
      <c r="K16" s="212" t="str">
        <f t="shared" ca="1" si="2"/>
        <v/>
      </c>
      <c r="L16" s="212" t="str">
        <f t="shared" ca="1" si="2"/>
        <v/>
      </c>
      <c r="M16" s="213" t="str">
        <f t="shared" ca="1" si="2"/>
        <v/>
      </c>
      <c r="N16" s="212" t="str">
        <f t="shared" ca="1" si="2"/>
        <v/>
      </c>
      <c r="O16" s="214" t="str">
        <f t="shared" ca="1" si="2"/>
        <v/>
      </c>
      <c r="P16" s="214" t="str">
        <f t="shared" ca="1" si="2"/>
        <v/>
      </c>
      <c r="Q16" s="214" t="str">
        <f t="shared" ca="1" si="2"/>
        <v/>
      </c>
      <c r="R16" s="214" t="str">
        <f t="shared" ca="1" si="3"/>
        <v/>
      </c>
      <c r="S16" s="210" t="str">
        <f t="shared" ca="1" si="3"/>
        <v/>
      </c>
      <c r="T16" s="210" t="str">
        <f t="shared" ca="1" si="4"/>
        <v/>
      </c>
      <c r="U16" s="210" t="str">
        <f t="shared" ca="1" si="4"/>
        <v/>
      </c>
      <c r="V16" s="211" t="str">
        <f t="shared" ca="1" si="9"/>
        <v/>
      </c>
      <c r="W16" s="211" t="str">
        <f t="shared" ca="1" si="9"/>
        <v/>
      </c>
      <c r="X16" s="211" t="str">
        <f t="shared" ca="1" si="9"/>
        <v/>
      </c>
      <c r="Y16" s="211" t="str">
        <f t="shared" ca="1" si="9"/>
        <v/>
      </c>
      <c r="Z16" s="212" t="str">
        <f t="shared" ca="1" si="9"/>
        <v/>
      </c>
      <c r="AA16" s="212" t="str">
        <f t="shared" ca="1" si="9"/>
        <v/>
      </c>
      <c r="AB16" s="212" t="str">
        <f t="shared" ca="1" si="9"/>
        <v/>
      </c>
      <c r="AC16" s="212" t="str">
        <f t="shared" ca="1" si="9"/>
        <v/>
      </c>
      <c r="AD16" s="212" t="str">
        <f t="shared" ca="1" si="9"/>
        <v/>
      </c>
      <c r="AE16" s="214" t="str">
        <f t="shared" ca="1" si="9"/>
        <v/>
      </c>
      <c r="AF16" s="214" t="str">
        <f t="shared" ca="1" si="9"/>
        <v/>
      </c>
      <c r="AG16" s="214" t="str">
        <f t="shared" ca="1" si="9"/>
        <v/>
      </c>
      <c r="AH16" s="214" t="str">
        <f t="shared" ca="1" si="6"/>
        <v/>
      </c>
      <c r="AI16" s="215" t="str">
        <f>AP!E18</f>
        <v/>
      </c>
      <c r="AJ16" s="215" t="str">
        <f>IF(AP!F18="","",AP!F18)</f>
        <v/>
      </c>
      <c r="AK16" s="215" t="str">
        <f>AP!G18</f>
        <v/>
      </c>
      <c r="AL16" s="215" t="str">
        <f ca="1">AP!H18</f>
        <v/>
      </c>
      <c r="AM16" s="215" t="str">
        <f ca="1">AP!I18</f>
        <v/>
      </c>
    </row>
    <row r="17" spans="1:39" x14ac:dyDescent="0.2">
      <c r="A17" s="8">
        <v>14</v>
      </c>
      <c r="B17" s="9" t="str">
        <f t="shared" ca="1" si="7"/>
        <v xml:space="preserve">, </v>
      </c>
      <c r="C17" s="210" t="str">
        <f t="shared" ca="1" si="8"/>
        <v/>
      </c>
      <c r="D17" s="210" t="str">
        <f t="shared" ca="1" si="0"/>
        <v/>
      </c>
      <c r="E17" s="210" t="str">
        <f t="shared" ca="1" si="0"/>
        <v/>
      </c>
      <c r="F17" s="211" t="str">
        <f t="shared" ca="1" si="1"/>
        <v/>
      </c>
      <c r="G17" s="211" t="str">
        <f t="shared" ca="1" si="1"/>
        <v/>
      </c>
      <c r="H17" s="211" t="str">
        <f t="shared" ca="1" si="1"/>
        <v/>
      </c>
      <c r="I17" s="211" t="str">
        <f t="shared" ca="1" si="1"/>
        <v/>
      </c>
      <c r="J17" s="212" t="str">
        <f t="shared" ca="1" si="2"/>
        <v/>
      </c>
      <c r="K17" s="212" t="str">
        <f t="shared" ca="1" si="2"/>
        <v/>
      </c>
      <c r="L17" s="212" t="str">
        <f t="shared" ca="1" si="2"/>
        <v/>
      </c>
      <c r="M17" s="213" t="str">
        <f t="shared" ca="1" si="2"/>
        <v/>
      </c>
      <c r="N17" s="212" t="str">
        <f t="shared" ca="1" si="2"/>
        <v/>
      </c>
      <c r="O17" s="214" t="str">
        <f t="shared" ca="1" si="2"/>
        <v/>
      </c>
      <c r="P17" s="214" t="str">
        <f t="shared" ca="1" si="2"/>
        <v/>
      </c>
      <c r="Q17" s="214" t="str">
        <f t="shared" ca="1" si="2"/>
        <v/>
      </c>
      <c r="R17" s="214" t="str">
        <f t="shared" ca="1" si="3"/>
        <v/>
      </c>
      <c r="S17" s="210" t="str">
        <f t="shared" ca="1" si="3"/>
        <v/>
      </c>
      <c r="T17" s="210" t="str">
        <f t="shared" ca="1" si="4"/>
        <v/>
      </c>
      <c r="U17" s="210" t="str">
        <f t="shared" ca="1" si="4"/>
        <v/>
      </c>
      <c r="V17" s="211" t="str">
        <f t="shared" ca="1" si="9"/>
        <v/>
      </c>
      <c r="W17" s="211" t="str">
        <f t="shared" ca="1" si="9"/>
        <v/>
      </c>
      <c r="X17" s="211" t="str">
        <f t="shared" ca="1" si="9"/>
        <v/>
      </c>
      <c r="Y17" s="211" t="str">
        <f t="shared" ca="1" si="9"/>
        <v/>
      </c>
      <c r="Z17" s="212" t="str">
        <f t="shared" ca="1" si="9"/>
        <v/>
      </c>
      <c r="AA17" s="212" t="str">
        <f t="shared" ca="1" si="9"/>
        <v/>
      </c>
      <c r="AB17" s="212" t="str">
        <f t="shared" ca="1" si="9"/>
        <v/>
      </c>
      <c r="AC17" s="212" t="str">
        <f t="shared" ca="1" si="9"/>
        <v/>
      </c>
      <c r="AD17" s="212" t="str">
        <f t="shared" ca="1" si="9"/>
        <v/>
      </c>
      <c r="AE17" s="214" t="str">
        <f t="shared" ca="1" si="9"/>
        <v/>
      </c>
      <c r="AF17" s="214" t="str">
        <f t="shared" ca="1" si="9"/>
        <v/>
      </c>
      <c r="AG17" s="214" t="str">
        <f t="shared" ca="1" si="9"/>
        <v/>
      </c>
      <c r="AH17" s="214" t="str">
        <f t="shared" ca="1" si="6"/>
        <v/>
      </c>
      <c r="AI17" s="215" t="str">
        <f>AP!E19</f>
        <v/>
      </c>
      <c r="AJ17" s="215" t="str">
        <f>IF(AP!F19="","",AP!F19)</f>
        <v/>
      </c>
      <c r="AK17" s="215" t="str">
        <f>AP!G19</f>
        <v/>
      </c>
      <c r="AL17" s="215" t="str">
        <f ca="1">AP!H19</f>
        <v/>
      </c>
      <c r="AM17" s="215" t="str">
        <f ca="1">AP!I19</f>
        <v/>
      </c>
    </row>
    <row r="18" spans="1:39" x14ac:dyDescent="0.2">
      <c r="A18" s="8">
        <v>15</v>
      </c>
      <c r="B18" s="9" t="str">
        <f t="shared" ca="1" si="7"/>
        <v xml:space="preserve">, </v>
      </c>
      <c r="C18" s="210" t="str">
        <f t="shared" ca="1" si="8"/>
        <v/>
      </c>
      <c r="D18" s="210" t="str">
        <f t="shared" ca="1" si="0"/>
        <v/>
      </c>
      <c r="E18" s="210" t="str">
        <f t="shared" ca="1" si="0"/>
        <v/>
      </c>
      <c r="F18" s="211" t="str">
        <f t="shared" ca="1" si="1"/>
        <v/>
      </c>
      <c r="G18" s="211" t="str">
        <f t="shared" ca="1" si="1"/>
        <v/>
      </c>
      <c r="H18" s="211" t="str">
        <f t="shared" ca="1" si="1"/>
        <v/>
      </c>
      <c r="I18" s="211" t="str">
        <f t="shared" ca="1" si="1"/>
        <v/>
      </c>
      <c r="J18" s="212" t="str">
        <f t="shared" ca="1" si="2"/>
        <v/>
      </c>
      <c r="K18" s="212" t="str">
        <f t="shared" ca="1" si="2"/>
        <v/>
      </c>
      <c r="L18" s="212" t="str">
        <f t="shared" ca="1" si="2"/>
        <v/>
      </c>
      <c r="M18" s="213" t="str">
        <f t="shared" ca="1" si="2"/>
        <v/>
      </c>
      <c r="N18" s="212" t="str">
        <f t="shared" ca="1" si="2"/>
        <v/>
      </c>
      <c r="O18" s="214" t="str">
        <f t="shared" ca="1" si="2"/>
        <v/>
      </c>
      <c r="P18" s="214" t="str">
        <f t="shared" ca="1" si="2"/>
        <v/>
      </c>
      <c r="Q18" s="214" t="str">
        <f t="shared" ca="1" si="2"/>
        <v/>
      </c>
      <c r="R18" s="214" t="str">
        <f t="shared" ca="1" si="3"/>
        <v/>
      </c>
      <c r="S18" s="210" t="str">
        <f t="shared" ca="1" si="3"/>
        <v/>
      </c>
      <c r="T18" s="210" t="str">
        <f t="shared" ca="1" si="4"/>
        <v/>
      </c>
      <c r="U18" s="210" t="str">
        <f t="shared" ca="1" si="4"/>
        <v/>
      </c>
      <c r="V18" s="211" t="str">
        <f t="shared" ca="1" si="9"/>
        <v/>
      </c>
      <c r="W18" s="211" t="str">
        <f t="shared" ca="1" si="9"/>
        <v/>
      </c>
      <c r="X18" s="211" t="str">
        <f t="shared" ca="1" si="9"/>
        <v/>
      </c>
      <c r="Y18" s="211" t="str">
        <f t="shared" ca="1" si="9"/>
        <v/>
      </c>
      <c r="Z18" s="212" t="str">
        <f t="shared" ca="1" si="9"/>
        <v/>
      </c>
      <c r="AA18" s="212" t="str">
        <f t="shared" ca="1" si="9"/>
        <v/>
      </c>
      <c r="AB18" s="212" t="str">
        <f t="shared" ca="1" si="9"/>
        <v/>
      </c>
      <c r="AC18" s="212" t="str">
        <f t="shared" ca="1" si="9"/>
        <v/>
      </c>
      <c r="AD18" s="212" t="str">
        <f t="shared" ca="1" si="9"/>
        <v/>
      </c>
      <c r="AE18" s="214" t="str">
        <f t="shared" ca="1" si="9"/>
        <v/>
      </c>
      <c r="AF18" s="214" t="str">
        <f t="shared" ca="1" si="9"/>
        <v/>
      </c>
      <c r="AG18" s="214" t="str">
        <f t="shared" ca="1" si="9"/>
        <v/>
      </c>
      <c r="AH18" s="214" t="str">
        <f t="shared" ca="1" si="6"/>
        <v/>
      </c>
      <c r="AI18" s="215" t="str">
        <f>AP!E20</f>
        <v/>
      </c>
      <c r="AJ18" s="215" t="str">
        <f>IF(AP!F20="","",AP!F20)</f>
        <v/>
      </c>
      <c r="AK18" s="215" t="str">
        <f>AP!G20</f>
        <v/>
      </c>
      <c r="AL18" s="215" t="str">
        <f ca="1">AP!H20</f>
        <v/>
      </c>
      <c r="AM18" s="215" t="str">
        <f ca="1">AP!I20</f>
        <v/>
      </c>
    </row>
    <row r="19" spans="1:39" x14ac:dyDescent="0.2">
      <c r="A19" s="8">
        <v>16</v>
      </c>
      <c r="B19" s="9" t="str">
        <f t="shared" ca="1" si="7"/>
        <v xml:space="preserve">, </v>
      </c>
      <c r="C19" s="210" t="str">
        <f t="shared" ca="1" si="8"/>
        <v/>
      </c>
      <c r="D19" s="210" t="str">
        <f t="shared" ca="1" si="0"/>
        <v/>
      </c>
      <c r="E19" s="210" t="str">
        <f t="shared" ca="1" si="0"/>
        <v/>
      </c>
      <c r="F19" s="211" t="str">
        <f t="shared" ca="1" si="1"/>
        <v/>
      </c>
      <c r="G19" s="211" t="str">
        <f t="shared" ca="1" si="1"/>
        <v/>
      </c>
      <c r="H19" s="211" t="str">
        <f t="shared" ca="1" si="1"/>
        <v/>
      </c>
      <c r="I19" s="211" t="str">
        <f t="shared" ca="1" si="1"/>
        <v/>
      </c>
      <c r="J19" s="212" t="str">
        <f t="shared" ca="1" si="2"/>
        <v/>
      </c>
      <c r="K19" s="212" t="str">
        <f t="shared" ca="1" si="2"/>
        <v/>
      </c>
      <c r="L19" s="212" t="str">
        <f t="shared" ca="1" si="2"/>
        <v/>
      </c>
      <c r="M19" s="213" t="str">
        <f t="shared" ca="1" si="2"/>
        <v/>
      </c>
      <c r="N19" s="212" t="str">
        <f t="shared" ca="1" si="2"/>
        <v/>
      </c>
      <c r="O19" s="214" t="str">
        <f t="shared" ca="1" si="2"/>
        <v/>
      </c>
      <c r="P19" s="214" t="str">
        <f t="shared" ca="1" si="2"/>
        <v/>
      </c>
      <c r="Q19" s="214" t="str">
        <f t="shared" ca="1" si="2"/>
        <v/>
      </c>
      <c r="R19" s="214" t="str">
        <f t="shared" ca="1" si="3"/>
        <v/>
      </c>
      <c r="S19" s="210" t="str">
        <f t="shared" ca="1" si="3"/>
        <v/>
      </c>
      <c r="T19" s="210" t="str">
        <f t="shared" ca="1" si="4"/>
        <v/>
      </c>
      <c r="U19" s="210" t="str">
        <f t="shared" ca="1" si="4"/>
        <v/>
      </c>
      <c r="V19" s="211" t="str">
        <f t="shared" ca="1" si="9"/>
        <v/>
      </c>
      <c r="W19" s="211" t="str">
        <f t="shared" ca="1" si="9"/>
        <v/>
      </c>
      <c r="X19" s="211" t="str">
        <f t="shared" ca="1" si="9"/>
        <v/>
      </c>
      <c r="Y19" s="211" t="str">
        <f t="shared" ca="1" si="9"/>
        <v/>
      </c>
      <c r="Z19" s="212" t="str">
        <f t="shared" ca="1" si="9"/>
        <v/>
      </c>
      <c r="AA19" s="212" t="str">
        <f t="shared" ca="1" si="9"/>
        <v/>
      </c>
      <c r="AB19" s="212" t="str">
        <f t="shared" ca="1" si="9"/>
        <v/>
      </c>
      <c r="AC19" s="212" t="str">
        <f t="shared" ca="1" si="9"/>
        <v/>
      </c>
      <c r="AD19" s="212" t="str">
        <f t="shared" ca="1" si="9"/>
        <v/>
      </c>
      <c r="AE19" s="214" t="str">
        <f t="shared" ca="1" si="9"/>
        <v/>
      </c>
      <c r="AF19" s="214" t="str">
        <f t="shared" ca="1" si="9"/>
        <v/>
      </c>
      <c r="AG19" s="214" t="str">
        <f t="shared" ca="1" si="9"/>
        <v/>
      </c>
      <c r="AH19" s="214" t="str">
        <f t="shared" ca="1" si="6"/>
        <v/>
      </c>
      <c r="AI19" s="215" t="str">
        <f>AP!E21</f>
        <v/>
      </c>
      <c r="AJ19" s="215" t="str">
        <f>IF(AP!F21="","",AP!F21)</f>
        <v/>
      </c>
      <c r="AK19" s="215" t="str">
        <f>AP!G21</f>
        <v/>
      </c>
      <c r="AL19" s="215" t="str">
        <f ca="1">AP!H21</f>
        <v/>
      </c>
      <c r="AM19" s="215" t="str">
        <f ca="1">AP!I21</f>
        <v/>
      </c>
    </row>
    <row r="20" spans="1:39" x14ac:dyDescent="0.2">
      <c r="A20" s="8">
        <v>17</v>
      </c>
      <c r="B20" s="9" t="str">
        <f t="shared" ca="1" si="7"/>
        <v xml:space="preserve">, </v>
      </c>
      <c r="C20" s="210" t="str">
        <f t="shared" ca="1" si="8"/>
        <v/>
      </c>
      <c r="D20" s="210" t="str">
        <f t="shared" ca="1" si="8"/>
        <v/>
      </c>
      <c r="E20" s="210" t="str">
        <f t="shared" ca="1" si="8"/>
        <v/>
      </c>
      <c r="F20" s="211" t="str">
        <f t="shared" ref="F20:Q38" ca="1" si="10">IF(INDIRECT(ADDRESS(4+$A20*2,F$2,,,"Notenbogen"))="","",INDIRECT(ADDRESS(4+$A20*2,F$2,,,"Notenbogen")))</f>
        <v/>
      </c>
      <c r="G20" s="211" t="str">
        <f t="shared" ca="1" si="10"/>
        <v/>
      </c>
      <c r="H20" s="211" t="str">
        <f t="shared" ca="1" si="10"/>
        <v/>
      </c>
      <c r="I20" s="211" t="str">
        <f t="shared" ca="1" si="10"/>
        <v/>
      </c>
      <c r="J20" s="212" t="str">
        <f t="shared" ca="1" si="10"/>
        <v/>
      </c>
      <c r="K20" s="212" t="str">
        <f t="shared" ca="1" si="10"/>
        <v/>
      </c>
      <c r="L20" s="212" t="str">
        <f t="shared" ca="1" si="10"/>
        <v/>
      </c>
      <c r="M20" s="213" t="str">
        <f t="shared" ca="1" si="10"/>
        <v/>
      </c>
      <c r="N20" s="212" t="str">
        <f t="shared" ca="1" si="10"/>
        <v/>
      </c>
      <c r="O20" s="214" t="str">
        <f t="shared" ca="1" si="10"/>
        <v/>
      </c>
      <c r="P20" s="214" t="str">
        <f t="shared" ca="1" si="10"/>
        <v/>
      </c>
      <c r="Q20" s="214" t="str">
        <f t="shared" ca="1" si="10"/>
        <v/>
      </c>
      <c r="R20" s="214" t="str">
        <f t="shared" ref="R20:U38" ca="1" si="11">INDIRECT(ADDRESS(3+$A20*2,R$2,,,"Notenbogen"))</f>
        <v/>
      </c>
      <c r="S20" s="210" t="str">
        <f t="shared" ca="1" si="11"/>
        <v/>
      </c>
      <c r="T20" s="210" t="str">
        <f t="shared" ca="1" si="11"/>
        <v/>
      </c>
      <c r="U20" s="210" t="str">
        <f t="shared" ca="1" si="11"/>
        <v/>
      </c>
      <c r="V20" s="211" t="str">
        <f t="shared" ca="1" si="9"/>
        <v/>
      </c>
      <c r="W20" s="211" t="str">
        <f t="shared" ca="1" si="9"/>
        <v/>
      </c>
      <c r="X20" s="211" t="str">
        <f t="shared" ca="1" si="9"/>
        <v/>
      </c>
      <c r="Y20" s="211" t="str">
        <f t="shared" ca="1" si="9"/>
        <v/>
      </c>
      <c r="Z20" s="212" t="str">
        <f t="shared" ca="1" si="9"/>
        <v/>
      </c>
      <c r="AA20" s="212" t="str">
        <f t="shared" ca="1" si="9"/>
        <v/>
      </c>
      <c r="AB20" s="212" t="str">
        <f t="shared" ca="1" si="9"/>
        <v/>
      </c>
      <c r="AC20" s="212" t="str">
        <f t="shared" ca="1" si="9"/>
        <v/>
      </c>
      <c r="AD20" s="212" t="str">
        <f t="shared" ca="1" si="9"/>
        <v/>
      </c>
      <c r="AE20" s="214" t="str">
        <f t="shared" ca="1" si="9"/>
        <v/>
      </c>
      <c r="AF20" s="214" t="str">
        <f t="shared" ca="1" si="9"/>
        <v/>
      </c>
      <c r="AG20" s="214" t="str">
        <f t="shared" ca="1" si="9"/>
        <v/>
      </c>
      <c r="AH20" s="214" t="str">
        <f t="shared" ca="1" si="6"/>
        <v/>
      </c>
      <c r="AI20" s="215" t="str">
        <f>AP!E22</f>
        <v/>
      </c>
      <c r="AJ20" s="215" t="str">
        <f>IF(AP!F22="","",AP!F22)</f>
        <v/>
      </c>
      <c r="AK20" s="215" t="str">
        <f>AP!G22</f>
        <v/>
      </c>
      <c r="AL20" s="215" t="str">
        <f ca="1">AP!H22</f>
        <v/>
      </c>
      <c r="AM20" s="215" t="str">
        <f ca="1">AP!I22</f>
        <v/>
      </c>
    </row>
    <row r="21" spans="1:39" x14ac:dyDescent="0.2">
      <c r="A21" s="8">
        <v>18</v>
      </c>
      <c r="B21" s="9" t="str">
        <f t="shared" ca="1" si="7"/>
        <v xml:space="preserve">, </v>
      </c>
      <c r="C21" s="210" t="str">
        <f t="shared" ca="1" si="8"/>
        <v/>
      </c>
      <c r="D21" s="210" t="str">
        <f t="shared" ca="1" si="8"/>
        <v/>
      </c>
      <c r="E21" s="210" t="str">
        <f t="shared" ca="1" si="8"/>
        <v/>
      </c>
      <c r="F21" s="211" t="str">
        <f t="shared" ca="1" si="10"/>
        <v/>
      </c>
      <c r="G21" s="211" t="str">
        <f t="shared" ca="1" si="10"/>
        <v/>
      </c>
      <c r="H21" s="211" t="str">
        <f t="shared" ca="1" si="10"/>
        <v/>
      </c>
      <c r="I21" s="211" t="str">
        <f t="shared" ca="1" si="10"/>
        <v/>
      </c>
      <c r="J21" s="212" t="str">
        <f t="shared" ca="1" si="10"/>
        <v/>
      </c>
      <c r="K21" s="212" t="str">
        <f t="shared" ca="1" si="10"/>
        <v/>
      </c>
      <c r="L21" s="212" t="str">
        <f t="shared" ca="1" si="10"/>
        <v/>
      </c>
      <c r="M21" s="213" t="str">
        <f t="shared" ca="1" si="10"/>
        <v/>
      </c>
      <c r="N21" s="212" t="str">
        <f t="shared" ca="1" si="10"/>
        <v/>
      </c>
      <c r="O21" s="214" t="str">
        <f t="shared" ca="1" si="10"/>
        <v/>
      </c>
      <c r="P21" s="214" t="str">
        <f t="shared" ca="1" si="10"/>
        <v/>
      </c>
      <c r="Q21" s="214" t="str">
        <f t="shared" ca="1" si="10"/>
        <v/>
      </c>
      <c r="R21" s="214" t="str">
        <f t="shared" ca="1" si="11"/>
        <v/>
      </c>
      <c r="S21" s="210" t="str">
        <f t="shared" ca="1" si="11"/>
        <v/>
      </c>
      <c r="T21" s="210" t="str">
        <f t="shared" ca="1" si="11"/>
        <v/>
      </c>
      <c r="U21" s="210" t="str">
        <f t="shared" ca="1" si="11"/>
        <v/>
      </c>
      <c r="V21" s="211" t="str">
        <f t="shared" ca="1" si="9"/>
        <v/>
      </c>
      <c r="W21" s="211" t="str">
        <f t="shared" ca="1" si="9"/>
        <v/>
      </c>
      <c r="X21" s="211" t="str">
        <f t="shared" ca="1" si="9"/>
        <v/>
      </c>
      <c r="Y21" s="211" t="str">
        <f t="shared" ca="1" si="9"/>
        <v/>
      </c>
      <c r="Z21" s="212" t="str">
        <f t="shared" ca="1" si="9"/>
        <v/>
      </c>
      <c r="AA21" s="212" t="str">
        <f t="shared" ca="1" si="9"/>
        <v/>
      </c>
      <c r="AB21" s="212" t="str">
        <f t="shared" ca="1" si="9"/>
        <v/>
      </c>
      <c r="AC21" s="212" t="str">
        <f t="shared" ca="1" si="9"/>
        <v/>
      </c>
      <c r="AD21" s="212" t="str">
        <f t="shared" ca="1" si="9"/>
        <v/>
      </c>
      <c r="AE21" s="214" t="str">
        <f t="shared" ca="1" si="9"/>
        <v/>
      </c>
      <c r="AF21" s="214" t="str">
        <f t="shared" ca="1" si="9"/>
        <v/>
      </c>
      <c r="AG21" s="214" t="str">
        <f t="shared" ca="1" si="9"/>
        <v/>
      </c>
      <c r="AH21" s="214" t="str">
        <f t="shared" ca="1" si="6"/>
        <v/>
      </c>
      <c r="AI21" s="215" t="str">
        <f>AP!E23</f>
        <v/>
      </c>
      <c r="AJ21" s="215" t="str">
        <f>IF(AP!F23="","",AP!F23)</f>
        <v/>
      </c>
      <c r="AK21" s="215" t="str">
        <f>AP!G23</f>
        <v/>
      </c>
      <c r="AL21" s="215" t="str">
        <f ca="1">AP!H23</f>
        <v/>
      </c>
      <c r="AM21" s="215" t="str">
        <f ca="1">AP!I23</f>
        <v/>
      </c>
    </row>
    <row r="22" spans="1:39" x14ac:dyDescent="0.2">
      <c r="A22" s="8">
        <v>19</v>
      </c>
      <c r="B22" s="9" t="str">
        <f t="shared" ca="1" si="7"/>
        <v xml:space="preserve">, </v>
      </c>
      <c r="C22" s="210" t="str">
        <f t="shared" ca="1" si="8"/>
        <v/>
      </c>
      <c r="D22" s="210" t="str">
        <f t="shared" ca="1" si="8"/>
        <v/>
      </c>
      <c r="E22" s="210" t="str">
        <f t="shared" ca="1" si="8"/>
        <v/>
      </c>
      <c r="F22" s="211" t="str">
        <f t="shared" ca="1" si="10"/>
        <v/>
      </c>
      <c r="G22" s="211" t="str">
        <f t="shared" ca="1" si="10"/>
        <v/>
      </c>
      <c r="H22" s="211" t="str">
        <f t="shared" ca="1" si="10"/>
        <v/>
      </c>
      <c r="I22" s="211" t="str">
        <f t="shared" ca="1" si="10"/>
        <v/>
      </c>
      <c r="J22" s="212" t="str">
        <f t="shared" ca="1" si="10"/>
        <v/>
      </c>
      <c r="K22" s="212" t="str">
        <f t="shared" ca="1" si="10"/>
        <v/>
      </c>
      <c r="L22" s="212" t="str">
        <f t="shared" ca="1" si="10"/>
        <v/>
      </c>
      <c r="M22" s="213" t="str">
        <f t="shared" ca="1" si="10"/>
        <v/>
      </c>
      <c r="N22" s="212" t="str">
        <f t="shared" ca="1" si="10"/>
        <v/>
      </c>
      <c r="O22" s="214" t="str">
        <f t="shared" ca="1" si="10"/>
        <v/>
      </c>
      <c r="P22" s="214" t="str">
        <f t="shared" ca="1" si="10"/>
        <v/>
      </c>
      <c r="Q22" s="214" t="str">
        <f t="shared" ca="1" si="10"/>
        <v/>
      </c>
      <c r="R22" s="214" t="str">
        <f t="shared" ca="1" si="11"/>
        <v/>
      </c>
      <c r="S22" s="210" t="str">
        <f t="shared" ca="1" si="11"/>
        <v/>
      </c>
      <c r="T22" s="210" t="str">
        <f t="shared" ca="1" si="11"/>
        <v/>
      </c>
      <c r="U22" s="210" t="str">
        <f t="shared" ca="1" si="11"/>
        <v/>
      </c>
      <c r="V22" s="211" t="str">
        <f t="shared" ca="1" si="9"/>
        <v/>
      </c>
      <c r="W22" s="211" t="str">
        <f t="shared" ca="1" si="9"/>
        <v/>
      </c>
      <c r="X22" s="211" t="str">
        <f t="shared" ca="1" si="9"/>
        <v/>
      </c>
      <c r="Y22" s="211" t="str">
        <f t="shared" ca="1" si="9"/>
        <v/>
      </c>
      <c r="Z22" s="212" t="str">
        <f t="shared" ca="1" si="9"/>
        <v/>
      </c>
      <c r="AA22" s="212" t="str">
        <f t="shared" ca="1" si="9"/>
        <v/>
      </c>
      <c r="AB22" s="212" t="str">
        <f t="shared" ca="1" si="9"/>
        <v/>
      </c>
      <c r="AC22" s="212" t="str">
        <f t="shared" ca="1" si="9"/>
        <v/>
      </c>
      <c r="AD22" s="212" t="str">
        <f t="shared" ca="1" si="9"/>
        <v/>
      </c>
      <c r="AE22" s="214" t="str">
        <f t="shared" ca="1" si="9"/>
        <v/>
      </c>
      <c r="AF22" s="214" t="str">
        <f t="shared" ca="1" si="9"/>
        <v/>
      </c>
      <c r="AG22" s="214" t="str">
        <f t="shared" ca="1" si="9"/>
        <v/>
      </c>
      <c r="AH22" s="214" t="str">
        <f t="shared" ca="1" si="6"/>
        <v/>
      </c>
      <c r="AI22" s="215" t="str">
        <f>AP!E24</f>
        <v/>
      </c>
      <c r="AJ22" s="215" t="str">
        <f>IF(AP!F24="","",AP!F24)</f>
        <v/>
      </c>
      <c r="AK22" s="215" t="str">
        <f>AP!G24</f>
        <v/>
      </c>
      <c r="AL22" s="215" t="str">
        <f ca="1">AP!H24</f>
        <v/>
      </c>
      <c r="AM22" s="215" t="str">
        <f ca="1">AP!I24</f>
        <v/>
      </c>
    </row>
    <row r="23" spans="1:39" x14ac:dyDescent="0.2">
      <c r="A23" s="8">
        <v>20</v>
      </c>
      <c r="B23" s="9" t="str">
        <f t="shared" ca="1" si="7"/>
        <v xml:space="preserve">, </v>
      </c>
      <c r="C23" s="210" t="str">
        <f t="shared" ca="1" si="8"/>
        <v/>
      </c>
      <c r="D23" s="210" t="str">
        <f t="shared" ca="1" si="8"/>
        <v/>
      </c>
      <c r="E23" s="210" t="str">
        <f t="shared" ca="1" si="8"/>
        <v/>
      </c>
      <c r="F23" s="211" t="str">
        <f t="shared" ca="1" si="10"/>
        <v/>
      </c>
      <c r="G23" s="211" t="str">
        <f t="shared" ca="1" si="10"/>
        <v/>
      </c>
      <c r="H23" s="211" t="str">
        <f t="shared" ca="1" si="10"/>
        <v/>
      </c>
      <c r="I23" s="211" t="str">
        <f t="shared" ca="1" si="10"/>
        <v/>
      </c>
      <c r="J23" s="212" t="str">
        <f t="shared" ca="1" si="10"/>
        <v/>
      </c>
      <c r="K23" s="212" t="str">
        <f t="shared" ca="1" si="10"/>
        <v/>
      </c>
      <c r="L23" s="212" t="str">
        <f t="shared" ca="1" si="10"/>
        <v/>
      </c>
      <c r="M23" s="213" t="str">
        <f t="shared" ca="1" si="10"/>
        <v/>
      </c>
      <c r="N23" s="212" t="str">
        <f t="shared" ca="1" si="10"/>
        <v/>
      </c>
      <c r="O23" s="214" t="str">
        <f t="shared" ca="1" si="10"/>
        <v/>
      </c>
      <c r="P23" s="214" t="str">
        <f t="shared" ca="1" si="10"/>
        <v/>
      </c>
      <c r="Q23" s="214" t="str">
        <f t="shared" ca="1" si="10"/>
        <v/>
      </c>
      <c r="R23" s="214" t="str">
        <f t="shared" ca="1" si="11"/>
        <v/>
      </c>
      <c r="S23" s="210" t="str">
        <f t="shared" ca="1" si="11"/>
        <v/>
      </c>
      <c r="T23" s="210" t="str">
        <f t="shared" ca="1" si="11"/>
        <v/>
      </c>
      <c r="U23" s="210" t="str">
        <f t="shared" ca="1" si="11"/>
        <v/>
      </c>
      <c r="V23" s="211" t="str">
        <f t="shared" ca="1" si="9"/>
        <v/>
      </c>
      <c r="W23" s="211" t="str">
        <f t="shared" ca="1" si="9"/>
        <v/>
      </c>
      <c r="X23" s="211" t="str">
        <f t="shared" ca="1" si="9"/>
        <v/>
      </c>
      <c r="Y23" s="211" t="str">
        <f t="shared" ca="1" si="9"/>
        <v/>
      </c>
      <c r="Z23" s="212" t="str">
        <f t="shared" ca="1" si="9"/>
        <v/>
      </c>
      <c r="AA23" s="212" t="str">
        <f t="shared" ca="1" si="9"/>
        <v/>
      </c>
      <c r="AB23" s="212" t="str">
        <f t="shared" ca="1" si="9"/>
        <v/>
      </c>
      <c r="AC23" s="212" t="str">
        <f t="shared" ca="1" si="9"/>
        <v/>
      </c>
      <c r="AD23" s="212" t="str">
        <f t="shared" ca="1" si="9"/>
        <v/>
      </c>
      <c r="AE23" s="214" t="str">
        <f t="shared" ca="1" si="9"/>
        <v/>
      </c>
      <c r="AF23" s="214" t="str">
        <f t="shared" ca="1" si="9"/>
        <v/>
      </c>
      <c r="AG23" s="214" t="str">
        <f t="shared" ca="1" si="9"/>
        <v/>
      </c>
      <c r="AH23" s="214" t="str">
        <f t="shared" ca="1" si="6"/>
        <v/>
      </c>
      <c r="AI23" s="215" t="str">
        <f>AP!E25</f>
        <v/>
      </c>
      <c r="AJ23" s="215" t="str">
        <f>IF(AP!F25="","",AP!F25)</f>
        <v/>
      </c>
      <c r="AK23" s="215" t="str">
        <f>AP!G25</f>
        <v/>
      </c>
      <c r="AL23" s="215" t="str">
        <f ca="1">AP!H25</f>
        <v/>
      </c>
      <c r="AM23" s="215" t="str">
        <f ca="1">AP!I25</f>
        <v/>
      </c>
    </row>
    <row r="24" spans="1:39" x14ac:dyDescent="0.2">
      <c r="A24" s="8">
        <v>21</v>
      </c>
      <c r="B24" s="9" t="str">
        <f t="shared" ca="1" si="7"/>
        <v xml:space="preserve">, </v>
      </c>
      <c r="C24" s="210" t="str">
        <f t="shared" ca="1" si="8"/>
        <v/>
      </c>
      <c r="D24" s="210" t="str">
        <f t="shared" ca="1" si="8"/>
        <v/>
      </c>
      <c r="E24" s="210" t="str">
        <f t="shared" ca="1" si="8"/>
        <v/>
      </c>
      <c r="F24" s="211" t="str">
        <f t="shared" ca="1" si="10"/>
        <v/>
      </c>
      <c r="G24" s="211" t="str">
        <f t="shared" ca="1" si="10"/>
        <v/>
      </c>
      <c r="H24" s="211" t="str">
        <f t="shared" ca="1" si="10"/>
        <v/>
      </c>
      <c r="I24" s="211" t="str">
        <f t="shared" ca="1" si="10"/>
        <v/>
      </c>
      <c r="J24" s="212" t="str">
        <f t="shared" ca="1" si="10"/>
        <v/>
      </c>
      <c r="K24" s="212" t="str">
        <f t="shared" ca="1" si="10"/>
        <v/>
      </c>
      <c r="L24" s="212" t="str">
        <f t="shared" ca="1" si="10"/>
        <v/>
      </c>
      <c r="M24" s="213" t="str">
        <f t="shared" ca="1" si="10"/>
        <v/>
      </c>
      <c r="N24" s="212" t="str">
        <f t="shared" ca="1" si="10"/>
        <v/>
      </c>
      <c r="O24" s="214" t="str">
        <f t="shared" ca="1" si="10"/>
        <v/>
      </c>
      <c r="P24" s="214" t="str">
        <f t="shared" ca="1" si="10"/>
        <v/>
      </c>
      <c r="Q24" s="214" t="str">
        <f t="shared" ca="1" si="10"/>
        <v/>
      </c>
      <c r="R24" s="214" t="str">
        <f t="shared" ca="1" si="11"/>
        <v/>
      </c>
      <c r="S24" s="210" t="str">
        <f t="shared" ca="1" si="11"/>
        <v/>
      </c>
      <c r="T24" s="210" t="str">
        <f t="shared" ca="1" si="11"/>
        <v/>
      </c>
      <c r="U24" s="210" t="str">
        <f t="shared" ca="1" si="11"/>
        <v/>
      </c>
      <c r="V24" s="211" t="str">
        <f t="shared" ca="1" si="9"/>
        <v/>
      </c>
      <c r="W24" s="211" t="str">
        <f t="shared" ca="1" si="9"/>
        <v/>
      </c>
      <c r="X24" s="211" t="str">
        <f t="shared" ca="1" si="9"/>
        <v/>
      </c>
      <c r="Y24" s="211" t="str">
        <f t="shared" ca="1" si="9"/>
        <v/>
      </c>
      <c r="Z24" s="212" t="str">
        <f t="shared" ca="1" si="9"/>
        <v/>
      </c>
      <c r="AA24" s="212" t="str">
        <f t="shared" ca="1" si="9"/>
        <v/>
      </c>
      <c r="AB24" s="212" t="str">
        <f t="shared" ca="1" si="9"/>
        <v/>
      </c>
      <c r="AC24" s="212" t="str">
        <f t="shared" ca="1" si="9"/>
        <v/>
      </c>
      <c r="AD24" s="212" t="str">
        <f t="shared" ca="1" si="9"/>
        <v/>
      </c>
      <c r="AE24" s="214" t="str">
        <f t="shared" ca="1" si="9"/>
        <v/>
      </c>
      <c r="AF24" s="214" t="str">
        <f t="shared" ca="1" si="9"/>
        <v/>
      </c>
      <c r="AG24" s="214" t="str">
        <f t="shared" ca="1" si="9"/>
        <v/>
      </c>
      <c r="AH24" s="214" t="str">
        <f t="shared" ca="1" si="6"/>
        <v/>
      </c>
      <c r="AI24" s="215" t="str">
        <f>AP!E26</f>
        <v/>
      </c>
      <c r="AJ24" s="215" t="str">
        <f>IF(AP!F26="","",AP!F26)</f>
        <v/>
      </c>
      <c r="AK24" s="215" t="str">
        <f>AP!G26</f>
        <v/>
      </c>
      <c r="AL24" s="215" t="str">
        <f ca="1">AP!H26</f>
        <v/>
      </c>
      <c r="AM24" s="215" t="str">
        <f ca="1">AP!I26</f>
        <v/>
      </c>
    </row>
    <row r="25" spans="1:39" x14ac:dyDescent="0.2">
      <c r="A25" s="8">
        <v>22</v>
      </c>
      <c r="B25" s="9" t="str">
        <f t="shared" ca="1" si="7"/>
        <v xml:space="preserve">, </v>
      </c>
      <c r="C25" s="210" t="str">
        <f t="shared" ca="1" si="8"/>
        <v/>
      </c>
      <c r="D25" s="210" t="str">
        <f t="shared" ca="1" si="8"/>
        <v/>
      </c>
      <c r="E25" s="210" t="str">
        <f t="shared" ca="1" si="8"/>
        <v/>
      </c>
      <c r="F25" s="211" t="str">
        <f t="shared" ca="1" si="10"/>
        <v/>
      </c>
      <c r="G25" s="211" t="str">
        <f t="shared" ca="1" si="10"/>
        <v/>
      </c>
      <c r="H25" s="211" t="str">
        <f t="shared" ca="1" si="10"/>
        <v/>
      </c>
      <c r="I25" s="211" t="str">
        <f t="shared" ca="1" si="10"/>
        <v/>
      </c>
      <c r="J25" s="212" t="str">
        <f t="shared" ca="1" si="10"/>
        <v/>
      </c>
      <c r="K25" s="212" t="str">
        <f t="shared" ca="1" si="10"/>
        <v/>
      </c>
      <c r="L25" s="212" t="str">
        <f t="shared" ca="1" si="10"/>
        <v/>
      </c>
      <c r="M25" s="213" t="str">
        <f t="shared" ca="1" si="10"/>
        <v/>
      </c>
      <c r="N25" s="212" t="str">
        <f t="shared" ca="1" si="10"/>
        <v/>
      </c>
      <c r="O25" s="214" t="str">
        <f t="shared" ca="1" si="10"/>
        <v/>
      </c>
      <c r="P25" s="214" t="str">
        <f t="shared" ca="1" si="10"/>
        <v/>
      </c>
      <c r="Q25" s="214" t="str">
        <f t="shared" ca="1" si="10"/>
        <v/>
      </c>
      <c r="R25" s="214" t="str">
        <f t="shared" ca="1" si="11"/>
        <v/>
      </c>
      <c r="S25" s="210" t="str">
        <f t="shared" ca="1" si="11"/>
        <v/>
      </c>
      <c r="T25" s="210" t="str">
        <f t="shared" ca="1" si="11"/>
        <v/>
      </c>
      <c r="U25" s="210" t="str">
        <f t="shared" ca="1" si="11"/>
        <v/>
      </c>
      <c r="V25" s="211" t="str">
        <f t="shared" ca="1" si="9"/>
        <v/>
      </c>
      <c r="W25" s="211" t="str">
        <f t="shared" ca="1" si="9"/>
        <v/>
      </c>
      <c r="X25" s="211" t="str">
        <f t="shared" ca="1" si="9"/>
        <v/>
      </c>
      <c r="Y25" s="211" t="str">
        <f t="shared" ca="1" si="9"/>
        <v/>
      </c>
      <c r="Z25" s="212" t="str">
        <f t="shared" ca="1" si="9"/>
        <v/>
      </c>
      <c r="AA25" s="212" t="str">
        <f t="shared" ca="1" si="9"/>
        <v/>
      </c>
      <c r="AB25" s="212" t="str">
        <f t="shared" ca="1" si="9"/>
        <v/>
      </c>
      <c r="AC25" s="212" t="str">
        <f t="shared" ca="1" si="9"/>
        <v/>
      </c>
      <c r="AD25" s="212" t="str">
        <f t="shared" ca="1" si="9"/>
        <v/>
      </c>
      <c r="AE25" s="214" t="str">
        <f t="shared" ca="1" si="9"/>
        <v/>
      </c>
      <c r="AF25" s="214" t="str">
        <f t="shared" ca="1" si="9"/>
        <v/>
      </c>
      <c r="AG25" s="214" t="str">
        <f t="shared" ca="1" si="9"/>
        <v/>
      </c>
      <c r="AH25" s="214" t="str">
        <f t="shared" ca="1" si="6"/>
        <v/>
      </c>
      <c r="AI25" s="215" t="str">
        <f>AP!E27</f>
        <v/>
      </c>
      <c r="AJ25" s="215" t="str">
        <f>IF(AP!F27="","",AP!F27)</f>
        <v/>
      </c>
      <c r="AK25" s="215" t="str">
        <f>AP!G27</f>
        <v/>
      </c>
      <c r="AL25" s="215" t="str">
        <f ca="1">AP!H27</f>
        <v/>
      </c>
      <c r="AM25" s="215" t="str">
        <f ca="1">AP!I27</f>
        <v/>
      </c>
    </row>
    <row r="26" spans="1:39" x14ac:dyDescent="0.2">
      <c r="A26" s="8">
        <v>23</v>
      </c>
      <c r="B26" s="9" t="str">
        <f t="shared" ca="1" si="7"/>
        <v xml:space="preserve">, </v>
      </c>
      <c r="C26" s="210" t="str">
        <f t="shared" ca="1" si="8"/>
        <v/>
      </c>
      <c r="D26" s="210" t="str">
        <f t="shared" ca="1" si="8"/>
        <v/>
      </c>
      <c r="E26" s="210" t="str">
        <f t="shared" ca="1" si="8"/>
        <v/>
      </c>
      <c r="F26" s="211" t="str">
        <f t="shared" ca="1" si="10"/>
        <v/>
      </c>
      <c r="G26" s="211" t="str">
        <f t="shared" ca="1" si="10"/>
        <v/>
      </c>
      <c r="H26" s="211" t="str">
        <f t="shared" ca="1" si="10"/>
        <v/>
      </c>
      <c r="I26" s="211" t="str">
        <f t="shared" ca="1" si="10"/>
        <v/>
      </c>
      <c r="J26" s="212" t="str">
        <f t="shared" ca="1" si="10"/>
        <v/>
      </c>
      <c r="K26" s="212" t="str">
        <f t="shared" ca="1" si="10"/>
        <v/>
      </c>
      <c r="L26" s="212" t="str">
        <f t="shared" ca="1" si="10"/>
        <v/>
      </c>
      <c r="M26" s="213" t="str">
        <f t="shared" ca="1" si="10"/>
        <v/>
      </c>
      <c r="N26" s="212" t="str">
        <f t="shared" ca="1" si="10"/>
        <v/>
      </c>
      <c r="O26" s="214" t="str">
        <f t="shared" ca="1" si="10"/>
        <v/>
      </c>
      <c r="P26" s="214" t="str">
        <f t="shared" ca="1" si="10"/>
        <v/>
      </c>
      <c r="Q26" s="214" t="str">
        <f t="shared" ca="1" si="10"/>
        <v/>
      </c>
      <c r="R26" s="214" t="str">
        <f t="shared" ca="1" si="11"/>
        <v/>
      </c>
      <c r="S26" s="210" t="str">
        <f t="shared" ca="1" si="11"/>
        <v/>
      </c>
      <c r="T26" s="210" t="str">
        <f t="shared" ca="1" si="11"/>
        <v/>
      </c>
      <c r="U26" s="210" t="str">
        <f t="shared" ca="1" si="11"/>
        <v/>
      </c>
      <c r="V26" s="211" t="str">
        <f t="shared" ca="1" si="9"/>
        <v/>
      </c>
      <c r="W26" s="211" t="str">
        <f t="shared" ca="1" si="9"/>
        <v/>
      </c>
      <c r="X26" s="211" t="str">
        <f t="shared" ca="1" si="9"/>
        <v/>
      </c>
      <c r="Y26" s="211" t="str">
        <f t="shared" ca="1" si="9"/>
        <v/>
      </c>
      <c r="Z26" s="212" t="str">
        <f t="shared" ca="1" si="9"/>
        <v/>
      </c>
      <c r="AA26" s="212" t="str">
        <f t="shared" ca="1" si="9"/>
        <v/>
      </c>
      <c r="AB26" s="212" t="str">
        <f t="shared" ca="1" si="9"/>
        <v/>
      </c>
      <c r="AC26" s="212" t="str">
        <f t="shared" ca="1" si="9"/>
        <v/>
      </c>
      <c r="AD26" s="212" t="str">
        <f t="shared" ca="1" si="9"/>
        <v/>
      </c>
      <c r="AE26" s="214" t="str">
        <f t="shared" ca="1" si="9"/>
        <v/>
      </c>
      <c r="AF26" s="214" t="str">
        <f t="shared" ca="1" si="9"/>
        <v/>
      </c>
      <c r="AG26" s="214" t="str">
        <f t="shared" ca="1" si="9"/>
        <v/>
      </c>
      <c r="AH26" s="214" t="str">
        <f t="shared" ca="1" si="6"/>
        <v/>
      </c>
      <c r="AI26" s="215" t="str">
        <f>AP!E28</f>
        <v/>
      </c>
      <c r="AJ26" s="215" t="str">
        <f>IF(AP!F28="","",AP!F28)</f>
        <v/>
      </c>
      <c r="AK26" s="215" t="str">
        <f>AP!G28</f>
        <v/>
      </c>
      <c r="AL26" s="215" t="str">
        <f ca="1">AP!H28</f>
        <v/>
      </c>
      <c r="AM26" s="215" t="str">
        <f ca="1">AP!I28</f>
        <v/>
      </c>
    </row>
    <row r="27" spans="1:39" x14ac:dyDescent="0.2">
      <c r="A27" s="8">
        <v>24</v>
      </c>
      <c r="B27" s="9" t="str">
        <f t="shared" ca="1" si="7"/>
        <v xml:space="preserve">, </v>
      </c>
      <c r="C27" s="210" t="str">
        <f t="shared" ca="1" si="8"/>
        <v/>
      </c>
      <c r="D27" s="210" t="str">
        <f t="shared" ca="1" si="8"/>
        <v/>
      </c>
      <c r="E27" s="210" t="str">
        <f t="shared" ca="1" si="8"/>
        <v/>
      </c>
      <c r="F27" s="211" t="str">
        <f t="shared" ca="1" si="10"/>
        <v/>
      </c>
      <c r="G27" s="211" t="str">
        <f t="shared" ca="1" si="10"/>
        <v/>
      </c>
      <c r="H27" s="211" t="str">
        <f t="shared" ca="1" si="10"/>
        <v/>
      </c>
      <c r="I27" s="211" t="str">
        <f t="shared" ca="1" si="10"/>
        <v/>
      </c>
      <c r="J27" s="212" t="str">
        <f t="shared" ca="1" si="10"/>
        <v/>
      </c>
      <c r="K27" s="212" t="str">
        <f t="shared" ca="1" si="10"/>
        <v/>
      </c>
      <c r="L27" s="212" t="str">
        <f t="shared" ca="1" si="10"/>
        <v/>
      </c>
      <c r="M27" s="213" t="str">
        <f t="shared" ca="1" si="10"/>
        <v/>
      </c>
      <c r="N27" s="212" t="str">
        <f t="shared" ca="1" si="10"/>
        <v/>
      </c>
      <c r="O27" s="214" t="str">
        <f t="shared" ca="1" si="10"/>
        <v/>
      </c>
      <c r="P27" s="214" t="str">
        <f t="shared" ca="1" si="10"/>
        <v/>
      </c>
      <c r="Q27" s="214" t="str">
        <f t="shared" ca="1" si="10"/>
        <v/>
      </c>
      <c r="R27" s="214" t="str">
        <f t="shared" ca="1" si="11"/>
        <v/>
      </c>
      <c r="S27" s="210" t="str">
        <f t="shared" ca="1" si="11"/>
        <v/>
      </c>
      <c r="T27" s="210" t="str">
        <f t="shared" ca="1" si="11"/>
        <v/>
      </c>
      <c r="U27" s="210" t="str">
        <f t="shared" ca="1" si="11"/>
        <v/>
      </c>
      <c r="V27" s="211" t="str">
        <f t="shared" ca="1" si="9"/>
        <v/>
      </c>
      <c r="W27" s="211" t="str">
        <f t="shared" ca="1" si="9"/>
        <v/>
      </c>
      <c r="X27" s="211" t="str">
        <f t="shared" ca="1" si="9"/>
        <v/>
      </c>
      <c r="Y27" s="211" t="str">
        <f t="shared" ca="1" si="9"/>
        <v/>
      </c>
      <c r="Z27" s="212" t="str">
        <f t="shared" ca="1" si="9"/>
        <v/>
      </c>
      <c r="AA27" s="212" t="str">
        <f t="shared" ca="1" si="9"/>
        <v/>
      </c>
      <c r="AB27" s="212" t="str">
        <f t="shared" ca="1" si="9"/>
        <v/>
      </c>
      <c r="AC27" s="212" t="str">
        <f t="shared" ca="1" si="9"/>
        <v/>
      </c>
      <c r="AD27" s="212" t="str">
        <f t="shared" ca="1" si="9"/>
        <v/>
      </c>
      <c r="AE27" s="214" t="str">
        <f t="shared" ca="1" si="9"/>
        <v/>
      </c>
      <c r="AF27" s="214" t="str">
        <f t="shared" ca="1" si="9"/>
        <v/>
      </c>
      <c r="AG27" s="214" t="str">
        <f t="shared" ca="1" si="9"/>
        <v/>
      </c>
      <c r="AH27" s="214" t="str">
        <f t="shared" ca="1" si="6"/>
        <v/>
      </c>
      <c r="AI27" s="215" t="str">
        <f>AP!E29</f>
        <v/>
      </c>
      <c r="AJ27" s="215" t="str">
        <f>IF(AP!F29="","",AP!F29)</f>
        <v/>
      </c>
      <c r="AK27" s="215" t="str">
        <f>AP!G29</f>
        <v/>
      </c>
      <c r="AL27" s="215" t="str">
        <f ca="1">AP!H29</f>
        <v/>
      </c>
      <c r="AM27" s="215" t="str">
        <f ca="1">AP!I29</f>
        <v/>
      </c>
    </row>
    <row r="28" spans="1:39" x14ac:dyDescent="0.2">
      <c r="A28" s="8">
        <v>25</v>
      </c>
      <c r="B28" s="9" t="str">
        <f t="shared" ca="1" si="7"/>
        <v xml:space="preserve">, </v>
      </c>
      <c r="C28" s="210" t="str">
        <f t="shared" ca="1" si="8"/>
        <v/>
      </c>
      <c r="D28" s="210" t="str">
        <f t="shared" ca="1" si="8"/>
        <v/>
      </c>
      <c r="E28" s="210" t="str">
        <f t="shared" ca="1" si="8"/>
        <v/>
      </c>
      <c r="F28" s="211" t="str">
        <f t="shared" ca="1" si="10"/>
        <v/>
      </c>
      <c r="G28" s="211" t="str">
        <f t="shared" ca="1" si="10"/>
        <v/>
      </c>
      <c r="H28" s="211" t="str">
        <f t="shared" ca="1" si="10"/>
        <v/>
      </c>
      <c r="I28" s="211" t="str">
        <f t="shared" ca="1" si="10"/>
        <v/>
      </c>
      <c r="J28" s="212" t="str">
        <f t="shared" ca="1" si="10"/>
        <v/>
      </c>
      <c r="K28" s="212" t="str">
        <f t="shared" ca="1" si="10"/>
        <v/>
      </c>
      <c r="L28" s="212" t="str">
        <f t="shared" ca="1" si="10"/>
        <v/>
      </c>
      <c r="M28" s="213" t="str">
        <f t="shared" ca="1" si="10"/>
        <v/>
      </c>
      <c r="N28" s="212" t="str">
        <f t="shared" ca="1" si="10"/>
        <v/>
      </c>
      <c r="O28" s="214" t="str">
        <f t="shared" ca="1" si="10"/>
        <v/>
      </c>
      <c r="P28" s="214" t="str">
        <f t="shared" ca="1" si="10"/>
        <v/>
      </c>
      <c r="Q28" s="214" t="str">
        <f t="shared" ca="1" si="10"/>
        <v/>
      </c>
      <c r="R28" s="214" t="str">
        <f t="shared" ca="1" si="11"/>
        <v/>
      </c>
      <c r="S28" s="210" t="str">
        <f t="shared" ca="1" si="11"/>
        <v/>
      </c>
      <c r="T28" s="210" t="str">
        <f t="shared" ca="1" si="11"/>
        <v/>
      </c>
      <c r="U28" s="210" t="str">
        <f t="shared" ca="1" si="11"/>
        <v/>
      </c>
      <c r="V28" s="211" t="str">
        <f t="shared" ca="1" si="9"/>
        <v/>
      </c>
      <c r="W28" s="211" t="str">
        <f t="shared" ca="1" si="9"/>
        <v/>
      </c>
      <c r="X28" s="211" t="str">
        <f t="shared" ca="1" si="9"/>
        <v/>
      </c>
      <c r="Y28" s="211" t="str">
        <f t="shared" ca="1" si="9"/>
        <v/>
      </c>
      <c r="Z28" s="212" t="str">
        <f t="shared" ca="1" si="9"/>
        <v/>
      </c>
      <c r="AA28" s="212" t="str">
        <f t="shared" ca="1" si="9"/>
        <v/>
      </c>
      <c r="AB28" s="212" t="str">
        <f t="shared" ca="1" si="9"/>
        <v/>
      </c>
      <c r="AC28" s="212" t="str">
        <f t="shared" ca="1" si="9"/>
        <v/>
      </c>
      <c r="AD28" s="212" t="str">
        <f t="shared" ca="1" si="9"/>
        <v/>
      </c>
      <c r="AE28" s="214" t="str">
        <f t="shared" ca="1" si="9"/>
        <v/>
      </c>
      <c r="AF28" s="214" t="str">
        <f t="shared" ca="1" si="9"/>
        <v/>
      </c>
      <c r="AG28" s="214" t="str">
        <f t="shared" ca="1" si="9"/>
        <v/>
      </c>
      <c r="AH28" s="214" t="str">
        <f t="shared" ca="1" si="6"/>
        <v/>
      </c>
      <c r="AI28" s="215" t="str">
        <f>AP!E30</f>
        <v/>
      </c>
      <c r="AJ28" s="215" t="str">
        <f>IF(AP!F30="","",AP!F30)</f>
        <v/>
      </c>
      <c r="AK28" s="215" t="str">
        <f>AP!G30</f>
        <v/>
      </c>
      <c r="AL28" s="215" t="str">
        <f ca="1">AP!H30</f>
        <v/>
      </c>
      <c r="AM28" s="215" t="str">
        <f ca="1">AP!I30</f>
        <v/>
      </c>
    </row>
    <row r="29" spans="1:39" x14ac:dyDescent="0.2">
      <c r="A29" s="8">
        <v>26</v>
      </c>
      <c r="B29" s="9" t="str">
        <f t="shared" ca="1" si="7"/>
        <v xml:space="preserve">, </v>
      </c>
      <c r="C29" s="210" t="str">
        <f t="shared" ca="1" si="8"/>
        <v/>
      </c>
      <c r="D29" s="210" t="str">
        <f t="shared" ca="1" si="8"/>
        <v/>
      </c>
      <c r="E29" s="210" t="str">
        <f t="shared" ca="1" si="8"/>
        <v/>
      </c>
      <c r="F29" s="211" t="str">
        <f t="shared" ca="1" si="10"/>
        <v/>
      </c>
      <c r="G29" s="211" t="str">
        <f t="shared" ca="1" si="10"/>
        <v/>
      </c>
      <c r="H29" s="211" t="str">
        <f t="shared" ca="1" si="10"/>
        <v/>
      </c>
      <c r="I29" s="211" t="str">
        <f t="shared" ca="1" si="10"/>
        <v/>
      </c>
      <c r="J29" s="212" t="str">
        <f t="shared" ca="1" si="10"/>
        <v/>
      </c>
      <c r="K29" s="212" t="str">
        <f t="shared" ca="1" si="10"/>
        <v/>
      </c>
      <c r="L29" s="212" t="str">
        <f t="shared" ca="1" si="10"/>
        <v/>
      </c>
      <c r="M29" s="213" t="str">
        <f t="shared" ca="1" si="10"/>
        <v/>
      </c>
      <c r="N29" s="212" t="str">
        <f t="shared" ca="1" si="10"/>
        <v/>
      </c>
      <c r="O29" s="214" t="str">
        <f t="shared" ca="1" si="10"/>
        <v/>
      </c>
      <c r="P29" s="214" t="str">
        <f t="shared" ca="1" si="10"/>
        <v/>
      </c>
      <c r="Q29" s="214" t="str">
        <f t="shared" ca="1" si="10"/>
        <v/>
      </c>
      <c r="R29" s="214" t="str">
        <f t="shared" ca="1" si="11"/>
        <v/>
      </c>
      <c r="S29" s="210" t="str">
        <f t="shared" ca="1" si="11"/>
        <v/>
      </c>
      <c r="T29" s="210" t="str">
        <f t="shared" ca="1" si="11"/>
        <v/>
      </c>
      <c r="U29" s="210" t="str">
        <f t="shared" ca="1" si="11"/>
        <v/>
      </c>
      <c r="V29" s="211" t="str">
        <f t="shared" ca="1" si="9"/>
        <v/>
      </c>
      <c r="W29" s="211" t="str">
        <f t="shared" ca="1" si="9"/>
        <v/>
      </c>
      <c r="X29" s="211" t="str">
        <f t="shared" ca="1" si="9"/>
        <v/>
      </c>
      <c r="Y29" s="211" t="str">
        <f t="shared" ca="1" si="9"/>
        <v/>
      </c>
      <c r="Z29" s="212" t="str">
        <f t="shared" ca="1" si="9"/>
        <v/>
      </c>
      <c r="AA29" s="212" t="str">
        <f t="shared" ca="1" si="9"/>
        <v/>
      </c>
      <c r="AB29" s="212" t="str">
        <f t="shared" ca="1" si="9"/>
        <v/>
      </c>
      <c r="AC29" s="212" t="str">
        <f t="shared" ca="1" si="9"/>
        <v/>
      </c>
      <c r="AD29" s="212" t="str">
        <f t="shared" ca="1" si="9"/>
        <v/>
      </c>
      <c r="AE29" s="214" t="str">
        <f t="shared" ca="1" si="9"/>
        <v/>
      </c>
      <c r="AF29" s="214" t="str">
        <f t="shared" ca="1" si="9"/>
        <v/>
      </c>
      <c r="AG29" s="214" t="str">
        <f t="shared" ca="1" si="9"/>
        <v/>
      </c>
      <c r="AH29" s="214" t="str">
        <f t="shared" ca="1" si="6"/>
        <v/>
      </c>
      <c r="AI29" s="215" t="str">
        <f>AP!E31</f>
        <v/>
      </c>
      <c r="AJ29" s="215" t="str">
        <f>IF(AP!F31="","",AP!F31)</f>
        <v/>
      </c>
      <c r="AK29" s="215" t="str">
        <f>AP!G31</f>
        <v/>
      </c>
      <c r="AL29" s="215" t="str">
        <f ca="1">AP!H31</f>
        <v/>
      </c>
      <c r="AM29" s="215" t="str">
        <f ca="1">AP!I31</f>
        <v/>
      </c>
    </row>
    <row r="30" spans="1:39" x14ac:dyDescent="0.2">
      <c r="A30" s="8">
        <v>27</v>
      </c>
      <c r="B30" s="9" t="str">
        <f t="shared" ca="1" si="7"/>
        <v xml:space="preserve">, </v>
      </c>
      <c r="C30" s="210" t="str">
        <f t="shared" ca="1" si="8"/>
        <v/>
      </c>
      <c r="D30" s="210" t="str">
        <f t="shared" ca="1" si="8"/>
        <v/>
      </c>
      <c r="E30" s="210" t="str">
        <f t="shared" ca="1" si="8"/>
        <v/>
      </c>
      <c r="F30" s="211" t="str">
        <f t="shared" ca="1" si="10"/>
        <v/>
      </c>
      <c r="G30" s="211" t="str">
        <f t="shared" ca="1" si="10"/>
        <v/>
      </c>
      <c r="H30" s="211" t="str">
        <f t="shared" ca="1" si="10"/>
        <v/>
      </c>
      <c r="I30" s="211" t="str">
        <f t="shared" ca="1" si="10"/>
        <v/>
      </c>
      <c r="J30" s="212" t="str">
        <f t="shared" ca="1" si="10"/>
        <v/>
      </c>
      <c r="K30" s="212" t="str">
        <f t="shared" ca="1" si="10"/>
        <v/>
      </c>
      <c r="L30" s="212" t="str">
        <f t="shared" ca="1" si="10"/>
        <v/>
      </c>
      <c r="M30" s="213" t="str">
        <f t="shared" ca="1" si="10"/>
        <v/>
      </c>
      <c r="N30" s="212" t="str">
        <f t="shared" ca="1" si="10"/>
        <v/>
      </c>
      <c r="O30" s="214" t="str">
        <f t="shared" ca="1" si="10"/>
        <v/>
      </c>
      <c r="P30" s="214" t="str">
        <f t="shared" ca="1" si="10"/>
        <v/>
      </c>
      <c r="Q30" s="214" t="str">
        <f t="shared" ca="1" si="10"/>
        <v/>
      </c>
      <c r="R30" s="214" t="str">
        <f t="shared" ca="1" si="11"/>
        <v/>
      </c>
      <c r="S30" s="210" t="str">
        <f t="shared" ca="1" si="11"/>
        <v/>
      </c>
      <c r="T30" s="210" t="str">
        <f t="shared" ca="1" si="11"/>
        <v/>
      </c>
      <c r="U30" s="210" t="str">
        <f t="shared" ca="1" si="11"/>
        <v/>
      </c>
      <c r="V30" s="211" t="str">
        <f t="shared" ca="1" si="9"/>
        <v/>
      </c>
      <c r="W30" s="211" t="str">
        <f t="shared" ca="1" si="9"/>
        <v/>
      </c>
      <c r="X30" s="211" t="str">
        <f t="shared" ca="1" si="9"/>
        <v/>
      </c>
      <c r="Y30" s="211" t="str">
        <f t="shared" ca="1" si="9"/>
        <v/>
      </c>
      <c r="Z30" s="212" t="str">
        <f t="shared" ca="1" si="9"/>
        <v/>
      </c>
      <c r="AA30" s="212" t="str">
        <f t="shared" ca="1" si="9"/>
        <v/>
      </c>
      <c r="AB30" s="212" t="str">
        <f t="shared" ca="1" si="9"/>
        <v/>
      </c>
      <c r="AC30" s="212" t="str">
        <f t="shared" ca="1" si="9"/>
        <v/>
      </c>
      <c r="AD30" s="212" t="str">
        <f t="shared" ca="1" si="9"/>
        <v/>
      </c>
      <c r="AE30" s="214" t="str">
        <f t="shared" ca="1" si="9"/>
        <v/>
      </c>
      <c r="AF30" s="214" t="str">
        <f t="shared" ca="1" si="9"/>
        <v/>
      </c>
      <c r="AG30" s="214" t="str">
        <f t="shared" ca="1" si="9"/>
        <v/>
      </c>
      <c r="AH30" s="214" t="str">
        <f t="shared" ca="1" si="6"/>
        <v/>
      </c>
      <c r="AI30" s="215" t="str">
        <f>AP!E32</f>
        <v/>
      </c>
      <c r="AJ30" s="215" t="str">
        <f>IF(AP!F32="","",AP!F32)</f>
        <v/>
      </c>
      <c r="AK30" s="215" t="str">
        <f>AP!G32</f>
        <v/>
      </c>
      <c r="AL30" s="215" t="str">
        <f ca="1">AP!H32</f>
        <v/>
      </c>
      <c r="AM30" s="215" t="str">
        <f ca="1">AP!I32</f>
        <v/>
      </c>
    </row>
    <row r="31" spans="1:39" x14ac:dyDescent="0.2">
      <c r="A31" s="8">
        <v>28</v>
      </c>
      <c r="B31" s="9" t="str">
        <f t="shared" ca="1" si="7"/>
        <v xml:space="preserve">, </v>
      </c>
      <c r="C31" s="210" t="str">
        <f t="shared" ca="1" si="8"/>
        <v/>
      </c>
      <c r="D31" s="210" t="str">
        <f t="shared" ca="1" si="8"/>
        <v/>
      </c>
      <c r="E31" s="210" t="str">
        <f t="shared" ca="1" si="8"/>
        <v/>
      </c>
      <c r="F31" s="211" t="str">
        <f t="shared" ca="1" si="10"/>
        <v/>
      </c>
      <c r="G31" s="211" t="str">
        <f t="shared" ca="1" si="10"/>
        <v/>
      </c>
      <c r="H31" s="211" t="str">
        <f t="shared" ca="1" si="10"/>
        <v/>
      </c>
      <c r="I31" s="211" t="str">
        <f t="shared" ca="1" si="10"/>
        <v/>
      </c>
      <c r="J31" s="212" t="str">
        <f t="shared" ca="1" si="10"/>
        <v/>
      </c>
      <c r="K31" s="212" t="str">
        <f t="shared" ca="1" si="10"/>
        <v/>
      </c>
      <c r="L31" s="212" t="str">
        <f t="shared" ca="1" si="10"/>
        <v/>
      </c>
      <c r="M31" s="213" t="str">
        <f t="shared" ca="1" si="10"/>
        <v/>
      </c>
      <c r="N31" s="212" t="str">
        <f t="shared" ca="1" si="10"/>
        <v/>
      </c>
      <c r="O31" s="214" t="str">
        <f t="shared" ca="1" si="10"/>
        <v/>
      </c>
      <c r="P31" s="214" t="str">
        <f t="shared" ca="1" si="10"/>
        <v/>
      </c>
      <c r="Q31" s="214" t="str">
        <f t="shared" ca="1" si="10"/>
        <v/>
      </c>
      <c r="R31" s="214" t="str">
        <f t="shared" ca="1" si="11"/>
        <v/>
      </c>
      <c r="S31" s="210" t="str">
        <f t="shared" ca="1" si="11"/>
        <v/>
      </c>
      <c r="T31" s="210" t="str">
        <f t="shared" ca="1" si="11"/>
        <v/>
      </c>
      <c r="U31" s="210" t="str">
        <f t="shared" ca="1" si="11"/>
        <v/>
      </c>
      <c r="V31" s="211" t="str">
        <f t="shared" ca="1" si="9"/>
        <v/>
      </c>
      <c r="W31" s="211" t="str">
        <f t="shared" ca="1" si="9"/>
        <v/>
      </c>
      <c r="X31" s="211" t="str">
        <f t="shared" ca="1" si="9"/>
        <v/>
      </c>
      <c r="Y31" s="211" t="str">
        <f t="shared" ca="1" si="9"/>
        <v/>
      </c>
      <c r="Z31" s="212" t="str">
        <f t="shared" ca="1" si="9"/>
        <v/>
      </c>
      <c r="AA31" s="212" t="str">
        <f t="shared" ca="1" si="9"/>
        <v/>
      </c>
      <c r="AB31" s="212" t="str">
        <f t="shared" ref="V31:AG38" ca="1" si="12">IF(INDIRECT(ADDRESS(4+$A31*2,AB$2,,,"Notenbogen"))="","",INDIRECT(ADDRESS(4+$A31*2,AB$2,,,"Notenbogen")))</f>
        <v/>
      </c>
      <c r="AC31" s="212" t="str">
        <f t="shared" ca="1" si="12"/>
        <v/>
      </c>
      <c r="AD31" s="212" t="str">
        <f t="shared" ca="1" si="12"/>
        <v/>
      </c>
      <c r="AE31" s="214" t="str">
        <f t="shared" ca="1" si="12"/>
        <v/>
      </c>
      <c r="AF31" s="214" t="str">
        <f t="shared" ca="1" si="12"/>
        <v/>
      </c>
      <c r="AG31" s="214" t="str">
        <f t="shared" ca="1" si="12"/>
        <v/>
      </c>
      <c r="AH31" s="214" t="str">
        <f t="shared" ca="1" si="6"/>
        <v/>
      </c>
      <c r="AI31" s="215" t="str">
        <f>AP!E33</f>
        <v/>
      </c>
      <c r="AJ31" s="215" t="str">
        <f>IF(AP!F33="","",AP!F33)</f>
        <v/>
      </c>
      <c r="AK31" s="215" t="str">
        <f>AP!G33</f>
        <v/>
      </c>
      <c r="AL31" s="215" t="str">
        <f ca="1">AP!H33</f>
        <v/>
      </c>
      <c r="AM31" s="215" t="str">
        <f ca="1">AP!I33</f>
        <v/>
      </c>
    </row>
    <row r="32" spans="1:39" x14ac:dyDescent="0.2">
      <c r="A32" s="8">
        <v>29</v>
      </c>
      <c r="B32" s="9" t="str">
        <f t="shared" ca="1" si="7"/>
        <v xml:space="preserve">, </v>
      </c>
      <c r="C32" s="210" t="str">
        <f t="shared" ca="1" si="8"/>
        <v/>
      </c>
      <c r="D32" s="210" t="str">
        <f t="shared" ca="1" si="8"/>
        <v/>
      </c>
      <c r="E32" s="210" t="str">
        <f t="shared" ca="1" si="8"/>
        <v/>
      </c>
      <c r="F32" s="211" t="str">
        <f t="shared" ca="1" si="10"/>
        <v/>
      </c>
      <c r="G32" s="211" t="str">
        <f t="shared" ca="1" si="10"/>
        <v/>
      </c>
      <c r="H32" s="211" t="str">
        <f t="shared" ca="1" si="10"/>
        <v/>
      </c>
      <c r="I32" s="211" t="str">
        <f t="shared" ca="1" si="10"/>
        <v/>
      </c>
      <c r="J32" s="212" t="str">
        <f t="shared" ca="1" si="10"/>
        <v/>
      </c>
      <c r="K32" s="212" t="str">
        <f t="shared" ca="1" si="10"/>
        <v/>
      </c>
      <c r="L32" s="212" t="str">
        <f t="shared" ca="1" si="10"/>
        <v/>
      </c>
      <c r="M32" s="213" t="str">
        <f t="shared" ca="1" si="10"/>
        <v/>
      </c>
      <c r="N32" s="212" t="str">
        <f t="shared" ca="1" si="10"/>
        <v/>
      </c>
      <c r="O32" s="214" t="str">
        <f t="shared" ca="1" si="10"/>
        <v/>
      </c>
      <c r="P32" s="214" t="str">
        <f t="shared" ca="1" si="10"/>
        <v/>
      </c>
      <c r="Q32" s="214" t="str">
        <f t="shared" ca="1" si="10"/>
        <v/>
      </c>
      <c r="R32" s="214" t="str">
        <f t="shared" ca="1" si="11"/>
        <v/>
      </c>
      <c r="S32" s="210" t="str">
        <f t="shared" ca="1" si="11"/>
        <v/>
      </c>
      <c r="T32" s="210" t="str">
        <f t="shared" ca="1" si="11"/>
        <v/>
      </c>
      <c r="U32" s="210" t="str">
        <f t="shared" ca="1" si="11"/>
        <v/>
      </c>
      <c r="V32" s="211" t="str">
        <f t="shared" ca="1" si="12"/>
        <v/>
      </c>
      <c r="W32" s="211" t="str">
        <f t="shared" ca="1" si="12"/>
        <v/>
      </c>
      <c r="X32" s="211" t="str">
        <f t="shared" ca="1" si="12"/>
        <v/>
      </c>
      <c r="Y32" s="211" t="str">
        <f t="shared" ca="1" si="12"/>
        <v/>
      </c>
      <c r="Z32" s="212" t="str">
        <f t="shared" ca="1" si="12"/>
        <v/>
      </c>
      <c r="AA32" s="212" t="str">
        <f t="shared" ca="1" si="12"/>
        <v/>
      </c>
      <c r="AB32" s="212" t="str">
        <f t="shared" ca="1" si="12"/>
        <v/>
      </c>
      <c r="AC32" s="212" t="str">
        <f t="shared" ca="1" si="12"/>
        <v/>
      </c>
      <c r="AD32" s="212" t="str">
        <f t="shared" ca="1" si="12"/>
        <v/>
      </c>
      <c r="AE32" s="214" t="str">
        <f t="shared" ca="1" si="12"/>
        <v/>
      </c>
      <c r="AF32" s="214" t="str">
        <f t="shared" ca="1" si="12"/>
        <v/>
      </c>
      <c r="AG32" s="214" t="str">
        <f t="shared" ca="1" si="12"/>
        <v/>
      </c>
      <c r="AH32" s="214" t="str">
        <f t="shared" ca="1" si="6"/>
        <v/>
      </c>
      <c r="AI32" s="215" t="str">
        <f>AP!E34</f>
        <v/>
      </c>
      <c r="AJ32" s="215" t="str">
        <f>IF(AP!F34="","",AP!F34)</f>
        <v/>
      </c>
      <c r="AK32" s="215" t="str">
        <f>AP!G34</f>
        <v/>
      </c>
      <c r="AL32" s="215" t="str">
        <f ca="1">AP!H34</f>
        <v/>
      </c>
      <c r="AM32" s="215" t="str">
        <f ca="1">AP!I34</f>
        <v/>
      </c>
    </row>
    <row r="33" spans="1:39" x14ac:dyDescent="0.2">
      <c r="A33" s="8">
        <v>30</v>
      </c>
      <c r="B33" s="9" t="str">
        <f t="shared" ca="1" si="7"/>
        <v xml:space="preserve">, </v>
      </c>
      <c r="C33" s="210" t="str">
        <f t="shared" ca="1" si="8"/>
        <v/>
      </c>
      <c r="D33" s="210" t="str">
        <f t="shared" ca="1" si="8"/>
        <v/>
      </c>
      <c r="E33" s="210" t="str">
        <f t="shared" ca="1" si="8"/>
        <v/>
      </c>
      <c r="F33" s="211" t="str">
        <f t="shared" ca="1" si="10"/>
        <v/>
      </c>
      <c r="G33" s="211" t="str">
        <f t="shared" ca="1" si="10"/>
        <v/>
      </c>
      <c r="H33" s="211" t="str">
        <f t="shared" ca="1" si="10"/>
        <v/>
      </c>
      <c r="I33" s="211" t="str">
        <f t="shared" ca="1" si="10"/>
        <v/>
      </c>
      <c r="J33" s="212" t="str">
        <f t="shared" ca="1" si="10"/>
        <v/>
      </c>
      <c r="K33" s="212" t="str">
        <f t="shared" ca="1" si="10"/>
        <v/>
      </c>
      <c r="L33" s="212" t="str">
        <f t="shared" ca="1" si="10"/>
        <v/>
      </c>
      <c r="M33" s="213" t="str">
        <f t="shared" ca="1" si="10"/>
        <v/>
      </c>
      <c r="N33" s="212" t="str">
        <f t="shared" ca="1" si="10"/>
        <v/>
      </c>
      <c r="O33" s="214" t="str">
        <f t="shared" ca="1" si="10"/>
        <v/>
      </c>
      <c r="P33" s="214" t="str">
        <f t="shared" ca="1" si="10"/>
        <v/>
      </c>
      <c r="Q33" s="214" t="str">
        <f t="shared" ca="1" si="10"/>
        <v/>
      </c>
      <c r="R33" s="214" t="str">
        <f t="shared" ca="1" si="11"/>
        <v/>
      </c>
      <c r="S33" s="210" t="str">
        <f t="shared" ca="1" si="11"/>
        <v/>
      </c>
      <c r="T33" s="210" t="str">
        <f t="shared" ca="1" si="11"/>
        <v/>
      </c>
      <c r="U33" s="210" t="str">
        <f t="shared" ca="1" si="11"/>
        <v/>
      </c>
      <c r="V33" s="211" t="str">
        <f t="shared" ca="1" si="12"/>
        <v/>
      </c>
      <c r="W33" s="211" t="str">
        <f t="shared" ca="1" si="12"/>
        <v/>
      </c>
      <c r="X33" s="211" t="str">
        <f t="shared" ca="1" si="12"/>
        <v/>
      </c>
      <c r="Y33" s="211" t="str">
        <f t="shared" ca="1" si="12"/>
        <v/>
      </c>
      <c r="Z33" s="212" t="str">
        <f t="shared" ca="1" si="12"/>
        <v/>
      </c>
      <c r="AA33" s="212" t="str">
        <f t="shared" ca="1" si="12"/>
        <v/>
      </c>
      <c r="AB33" s="212" t="str">
        <f t="shared" ca="1" si="12"/>
        <v/>
      </c>
      <c r="AC33" s="212" t="str">
        <f t="shared" ca="1" si="12"/>
        <v/>
      </c>
      <c r="AD33" s="212" t="str">
        <f t="shared" ca="1" si="12"/>
        <v/>
      </c>
      <c r="AE33" s="214" t="str">
        <f t="shared" ca="1" si="12"/>
        <v/>
      </c>
      <c r="AF33" s="214" t="str">
        <f t="shared" ca="1" si="12"/>
        <v/>
      </c>
      <c r="AG33" s="214" t="str">
        <f t="shared" ca="1" si="12"/>
        <v/>
      </c>
      <c r="AH33" s="214" t="str">
        <f t="shared" ca="1" si="6"/>
        <v/>
      </c>
      <c r="AI33" s="215" t="str">
        <f>AP!E35</f>
        <v/>
      </c>
      <c r="AJ33" s="215" t="str">
        <f>IF(AP!F35="","",AP!F35)</f>
        <v/>
      </c>
      <c r="AK33" s="215" t="str">
        <f>AP!G35</f>
        <v/>
      </c>
      <c r="AL33" s="215" t="str">
        <f ca="1">AP!H35</f>
        <v/>
      </c>
      <c r="AM33" s="215" t="str">
        <f ca="1">AP!I35</f>
        <v/>
      </c>
    </row>
    <row r="34" spans="1:39" x14ac:dyDescent="0.2">
      <c r="A34" s="8">
        <v>31</v>
      </c>
      <c r="B34" s="9" t="str">
        <f t="shared" ca="1" si="7"/>
        <v xml:space="preserve">, </v>
      </c>
      <c r="C34" s="210" t="str">
        <f t="shared" ca="1" si="8"/>
        <v/>
      </c>
      <c r="D34" s="210" t="str">
        <f t="shared" ca="1" si="8"/>
        <v/>
      </c>
      <c r="E34" s="210" t="str">
        <f t="shared" ca="1" si="8"/>
        <v/>
      </c>
      <c r="F34" s="211" t="str">
        <f t="shared" ca="1" si="10"/>
        <v/>
      </c>
      <c r="G34" s="211" t="str">
        <f t="shared" ca="1" si="10"/>
        <v/>
      </c>
      <c r="H34" s="211" t="str">
        <f t="shared" ca="1" si="10"/>
        <v/>
      </c>
      <c r="I34" s="211" t="str">
        <f t="shared" ca="1" si="10"/>
        <v/>
      </c>
      <c r="J34" s="212" t="str">
        <f t="shared" ca="1" si="10"/>
        <v/>
      </c>
      <c r="K34" s="212" t="str">
        <f t="shared" ca="1" si="10"/>
        <v/>
      </c>
      <c r="L34" s="212" t="str">
        <f t="shared" ca="1" si="10"/>
        <v/>
      </c>
      <c r="M34" s="213" t="str">
        <f t="shared" ca="1" si="10"/>
        <v/>
      </c>
      <c r="N34" s="212" t="str">
        <f t="shared" ca="1" si="10"/>
        <v/>
      </c>
      <c r="O34" s="214" t="str">
        <f t="shared" ca="1" si="10"/>
        <v/>
      </c>
      <c r="P34" s="214" t="str">
        <f t="shared" ca="1" si="10"/>
        <v/>
      </c>
      <c r="Q34" s="214" t="str">
        <f t="shared" ca="1" si="10"/>
        <v/>
      </c>
      <c r="R34" s="214" t="str">
        <f t="shared" ca="1" si="11"/>
        <v/>
      </c>
      <c r="S34" s="210" t="str">
        <f t="shared" ca="1" si="11"/>
        <v/>
      </c>
      <c r="T34" s="210" t="str">
        <f t="shared" ca="1" si="11"/>
        <v/>
      </c>
      <c r="U34" s="210" t="str">
        <f t="shared" ca="1" si="11"/>
        <v/>
      </c>
      <c r="V34" s="211" t="str">
        <f t="shared" ca="1" si="12"/>
        <v/>
      </c>
      <c r="W34" s="211" t="str">
        <f t="shared" ca="1" si="12"/>
        <v/>
      </c>
      <c r="X34" s="211" t="str">
        <f t="shared" ca="1" si="12"/>
        <v/>
      </c>
      <c r="Y34" s="211" t="str">
        <f t="shared" ca="1" si="12"/>
        <v/>
      </c>
      <c r="Z34" s="212" t="str">
        <f t="shared" ca="1" si="12"/>
        <v/>
      </c>
      <c r="AA34" s="212" t="str">
        <f t="shared" ca="1" si="12"/>
        <v/>
      </c>
      <c r="AB34" s="212" t="str">
        <f t="shared" ca="1" si="12"/>
        <v/>
      </c>
      <c r="AC34" s="212" t="str">
        <f t="shared" ca="1" si="12"/>
        <v/>
      </c>
      <c r="AD34" s="212" t="str">
        <f t="shared" ca="1" si="12"/>
        <v/>
      </c>
      <c r="AE34" s="214" t="str">
        <f t="shared" ca="1" si="12"/>
        <v/>
      </c>
      <c r="AF34" s="214" t="str">
        <f t="shared" ca="1" si="12"/>
        <v/>
      </c>
      <c r="AG34" s="214" t="str">
        <f t="shared" ca="1" si="12"/>
        <v/>
      </c>
      <c r="AH34" s="214" t="str">
        <f t="shared" ca="1" si="6"/>
        <v/>
      </c>
      <c r="AI34" s="215" t="str">
        <f>AP!E36</f>
        <v/>
      </c>
      <c r="AJ34" s="215" t="str">
        <f>IF(AP!F36="","",AP!F36)</f>
        <v/>
      </c>
      <c r="AK34" s="215" t="str">
        <f>AP!G36</f>
        <v/>
      </c>
      <c r="AL34" s="215" t="str">
        <f ca="1">AP!H36</f>
        <v/>
      </c>
      <c r="AM34" s="215" t="str">
        <f ca="1">AP!I36</f>
        <v/>
      </c>
    </row>
    <row r="35" spans="1:39" x14ac:dyDescent="0.2">
      <c r="A35" s="8">
        <v>32</v>
      </c>
      <c r="B35" s="9" t="str">
        <f t="shared" ca="1" si="7"/>
        <v xml:space="preserve">, </v>
      </c>
      <c r="C35" s="210" t="str">
        <f t="shared" ca="1" si="8"/>
        <v/>
      </c>
      <c r="D35" s="210" t="str">
        <f t="shared" ca="1" si="8"/>
        <v/>
      </c>
      <c r="E35" s="210" t="str">
        <f t="shared" ca="1" si="8"/>
        <v/>
      </c>
      <c r="F35" s="211" t="str">
        <f t="shared" ca="1" si="10"/>
        <v/>
      </c>
      <c r="G35" s="211" t="str">
        <f t="shared" ca="1" si="10"/>
        <v/>
      </c>
      <c r="H35" s="211" t="str">
        <f t="shared" ca="1" si="10"/>
        <v/>
      </c>
      <c r="I35" s="211" t="str">
        <f t="shared" ca="1" si="10"/>
        <v/>
      </c>
      <c r="J35" s="212" t="str">
        <f t="shared" ca="1" si="10"/>
        <v/>
      </c>
      <c r="K35" s="212" t="str">
        <f t="shared" ca="1" si="10"/>
        <v/>
      </c>
      <c r="L35" s="212" t="str">
        <f t="shared" ca="1" si="10"/>
        <v/>
      </c>
      <c r="M35" s="213" t="str">
        <f t="shared" ca="1" si="10"/>
        <v/>
      </c>
      <c r="N35" s="212" t="str">
        <f t="shared" ca="1" si="10"/>
        <v/>
      </c>
      <c r="O35" s="214" t="str">
        <f t="shared" ca="1" si="10"/>
        <v/>
      </c>
      <c r="P35" s="214" t="str">
        <f t="shared" ca="1" si="10"/>
        <v/>
      </c>
      <c r="Q35" s="214" t="str">
        <f t="shared" ca="1" si="10"/>
        <v/>
      </c>
      <c r="R35" s="214" t="str">
        <f t="shared" ca="1" si="11"/>
        <v/>
      </c>
      <c r="S35" s="210" t="str">
        <f t="shared" ca="1" si="11"/>
        <v/>
      </c>
      <c r="T35" s="210" t="str">
        <f t="shared" ca="1" si="11"/>
        <v/>
      </c>
      <c r="U35" s="210" t="str">
        <f t="shared" ca="1" si="11"/>
        <v/>
      </c>
      <c r="V35" s="211" t="str">
        <f t="shared" ca="1" si="12"/>
        <v/>
      </c>
      <c r="W35" s="211" t="str">
        <f t="shared" ca="1" si="12"/>
        <v/>
      </c>
      <c r="X35" s="211" t="str">
        <f t="shared" ca="1" si="12"/>
        <v/>
      </c>
      <c r="Y35" s="211" t="str">
        <f t="shared" ca="1" si="12"/>
        <v/>
      </c>
      <c r="Z35" s="212" t="str">
        <f t="shared" ca="1" si="12"/>
        <v/>
      </c>
      <c r="AA35" s="212" t="str">
        <f t="shared" ca="1" si="12"/>
        <v/>
      </c>
      <c r="AB35" s="212" t="str">
        <f t="shared" ca="1" si="12"/>
        <v/>
      </c>
      <c r="AC35" s="212" t="str">
        <f t="shared" ca="1" si="12"/>
        <v/>
      </c>
      <c r="AD35" s="212" t="str">
        <f t="shared" ca="1" si="12"/>
        <v/>
      </c>
      <c r="AE35" s="214" t="str">
        <f t="shared" ca="1" si="12"/>
        <v/>
      </c>
      <c r="AF35" s="214" t="str">
        <f t="shared" ca="1" si="12"/>
        <v/>
      </c>
      <c r="AG35" s="214" t="str">
        <f t="shared" ca="1" si="12"/>
        <v/>
      </c>
      <c r="AH35" s="214" t="str">
        <f t="shared" ca="1" si="6"/>
        <v/>
      </c>
      <c r="AI35" s="215" t="str">
        <f>AP!E37</f>
        <v/>
      </c>
      <c r="AJ35" s="215" t="str">
        <f>IF(AP!F37="","",AP!F37)</f>
        <v/>
      </c>
      <c r="AK35" s="215" t="str">
        <f>AP!G37</f>
        <v/>
      </c>
      <c r="AL35" s="215" t="str">
        <f ca="1">AP!H37</f>
        <v/>
      </c>
      <c r="AM35" s="215" t="str">
        <f ca="1">AP!I37</f>
        <v/>
      </c>
    </row>
    <row r="36" spans="1:39" x14ac:dyDescent="0.2">
      <c r="A36" s="8">
        <v>33</v>
      </c>
      <c r="B36" s="9" t="str">
        <f t="shared" ca="1" si="7"/>
        <v xml:space="preserve">, </v>
      </c>
      <c r="C36" s="210" t="str">
        <f t="shared" ca="1" si="8"/>
        <v/>
      </c>
      <c r="D36" s="210" t="str">
        <f t="shared" ca="1" si="8"/>
        <v/>
      </c>
      <c r="E36" s="210" t="str">
        <f t="shared" ca="1" si="8"/>
        <v/>
      </c>
      <c r="F36" s="211" t="str">
        <f t="shared" ca="1" si="10"/>
        <v/>
      </c>
      <c r="G36" s="211" t="str">
        <f t="shared" ca="1" si="10"/>
        <v/>
      </c>
      <c r="H36" s="211" t="str">
        <f t="shared" ca="1" si="10"/>
        <v/>
      </c>
      <c r="I36" s="211" t="str">
        <f t="shared" ca="1" si="10"/>
        <v/>
      </c>
      <c r="J36" s="212" t="str">
        <f t="shared" ca="1" si="10"/>
        <v/>
      </c>
      <c r="K36" s="212" t="str">
        <f t="shared" ca="1" si="10"/>
        <v/>
      </c>
      <c r="L36" s="212" t="str">
        <f t="shared" ca="1" si="10"/>
        <v/>
      </c>
      <c r="M36" s="213" t="str">
        <f t="shared" ca="1" si="10"/>
        <v/>
      </c>
      <c r="N36" s="212" t="str">
        <f t="shared" ca="1" si="10"/>
        <v/>
      </c>
      <c r="O36" s="214" t="str">
        <f t="shared" ca="1" si="10"/>
        <v/>
      </c>
      <c r="P36" s="214" t="str">
        <f t="shared" ca="1" si="10"/>
        <v/>
      </c>
      <c r="Q36" s="214" t="str">
        <f t="shared" ca="1" si="10"/>
        <v/>
      </c>
      <c r="R36" s="214" t="str">
        <f t="shared" ca="1" si="11"/>
        <v/>
      </c>
      <c r="S36" s="210" t="str">
        <f t="shared" ca="1" si="11"/>
        <v/>
      </c>
      <c r="T36" s="210" t="str">
        <f t="shared" ca="1" si="11"/>
        <v/>
      </c>
      <c r="U36" s="210" t="str">
        <f t="shared" ca="1" si="11"/>
        <v/>
      </c>
      <c r="V36" s="211" t="str">
        <f t="shared" ca="1" si="12"/>
        <v/>
      </c>
      <c r="W36" s="211" t="str">
        <f t="shared" ca="1" si="12"/>
        <v/>
      </c>
      <c r="X36" s="211" t="str">
        <f t="shared" ca="1" si="12"/>
        <v/>
      </c>
      <c r="Y36" s="211" t="str">
        <f t="shared" ca="1" si="12"/>
        <v/>
      </c>
      <c r="Z36" s="212" t="str">
        <f t="shared" ca="1" si="12"/>
        <v/>
      </c>
      <c r="AA36" s="212" t="str">
        <f t="shared" ca="1" si="12"/>
        <v/>
      </c>
      <c r="AB36" s="212" t="str">
        <f t="shared" ca="1" si="12"/>
        <v/>
      </c>
      <c r="AC36" s="212" t="str">
        <f t="shared" ca="1" si="12"/>
        <v/>
      </c>
      <c r="AD36" s="212" t="str">
        <f t="shared" ca="1" si="12"/>
        <v/>
      </c>
      <c r="AE36" s="214" t="str">
        <f t="shared" ca="1" si="12"/>
        <v/>
      </c>
      <c r="AF36" s="214" t="str">
        <f t="shared" ca="1" si="12"/>
        <v/>
      </c>
      <c r="AG36" s="214" t="str">
        <f t="shared" ca="1" si="12"/>
        <v/>
      </c>
      <c r="AH36" s="214" t="str">
        <f t="shared" ca="1" si="6"/>
        <v/>
      </c>
      <c r="AI36" s="215" t="str">
        <f>AP!E38</f>
        <v/>
      </c>
      <c r="AJ36" s="215" t="str">
        <f>IF(AP!F38="","",AP!F38)</f>
        <v/>
      </c>
      <c r="AK36" s="215" t="str">
        <f>AP!G38</f>
        <v/>
      </c>
      <c r="AL36" s="215" t="str">
        <f ca="1">AP!H38</f>
        <v/>
      </c>
      <c r="AM36" s="215" t="str">
        <f ca="1">AP!I38</f>
        <v/>
      </c>
    </row>
    <row r="37" spans="1:39" x14ac:dyDescent="0.2">
      <c r="A37" s="8">
        <v>34</v>
      </c>
      <c r="B37" s="9" t="str">
        <f t="shared" ca="1" si="7"/>
        <v xml:space="preserve">, </v>
      </c>
      <c r="C37" s="210" t="str">
        <f t="shared" ca="1" si="8"/>
        <v/>
      </c>
      <c r="D37" s="210" t="str">
        <f t="shared" ca="1" si="8"/>
        <v/>
      </c>
      <c r="E37" s="210" t="str">
        <f t="shared" ca="1" si="8"/>
        <v/>
      </c>
      <c r="F37" s="211" t="str">
        <f t="shared" ca="1" si="10"/>
        <v/>
      </c>
      <c r="G37" s="211" t="str">
        <f t="shared" ca="1" si="10"/>
        <v/>
      </c>
      <c r="H37" s="211" t="str">
        <f t="shared" ca="1" si="10"/>
        <v/>
      </c>
      <c r="I37" s="211" t="str">
        <f t="shared" ca="1" si="10"/>
        <v/>
      </c>
      <c r="J37" s="212" t="str">
        <f t="shared" ca="1" si="10"/>
        <v/>
      </c>
      <c r="K37" s="212" t="str">
        <f t="shared" ca="1" si="10"/>
        <v/>
      </c>
      <c r="L37" s="212" t="str">
        <f t="shared" ca="1" si="10"/>
        <v/>
      </c>
      <c r="M37" s="213" t="str">
        <f t="shared" ca="1" si="10"/>
        <v/>
      </c>
      <c r="N37" s="212" t="str">
        <f t="shared" ca="1" si="10"/>
        <v/>
      </c>
      <c r="O37" s="214" t="str">
        <f t="shared" ca="1" si="10"/>
        <v/>
      </c>
      <c r="P37" s="214" t="str">
        <f t="shared" ca="1" si="10"/>
        <v/>
      </c>
      <c r="Q37" s="214" t="str">
        <f t="shared" ca="1" si="10"/>
        <v/>
      </c>
      <c r="R37" s="214" t="str">
        <f t="shared" ca="1" si="11"/>
        <v/>
      </c>
      <c r="S37" s="210" t="str">
        <f t="shared" ca="1" si="11"/>
        <v/>
      </c>
      <c r="T37" s="210" t="str">
        <f t="shared" ca="1" si="11"/>
        <v/>
      </c>
      <c r="U37" s="210" t="str">
        <f t="shared" ca="1" si="11"/>
        <v/>
      </c>
      <c r="V37" s="211" t="str">
        <f t="shared" ca="1" si="12"/>
        <v/>
      </c>
      <c r="W37" s="211" t="str">
        <f t="shared" ca="1" si="12"/>
        <v/>
      </c>
      <c r="X37" s="211" t="str">
        <f t="shared" ca="1" si="12"/>
        <v/>
      </c>
      <c r="Y37" s="211" t="str">
        <f t="shared" ca="1" si="12"/>
        <v/>
      </c>
      <c r="Z37" s="212" t="str">
        <f t="shared" ca="1" si="12"/>
        <v/>
      </c>
      <c r="AA37" s="212" t="str">
        <f t="shared" ca="1" si="12"/>
        <v/>
      </c>
      <c r="AB37" s="212" t="str">
        <f t="shared" ca="1" si="12"/>
        <v/>
      </c>
      <c r="AC37" s="212" t="str">
        <f t="shared" ca="1" si="12"/>
        <v/>
      </c>
      <c r="AD37" s="212" t="str">
        <f t="shared" ca="1" si="12"/>
        <v/>
      </c>
      <c r="AE37" s="214" t="str">
        <f t="shared" ca="1" si="12"/>
        <v/>
      </c>
      <c r="AF37" s="214" t="str">
        <f t="shared" ca="1" si="12"/>
        <v/>
      </c>
      <c r="AG37" s="214" t="str">
        <f t="shared" ca="1" si="12"/>
        <v/>
      </c>
      <c r="AH37" s="214" t="str">
        <f t="shared" ca="1" si="6"/>
        <v/>
      </c>
      <c r="AI37" s="215" t="str">
        <f>AP!E39</f>
        <v/>
      </c>
      <c r="AJ37" s="215" t="str">
        <f>IF(AP!F39="","",AP!F39)</f>
        <v/>
      </c>
      <c r="AK37" s="215" t="str">
        <f>AP!G39</f>
        <v/>
      </c>
      <c r="AL37" s="215" t="str">
        <f ca="1">AP!H39</f>
        <v/>
      </c>
      <c r="AM37" s="215" t="str">
        <f ca="1">AP!I39</f>
        <v/>
      </c>
    </row>
    <row r="38" spans="1:39" x14ac:dyDescent="0.2">
      <c r="A38" s="8">
        <v>35</v>
      </c>
      <c r="B38" s="9" t="str">
        <f t="shared" ca="1" si="7"/>
        <v xml:space="preserve">, </v>
      </c>
      <c r="C38" s="210" t="str">
        <f t="shared" ca="1" si="8"/>
        <v/>
      </c>
      <c r="D38" s="210" t="str">
        <f t="shared" ca="1" si="8"/>
        <v/>
      </c>
      <c r="E38" s="210" t="str">
        <f t="shared" ca="1" si="8"/>
        <v/>
      </c>
      <c r="F38" s="211" t="str">
        <f t="shared" ca="1" si="10"/>
        <v/>
      </c>
      <c r="G38" s="211" t="str">
        <f t="shared" ca="1" si="10"/>
        <v/>
      </c>
      <c r="H38" s="211" t="str">
        <f t="shared" ca="1" si="10"/>
        <v/>
      </c>
      <c r="I38" s="211" t="str">
        <f t="shared" ca="1" si="10"/>
        <v/>
      </c>
      <c r="J38" s="212" t="str">
        <f t="shared" ca="1" si="10"/>
        <v/>
      </c>
      <c r="K38" s="212" t="str">
        <f t="shared" ca="1" si="10"/>
        <v/>
      </c>
      <c r="L38" s="212" t="str">
        <f t="shared" ca="1" si="10"/>
        <v/>
      </c>
      <c r="M38" s="213" t="str">
        <f t="shared" ca="1" si="10"/>
        <v/>
      </c>
      <c r="N38" s="212" t="str">
        <f t="shared" ca="1" si="10"/>
        <v/>
      </c>
      <c r="O38" s="214" t="str">
        <f t="shared" ca="1" si="10"/>
        <v/>
      </c>
      <c r="P38" s="214" t="str">
        <f t="shared" ca="1" si="10"/>
        <v/>
      </c>
      <c r="Q38" s="214" t="str">
        <f t="shared" ca="1" si="10"/>
        <v/>
      </c>
      <c r="R38" s="214" t="str">
        <f t="shared" ca="1" si="11"/>
        <v/>
      </c>
      <c r="S38" s="210" t="str">
        <f t="shared" ca="1" si="11"/>
        <v/>
      </c>
      <c r="T38" s="210" t="str">
        <f t="shared" ca="1" si="11"/>
        <v/>
      </c>
      <c r="U38" s="210" t="str">
        <f t="shared" ca="1" si="11"/>
        <v/>
      </c>
      <c r="V38" s="211" t="str">
        <f t="shared" ca="1" si="12"/>
        <v/>
      </c>
      <c r="W38" s="211" t="str">
        <f t="shared" ca="1" si="12"/>
        <v/>
      </c>
      <c r="X38" s="211" t="str">
        <f t="shared" ca="1" si="12"/>
        <v/>
      </c>
      <c r="Y38" s="211" t="str">
        <f t="shared" ca="1" si="12"/>
        <v/>
      </c>
      <c r="Z38" s="212" t="str">
        <f t="shared" ca="1" si="12"/>
        <v/>
      </c>
      <c r="AA38" s="212" t="str">
        <f t="shared" ca="1" si="12"/>
        <v/>
      </c>
      <c r="AB38" s="212" t="str">
        <f t="shared" ca="1" si="12"/>
        <v/>
      </c>
      <c r="AC38" s="212" t="str">
        <f t="shared" ca="1" si="12"/>
        <v/>
      </c>
      <c r="AD38" s="212" t="str">
        <f t="shared" ca="1" si="12"/>
        <v/>
      </c>
      <c r="AE38" s="214" t="str">
        <f t="shared" ca="1" si="12"/>
        <v/>
      </c>
      <c r="AF38" s="214" t="str">
        <f t="shared" ca="1" si="12"/>
        <v/>
      </c>
      <c r="AG38" s="214" t="str">
        <f t="shared" ca="1" si="12"/>
        <v/>
      </c>
      <c r="AH38" s="214" t="str">
        <f t="shared" ca="1" si="6"/>
        <v/>
      </c>
      <c r="AI38" s="215" t="str">
        <f>AP!E40</f>
        <v/>
      </c>
      <c r="AJ38" s="215" t="str">
        <f>IF(AP!F40="","",AP!F40)</f>
        <v/>
      </c>
      <c r="AK38" s="215" t="str">
        <f>AP!G40</f>
        <v/>
      </c>
      <c r="AL38" s="215" t="str">
        <f ca="1">AP!H40</f>
        <v/>
      </c>
      <c r="AM38" s="215" t="str">
        <f ca="1">AP!I40</f>
        <v/>
      </c>
    </row>
  </sheetData>
  <sheetProtection sheet="1" objects="1" scenarios="1"/>
  <phoneticPr fontId="0" type="noConversion"/>
  <pageMargins left="0.78740157499999996" right="0.78740157499999996" top="0.49" bottom="0.41" header="0.4921259845" footer="0.4921259845"/>
  <pageSetup paperSize="9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- 4. Extemporale aus","I - 4. Kurzarbeit aus")</f>
        <v>I - 4. Extemporale aus</v>
      </c>
      <c r="C1" s="219" t="str">
        <f>IF(Notenbogen!F1="","",Notenbogen!F1)</f>
        <v/>
      </c>
      <c r="D1" s="226"/>
      <c r="E1" s="8"/>
      <c r="F1" s="216" t="s">
        <v>27</v>
      </c>
      <c r="G1" s="494"/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IF(D4="","",IF($H$3="BE",LOOKUP(IF(E4="",D4+0.01,D4*$H$30/E4+0.5),NB!$X$624:$X$639,NB!$Y$624:$Y$639),D4))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IF(D5="","",IF($H$3="BE",LOOKUP(IF(E5="",D5+0.01,D5*$H$30/E5+0.5),NB!$X$624:$X$639,NB!$Y$624:$Y$639),D5))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IF(D6="","",IF($H$3="BE",LOOKUP(IF(E6="",D6+0.01,D6*$H$30/E6+0.5),NB!$X$624:$X$639,NB!$Y$624:$Y$639),D6))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IF(D7="","",IF($H$3="BE",LOOKUP(IF(E7="",D7+0.01,D7*$H$30/E7+0.5),NB!$X$624:$X$639,NB!$Y$624:$Y$639),D7))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IF(D8="","",IF($H$3="BE",LOOKUP(IF(E8="",D8+0.01,D8*$H$30/E8+0.5),NB!$X$624:$X$639,NB!$Y$624:$Y$639),D8))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IF(D9="","",IF($H$3="BE",LOOKUP(IF(E9="",D9+0.01,D9*$H$30/E9+0.5),NB!$X$624:$X$639,NB!$Y$624:$Y$639),D9))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IF(D10="","",IF($H$3="BE",LOOKUP(IF(E10="",D10+0.01,D10*$H$30/E10+0.5),NB!$X$624:$X$639,NB!$Y$624:$Y$639),D10))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IF(D11="","",IF($H$3="BE",LOOKUP(IF(E11="",D11+0.01,D11*$H$30/E11+0.5),NB!$X$624:$X$639,NB!$Y$624:$Y$639),D11))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IF(D12="","",IF($H$3="BE",LOOKUP(IF(E12="",D12+0.01,D12*$H$30/E12+0.5),NB!$X$624:$X$639,NB!$Y$624:$Y$639),D12))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IF(D13="","",IF($H$3="BE",LOOKUP(IF(E13="",D13+0.01,D13*$H$30/E13+0.5),NB!$X$624:$X$639,NB!$Y$624:$Y$639),D13))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IF(D14="","",IF($H$3="BE",LOOKUP(IF(E14="",D14+0.01,D14*$H$30/E14+0.5),NB!$X$624:$X$639,NB!$Y$624:$Y$639),D14))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IF(D15="","",IF($H$3="BE",LOOKUP(IF(E15="",D15+0.01,D15*$H$30/E15+0.5),NB!$X$624:$X$639,NB!$Y$624:$Y$639),D15))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IF(D16="","",IF($H$3="BE",LOOKUP(IF(E16="",D16+0.01,D16*$H$30/E16+0.5),NB!$X$624:$X$639,NB!$Y$624:$Y$639),D16))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IF(D17="","",IF($H$3="BE",LOOKUP(IF(E17="",D17+0.01,D17*$H$30/E17+0.5),NB!$X$624:$X$639,NB!$Y$624:$Y$639),D17))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IF(D18="","",IF($H$3="BE",LOOKUP(IF(E18="",D18+0.01,D18*$H$30/E18+0.5),NB!$X$624:$X$639,NB!$Y$624:$Y$639),D18))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IF(D19="","",IF($H$3="BE",LOOKUP(IF(E19="",D19+0.01,D19*$H$30/E19+0.5),NB!$X$624:$X$639,NB!$Y$624:$Y$639),D19))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IF(D20="","",IF($H$3="BE",LOOKUP(IF(E20="",D20+0.01,D20*$H$30/E20+0.5),NB!$X$624:$X$639,NB!$Y$624:$Y$639),D20))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IF(D21="","",IF($H$3="BE",LOOKUP(IF(E21="",D21+0.01,D21*$H$30/E21+0.5),NB!$X$624:$X$639,NB!$Y$624:$Y$639),D21))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IF(D22="","",IF($H$3="BE",LOOKUP(IF(E22="",D22+0.01,D22*$H$30/E22+0.5),NB!$X$624:$X$639,NB!$Y$624:$Y$639),D22))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IF(D23="","",IF($H$3="BE",LOOKUP(IF(E23="",D23+0.01,D23*$H$30/E23+0.5),NB!$X$624:$X$639,NB!$Y$624:$Y$639),D23))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IF(D24="","",IF($H$3="BE",LOOKUP(IF(E24="",D24+0.01,D24*$H$30/E24+0.5),NB!$X$624:$X$639,NB!$Y$624:$Y$639),D24))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IF(D25="","",IF($H$3="BE",LOOKUP(IF(E25="",D25+0.01,D25*$H$30/E25+0.5),NB!$X$624:$X$639,NB!$Y$624:$Y$639),D25))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IF(D26="","",IF($H$3="BE",LOOKUP(IF(E26="",D26+0.01,D26*$H$30/E26+0.5),NB!$X$624:$X$639,NB!$Y$624:$Y$639),D26))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IF(D27="","",IF($H$3="BE",LOOKUP(IF(E27="",D27+0.01,D27*$H$30/E27+0.5),NB!$X$624:$X$639,NB!$Y$624:$Y$639),D27))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IF(D28="","",IF($H$3="BE",LOOKUP(IF(E28="",D28+0.01,D28*$H$30/E28+0.5),NB!$X$624:$X$639,NB!$Y$624:$Y$639),D28))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IF(D29="","",IF($H$3="BE",LOOKUP(IF(E29="",D29+0.01,D29*$H$30/E29+0.5),NB!$X$624:$X$639,NB!$Y$624:$Y$639),D29))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IF(D30="","",IF($H$3="BE",LOOKUP(IF(E30="",D30+0.01,D30*$H$30/E30+0.5),NB!$X$624:$X$639,NB!$Y$624:$Y$639),D30))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IF(D31="","",IF($H$3="BE",LOOKUP(IF(E31="",D31+0.01,D31*$H$30/E31+0.5),NB!$X$624:$X$639,NB!$Y$624:$Y$639),D31))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IF(D32="","",IF($H$3="BE",LOOKUP(IF(E32="",D32+0.01,D32*$H$30/E32+0.5),NB!$X$624:$X$639,NB!$Y$624:$Y$639),D32))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IF(D33="","",IF($H$3="BE",LOOKUP(IF(E33="",D33+0.01,D33*$H$30/E33+0.5),NB!$X$624:$X$639,NB!$Y$624:$Y$639),D33))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IF(D34="","",IF($H$3="BE",LOOKUP(IF(E34="",D34+0.01,D34*$H$30/E34+0.5),NB!$X$624:$X$639,NB!$Y$624:$Y$639),D34))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IF(D35="","",IF($H$3="BE",LOOKUP(IF(E35="",D35+0.01,D35*$H$30/E35+0.5),NB!$X$624:$X$639,NB!$Y$624:$Y$639),D35))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IF(D36="","",IF($H$3="BE",LOOKUP(IF(E36="",D36+0.01,D36*$H$30/E36+0.5),NB!$X$624:$X$639,NB!$Y$624:$Y$639),D36))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IF(D37="","",IF($H$3="BE",LOOKUP(IF(E37="",D37+0.01,D37*$H$30/E37+0.5),NB!$X$624:$X$639,NB!$Y$624:$Y$639),D37))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IF(D38="","",IF($H$3="BE",LOOKUP(IF(E38="",D38+0.01,D38*$H$30/E38+0.5),NB!$X$624:$X$639,NB!$Y$624:$Y$639),D38))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TEXT(NB!V606,"#0")&amp;"                      "&amp;TEXT(NB!Y606,"#0")&amp;"   "</f>
        <v xml:space="preserve">2                      15   </v>
      </c>
      <c r="C43" s="387">
        <f>+NB!W606</f>
        <v>40</v>
      </c>
      <c r="D43" s="354">
        <f>+NB!X606</f>
        <v>38.5</v>
      </c>
      <c r="E43" s="316" t="str">
        <f>+NB!Z606</f>
        <v xml:space="preserve"> </v>
      </c>
      <c r="F43" s="316"/>
      <c r="G43" s="319" t="str">
        <f>+NB!AA606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TEXT(NB!V607,"#0")&amp;"                      "&amp;TEXT(NB!Y607,"#0")&amp;"   "</f>
        <v xml:space="preserve">2                      14   </v>
      </c>
      <c r="C44" s="388">
        <f>+NB!W607</f>
        <v>38</v>
      </c>
      <c r="D44" s="355">
        <f>+NB!X607</f>
        <v>36.5</v>
      </c>
      <c r="E44" s="179" t="str">
        <f>+NB!Z607</f>
        <v xml:space="preserve"> </v>
      </c>
      <c r="F44" s="179"/>
      <c r="G44" s="311" t="str">
        <f>+NB!AA607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TEXT(NB!V608,"#0")&amp;"                      "&amp;TEXT(NB!Y608,"#0")&amp;"   "</f>
        <v xml:space="preserve">2                      13   </v>
      </c>
      <c r="C45" s="389">
        <f>+NB!W608</f>
        <v>36</v>
      </c>
      <c r="D45" s="356">
        <f>+NB!X608</f>
        <v>34.5</v>
      </c>
      <c r="E45" s="318" t="str">
        <f>+NB!Z608</f>
        <v xml:space="preserve"> </v>
      </c>
      <c r="F45" s="318"/>
      <c r="G45" s="320" t="str">
        <f>+NB!AA608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TEXT(NB!V609,"#0")&amp;"                      "&amp;TEXT(NB!Y609,"#0")&amp;"   "</f>
        <v xml:space="preserve">2                      12   </v>
      </c>
      <c r="C46" s="388">
        <f>+NB!W609</f>
        <v>34</v>
      </c>
      <c r="D46" s="355">
        <f>+NB!X609</f>
        <v>32.5</v>
      </c>
      <c r="E46" s="179" t="str">
        <f>+NB!Z609</f>
        <v xml:space="preserve"> </v>
      </c>
      <c r="F46" s="179"/>
      <c r="G46" s="311" t="str">
        <f>+NB!AA609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TEXT(NB!V610,"#0")&amp;"                      "&amp;TEXT(NB!Y610,"#0")&amp;"   "</f>
        <v xml:space="preserve">2                      11   </v>
      </c>
      <c r="C47" s="388">
        <f>+NB!W610</f>
        <v>32</v>
      </c>
      <c r="D47" s="355">
        <f>+NB!X610</f>
        <v>30.5</v>
      </c>
      <c r="E47" s="179" t="str">
        <f>+NB!Z610</f>
        <v xml:space="preserve"> </v>
      </c>
      <c r="F47" s="179"/>
      <c r="G47" s="311" t="str">
        <f>+NB!AA610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TEXT(NB!V611,"#0")&amp;"                      "&amp;TEXT(NB!Y611,"#0")&amp;"   "</f>
        <v xml:space="preserve">2                      10   </v>
      </c>
      <c r="C48" s="388">
        <f>+NB!W611</f>
        <v>30</v>
      </c>
      <c r="D48" s="355">
        <f>+NB!X611</f>
        <v>28.5</v>
      </c>
      <c r="E48" s="179" t="str">
        <f>+NB!Z611</f>
        <v xml:space="preserve"> </v>
      </c>
      <c r="F48" s="179"/>
      <c r="G48" s="311" t="str">
        <f>+NB!AA611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TEXT(NB!V612,"#0")&amp;"                        "&amp;TEXT(NB!Y612,"#0")&amp;"   "</f>
        <v xml:space="preserve">2                        9   </v>
      </c>
      <c r="C49" s="387">
        <f>+NB!W612</f>
        <v>28</v>
      </c>
      <c r="D49" s="354">
        <f>+NB!X612</f>
        <v>26.5</v>
      </c>
      <c r="E49" s="316" t="str">
        <f>+NB!Z612</f>
        <v xml:space="preserve"> </v>
      </c>
      <c r="F49" s="316"/>
      <c r="G49" s="319" t="str">
        <f>+NB!AA612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TEXT(NB!V613,"#0")&amp;"                        "&amp;TEXT(NB!Y613,"#0")&amp;"   "</f>
        <v xml:space="preserve">2                        8   </v>
      </c>
      <c r="C50" s="388">
        <f>+NB!W613</f>
        <v>26</v>
      </c>
      <c r="D50" s="355">
        <f>+NB!X613</f>
        <v>24.5</v>
      </c>
      <c r="E50" s="179" t="str">
        <f>+NB!Z613</f>
        <v xml:space="preserve"> </v>
      </c>
      <c r="F50" s="179"/>
      <c r="G50" s="311" t="str">
        <f>+NB!AA613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TEXT(NB!V614,"#0")&amp;"                        "&amp;TEXT(NB!Y614,"#0")&amp;"   "</f>
        <v xml:space="preserve">2                        7   </v>
      </c>
      <c r="C51" s="389">
        <f>+NB!W614</f>
        <v>24</v>
      </c>
      <c r="D51" s="356">
        <f>+NB!X614</f>
        <v>22.5</v>
      </c>
      <c r="E51" s="318" t="str">
        <f>+NB!Z614</f>
        <v xml:space="preserve"> </v>
      </c>
      <c r="F51" s="318"/>
      <c r="G51" s="320" t="str">
        <f>+NB!AA614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TEXT(NB!V615,"#0")&amp;"                        "&amp;TEXT(NB!Y615,"#0")&amp;"   "</f>
        <v xml:space="preserve">2                        6   </v>
      </c>
      <c r="C52" s="388">
        <f>+NB!W615</f>
        <v>22</v>
      </c>
      <c r="D52" s="355">
        <f>+NB!X615</f>
        <v>20.5</v>
      </c>
      <c r="E52" s="179" t="str">
        <f>+NB!Z615</f>
        <v xml:space="preserve"> </v>
      </c>
      <c r="F52" s="179"/>
      <c r="G52" s="311" t="str">
        <f>+NB!AA615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TEXT(NB!V616,"#0")&amp;"                        "&amp;TEXT(NB!Y616,"#0")&amp;"   "</f>
        <v xml:space="preserve">2                        5   </v>
      </c>
      <c r="C53" s="388">
        <f>+NB!W616</f>
        <v>20</v>
      </c>
      <c r="D53" s="355">
        <f>+NB!X616</f>
        <v>18.5</v>
      </c>
      <c r="E53" s="179" t="str">
        <f>+NB!Z616</f>
        <v xml:space="preserve"> </v>
      </c>
      <c r="F53" s="179"/>
      <c r="G53" s="311" t="str">
        <f>+NB!AA616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TEXT(NB!V617,"#0")&amp;"                        "&amp;TEXT(NB!Y617,"#0")&amp;"   "</f>
        <v xml:space="preserve">2                        4   </v>
      </c>
      <c r="C54" s="388">
        <f>+NB!W617</f>
        <v>18</v>
      </c>
      <c r="D54" s="355">
        <f>+NB!X617</f>
        <v>16.5</v>
      </c>
      <c r="E54" s="179" t="str">
        <f>+NB!Z617</f>
        <v xml:space="preserve"> </v>
      </c>
      <c r="F54" s="179"/>
      <c r="G54" s="311" t="str">
        <f>+NB!AA617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TEXT(NB!V618,"#0")&amp;"                        "&amp;TEXT(NB!Y618,"#0")&amp;"   "</f>
        <v xml:space="preserve">3                        3   </v>
      </c>
      <c r="C55" s="387">
        <f>+NB!W618</f>
        <v>16</v>
      </c>
      <c r="D55" s="354">
        <f>+NB!X618</f>
        <v>13.5</v>
      </c>
      <c r="E55" s="316" t="str">
        <f>+NB!Z618</f>
        <v xml:space="preserve"> </v>
      </c>
      <c r="F55" s="316"/>
      <c r="G55" s="319" t="str">
        <f>+NB!AA618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TEXT(NB!V619,"#0")&amp;"                        "&amp;TEXT(NB!Y619,"#0")&amp;"   "</f>
        <v xml:space="preserve">3                        2   </v>
      </c>
      <c r="C56" s="388">
        <f>+NB!W619</f>
        <v>13</v>
      </c>
      <c r="D56" s="355">
        <f>+NB!X619</f>
        <v>11</v>
      </c>
      <c r="E56" s="179" t="str">
        <f>+NB!Z619</f>
        <v xml:space="preserve"> </v>
      </c>
      <c r="F56" s="179"/>
      <c r="G56" s="311" t="str">
        <f>+NB!AA619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TEXT(NB!V620,"#0")&amp;"                        "&amp;TEXT(NB!Y620,"#0")&amp;"   "</f>
        <v xml:space="preserve">3                        1   </v>
      </c>
      <c r="C57" s="389">
        <f>+NB!W620</f>
        <v>10.5</v>
      </c>
      <c r="D57" s="356">
        <f>+NB!X620</f>
        <v>8</v>
      </c>
      <c r="E57" s="318" t="str">
        <f>+NB!Z620</f>
        <v xml:space="preserve"> </v>
      </c>
      <c r="F57" s="318"/>
      <c r="G57" s="320" t="str">
        <f>+NB!AA620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TEXT(NB!V621,"#0")&amp;"                        "&amp;TEXT(NB!Y621,"#0")&amp;"   "</f>
        <v xml:space="preserve">8                        0   </v>
      </c>
      <c r="C58" s="390">
        <f>+NB!W621</f>
        <v>7.5</v>
      </c>
      <c r="D58" s="357">
        <f>+NB!X621</f>
        <v>0</v>
      </c>
      <c r="E58" s="313" t="str">
        <f>+NB!Z621</f>
        <v xml:space="preserve"> </v>
      </c>
      <c r="F58" s="313"/>
      <c r="G58" s="314" t="str">
        <f>+NB!AA621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7" right="0.52" top="0.53" bottom="0.46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H45" sqref="H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63</v>
      </c>
      <c r="C1" s="256" t="str">
        <f>IF(Notenbogen!F1="","",Notenbogen!F1)</f>
        <v/>
      </c>
      <c r="D1" s="257"/>
      <c r="E1" s="227"/>
      <c r="F1" s="229" t="s">
        <v>27</v>
      </c>
      <c r="G1" s="493">
        <v>40942</v>
      </c>
      <c r="H1" s="494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IF(D4="","",IF($H$3="BE",LOOKUP(IF(E4="",D4+0.01,D4*$H$30/E4+0.5),NB!$X$724:$X$739,NB!$Y$724:$Y$739),D4))</f>
        <v/>
      </c>
      <c r="D4" s="33"/>
      <c r="E4" s="291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IF(D5="","",IF($H$3="BE",LOOKUP(IF(E5="",D5+0.01,D5*$H$30/E5+0.5),NB!$X$724:$X$739,NB!$Y$724:$Y$739),D5))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IF(D6="","",IF($H$3="BE",LOOKUP(IF(E6="",D6+0.01,D6*$H$30/E6+0.5),NB!$X$724:$X$739,NB!$Y$724:$Y$739),D6))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IF(D7="","",IF($H$3="BE",LOOKUP(IF(E7="",D7+0.01,D7*$H$30/E7+0.5),NB!$X$724:$X$739,NB!$Y$724:$Y$739),D7))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IF(D8="","",IF($H$3="BE",LOOKUP(IF(E8="",D8+0.01,D8*$H$30/E8+0.5),NB!$X$724:$X$739,NB!$Y$724:$Y$739),D8))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268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IF(D9="","",IF($H$3="BE",LOOKUP(IF(E9="",D9+0.01,D9*$H$30/E9+0.5),NB!$X$724:$X$739,NB!$Y$724:$Y$739),D9))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92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IF(D10="","",IF($H$3="BE",LOOKUP(IF(E10="",D10+0.01,D10*$H$30/E10+0.5),NB!$X$724:$X$739,NB!$Y$724:$Y$739),D10))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IF(D11="","",IF($H$3="BE",LOOKUP(IF(E11="",D11+0.01,D11*$H$30/E11+0.5),NB!$X$724:$X$739,NB!$Y$724:$Y$739),D11))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268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IF(D12="","",IF($H$3="BE",LOOKUP(IF(E12="",D12+0.01,D12*$H$30/E12+0.5),NB!$X$724:$X$739,NB!$Y$724:$Y$739),D12))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92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IF(D13="","",IF($H$3="BE",LOOKUP(IF(E13="",D13+0.01,D13*$H$30/E13+0.5),NB!$X$724:$X$739,NB!$Y$724:$Y$739),D13))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IF(D14="","",IF($H$3="BE",LOOKUP(IF(E14="",D14+0.01,D14*$H$30/E14+0.5),NB!$X$724:$X$739,NB!$Y$724:$Y$739),D14))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268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IF(D15="","",IF($H$3="BE",LOOKUP(IF(E15="",D15+0.01,D15*$H$30/E15+0.5),NB!$X$724:$X$739,NB!$Y$724:$Y$739),D15))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92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IF(D16="","",IF($H$3="BE",LOOKUP(IF(E16="",D16+0.01,D16*$H$30/E16+0.5),NB!$X$724:$X$739,NB!$Y$724:$Y$739),D16))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IF(D17="","",IF($H$3="BE",LOOKUP(IF(E17="",D17+0.01,D17*$H$30/E17+0.5),NB!$X$724:$X$739,NB!$Y$724:$Y$739),D17))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268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IF(D18="","",IF($H$3="BE",LOOKUP(IF(E18="",D18+0.01,D18*$H$30/E18+0.5),NB!$X$724:$X$739,NB!$Y$724:$Y$739),D18))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92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IF(D19="","",IF($H$3="BE",LOOKUP(IF(E19="",D19+0.01,D19*$H$30/E19+0.5),NB!$X$724:$X$739,NB!$Y$724:$Y$739),D19))</f>
        <v/>
      </c>
      <c r="D19" s="33"/>
      <c r="E19" s="291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IF(D20="","",IF($H$3="BE",LOOKUP(IF(E20="",D20+0.01,D20*$H$30/E20+0.5),NB!$X$724:$X$739,NB!$Y$724:$Y$739),D20))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IF(D21="","",IF($H$3="BE",LOOKUP(IF(E21="",D21+0.01,D21*$H$30/E21+0.5),NB!$X$724:$X$739,NB!$Y$724:$Y$739),D21))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IF(D22="","",IF($H$3="BE",LOOKUP(IF(E22="",D22+0.01,D22*$H$30/E22+0.5),NB!$X$724:$X$739,NB!$Y$724:$Y$739),D22))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IF(D23="","",IF($H$3="BE",LOOKUP(IF(E23="",D23+0.01,D23*$H$30/E23+0.5),NB!$X$724:$X$739,NB!$Y$724:$Y$739),D23))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IF(D24="","",IF($H$3="BE",LOOKUP(IF(E24="",D24+0.01,D24*$H$30/E24+0.5),NB!$X$724:$X$739,NB!$Y$724:$Y$739),D24))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IF(D25="","",IF($H$3="BE",LOOKUP(IF(E25="",D25+0.01,D25*$H$30/E25+0.5),NB!$X$724:$X$739,NB!$Y$724:$Y$739),D25))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IF(D26="","",IF($H$3="BE",LOOKUP(IF(E26="",D26+0.01,D26*$H$30/E26+0.5),NB!$X$724:$X$739,NB!$Y$724:$Y$739),D26))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IF(D27="","",IF($H$3="BE",LOOKUP(IF(E27="",D27+0.01,D27*$H$30/E27+0.5),NB!$X$724:$X$739,NB!$Y$724:$Y$739),D27))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IF(D28="","",IF($H$3="BE",LOOKUP(IF(E28="",D28+0.01,D28*$H$30/E28+0.5),NB!$X$724:$X$739,NB!$Y$724:$Y$739),D28))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IF(D29="","",IF($H$3="BE",LOOKUP(IF(E29="",D29+0.01,D29*$H$30/E29+0.5),NB!$X$724:$X$739,NB!$Y$724:$Y$739),D29))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IF(D30="","",IF($H$3="BE",LOOKUP(IF(E30="",D30+0.01,D30*$H$30/E30+0.5),NB!$X$724:$X$739,NB!$Y$724:$Y$739),D30))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IF(D31="","",IF($H$3="BE",LOOKUP(IF(E31="",D31+0.01,D31*$H$30/E31+0.5),NB!$X$724:$X$739,NB!$Y$724:$Y$739),D31))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IF(D32="","",IF($H$3="BE",LOOKUP(IF(E32="",D32+0.01,D32*$H$30/E32+0.5),NB!$X$724:$X$739,NB!$Y$724:$Y$739),D32))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IF(D33="","",IF($H$3="BE",LOOKUP(IF(E33="",D33+0.01,D33*$H$30/E33+0.5),NB!$X$724:$X$739,NB!$Y$724:$Y$739),D33))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IF(D34="","",IF($H$3="BE",LOOKUP(IF(E34="",D34+0.01,D34*$H$30/E34+0.5),NB!$X$724:$X$739,NB!$Y$724:$Y$739),D34))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IF(D35="","",IF($H$3="BE",LOOKUP(IF(E35="",D35+0.01,D35*$H$30/E35+0.5),NB!$X$724:$X$739,NB!$Y$724:$Y$739),D35))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IF(D36="","",IF($H$3="BE",LOOKUP(IF(E36="",D36+0.01,D36*$H$30/E36+0.5),NB!$X$724:$X$739,NB!$Y$724:$Y$739),D36))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IF(D37="","",IF($H$3="BE",LOOKUP(IF(E37="",D37+0.01,D37*$H$30/E37+0.5),NB!$X$724:$X$739,NB!$Y$724:$Y$739),D37))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IF(D38="","",IF($H$3="BE",LOOKUP(IF(E38="",D38+0.01,D38*$H$30/E38+0.5),NB!$X$724:$X$739,NB!$Y$724:$Y$739),D38))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TEXT(NB!V706,"#0")&amp;"                      "&amp;TEXT(NB!Y706,"#0")&amp;"   "</f>
        <v xml:space="preserve">2                      15   </v>
      </c>
      <c r="C43" s="387">
        <f>+NB!W706</f>
        <v>40</v>
      </c>
      <c r="D43" s="354">
        <f>+NB!X706</f>
        <v>38.5</v>
      </c>
      <c r="E43" s="316" t="str">
        <f>+NB!Z706</f>
        <v xml:space="preserve"> </v>
      </c>
      <c r="F43" s="316"/>
      <c r="G43" s="319" t="str">
        <f>+NB!AA706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TEXT(NB!V707,"#0")&amp;"                      "&amp;TEXT(NB!Y707,"#0")&amp;"   "</f>
        <v xml:space="preserve">2                      14   </v>
      </c>
      <c r="C44" s="388">
        <f>+NB!W707</f>
        <v>38</v>
      </c>
      <c r="D44" s="355">
        <f>+NB!X707</f>
        <v>36.5</v>
      </c>
      <c r="E44" s="179" t="str">
        <f>+NB!Z707</f>
        <v xml:space="preserve"> </v>
      </c>
      <c r="F44" s="179"/>
      <c r="G44" s="311" t="str">
        <f>+NB!AA707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TEXT(NB!V708,"#0")&amp;"                      "&amp;TEXT(NB!Y708,"#0")&amp;"   "</f>
        <v xml:space="preserve">2                      13   </v>
      </c>
      <c r="C45" s="389">
        <f>+NB!W708</f>
        <v>36</v>
      </c>
      <c r="D45" s="356">
        <f>+NB!X708</f>
        <v>34.5</v>
      </c>
      <c r="E45" s="318" t="str">
        <f>+NB!Z708</f>
        <v xml:space="preserve"> </v>
      </c>
      <c r="F45" s="318"/>
      <c r="G45" s="320" t="str">
        <f>+NB!AA708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TEXT(NB!V709,"#0")&amp;"                      "&amp;TEXT(NB!Y709,"#0")&amp;"   "</f>
        <v xml:space="preserve">2                      12   </v>
      </c>
      <c r="C46" s="388">
        <f>+NB!W709</f>
        <v>34</v>
      </c>
      <c r="D46" s="355">
        <f>+NB!X709</f>
        <v>32.5</v>
      </c>
      <c r="E46" s="179" t="str">
        <f>+NB!Z709</f>
        <v xml:space="preserve"> </v>
      </c>
      <c r="F46" s="179"/>
      <c r="G46" s="311" t="str">
        <f>+NB!AA709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TEXT(NB!V710,"#0")&amp;"                      "&amp;TEXT(NB!Y710,"#0")&amp;"   "</f>
        <v xml:space="preserve">2                      11   </v>
      </c>
      <c r="C47" s="388">
        <f>+NB!W710</f>
        <v>32</v>
      </c>
      <c r="D47" s="355">
        <f>+NB!X710</f>
        <v>30.5</v>
      </c>
      <c r="E47" s="179" t="str">
        <f>+NB!Z710</f>
        <v xml:space="preserve"> </v>
      </c>
      <c r="F47" s="179"/>
      <c r="G47" s="311" t="str">
        <f>+NB!AA710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TEXT(NB!V711,"#0")&amp;"                      "&amp;TEXT(NB!Y711,"#0")&amp;"   "</f>
        <v xml:space="preserve">2                      10   </v>
      </c>
      <c r="C48" s="388">
        <f>+NB!W711</f>
        <v>30</v>
      </c>
      <c r="D48" s="355">
        <f>+NB!X711</f>
        <v>28.5</v>
      </c>
      <c r="E48" s="179" t="str">
        <f>+NB!Z711</f>
        <v xml:space="preserve"> </v>
      </c>
      <c r="F48" s="179"/>
      <c r="G48" s="311" t="str">
        <f>+NB!AA711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TEXT(NB!V712,"#0")&amp;"                        "&amp;TEXT(NB!Y712,"#0")&amp;"   "</f>
        <v xml:space="preserve">2                        9   </v>
      </c>
      <c r="C49" s="387">
        <f>+NB!W712</f>
        <v>28</v>
      </c>
      <c r="D49" s="354">
        <f>+NB!X712</f>
        <v>26.5</v>
      </c>
      <c r="E49" s="316" t="str">
        <f>+NB!Z712</f>
        <v xml:space="preserve"> </v>
      </c>
      <c r="F49" s="316"/>
      <c r="G49" s="319" t="str">
        <f>+NB!AA712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TEXT(NB!V713,"#0")&amp;"                        "&amp;TEXT(NB!Y713,"#0")&amp;"   "</f>
        <v xml:space="preserve">2                        8   </v>
      </c>
      <c r="C50" s="388">
        <f>+NB!W713</f>
        <v>26</v>
      </c>
      <c r="D50" s="355">
        <f>+NB!X713</f>
        <v>24.5</v>
      </c>
      <c r="E50" s="179" t="str">
        <f>+NB!Z713</f>
        <v xml:space="preserve"> </v>
      </c>
      <c r="F50" s="179"/>
      <c r="G50" s="311" t="str">
        <f>+NB!AA713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TEXT(NB!V714,"#0")&amp;"                        "&amp;TEXT(NB!Y714,"#0")&amp;"   "</f>
        <v xml:space="preserve">2                        7   </v>
      </c>
      <c r="C51" s="389">
        <f>+NB!W714</f>
        <v>24</v>
      </c>
      <c r="D51" s="356">
        <f>+NB!X714</f>
        <v>22.5</v>
      </c>
      <c r="E51" s="318" t="str">
        <f>+NB!Z714</f>
        <v xml:space="preserve"> </v>
      </c>
      <c r="F51" s="318"/>
      <c r="G51" s="320" t="str">
        <f>+NB!AA714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TEXT(NB!V715,"#0")&amp;"                        "&amp;TEXT(NB!Y715,"#0")&amp;"   "</f>
        <v xml:space="preserve">2                        6   </v>
      </c>
      <c r="C52" s="388">
        <f>+NB!W715</f>
        <v>22</v>
      </c>
      <c r="D52" s="355">
        <f>+NB!X715</f>
        <v>20.5</v>
      </c>
      <c r="E52" s="179" t="str">
        <f>+NB!Z715</f>
        <v xml:space="preserve"> </v>
      </c>
      <c r="F52" s="179"/>
      <c r="G52" s="311" t="str">
        <f>+NB!AA715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TEXT(NB!V716,"#0")&amp;"                        "&amp;TEXT(NB!Y716,"#0")&amp;"   "</f>
        <v xml:space="preserve">2                        5   </v>
      </c>
      <c r="C53" s="388">
        <f>+NB!W716</f>
        <v>20</v>
      </c>
      <c r="D53" s="355">
        <f>+NB!X716</f>
        <v>18.5</v>
      </c>
      <c r="E53" s="179" t="str">
        <f>+NB!Z716</f>
        <v xml:space="preserve"> </v>
      </c>
      <c r="F53" s="179"/>
      <c r="G53" s="311" t="str">
        <f>+NB!AA716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TEXT(NB!V717,"#0")&amp;"                        "&amp;TEXT(NB!Y717,"#0")&amp;"   "</f>
        <v xml:space="preserve">2                        4   </v>
      </c>
      <c r="C54" s="388">
        <f>+NB!W717</f>
        <v>18</v>
      </c>
      <c r="D54" s="355">
        <f>+NB!X717</f>
        <v>16.5</v>
      </c>
      <c r="E54" s="179" t="str">
        <f>+NB!Z717</f>
        <v xml:space="preserve"> </v>
      </c>
      <c r="F54" s="179"/>
      <c r="G54" s="311" t="str">
        <f>+NB!AA717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TEXT(NB!V718,"#0")&amp;"                        "&amp;TEXT(NB!Y718,"#0")&amp;"   "</f>
        <v xml:space="preserve">3                        3   </v>
      </c>
      <c r="C55" s="387">
        <f>+NB!W718</f>
        <v>16</v>
      </c>
      <c r="D55" s="354">
        <f>+NB!X718</f>
        <v>13.5</v>
      </c>
      <c r="E55" s="316" t="str">
        <f>+NB!Z718</f>
        <v xml:space="preserve"> </v>
      </c>
      <c r="F55" s="316"/>
      <c r="G55" s="319" t="str">
        <f>+NB!AA718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TEXT(NB!V719,"#0")&amp;"                        "&amp;TEXT(NB!Y719,"#0")&amp;"   "</f>
        <v xml:space="preserve">3                        2   </v>
      </c>
      <c r="C56" s="388">
        <f>+NB!W719</f>
        <v>13</v>
      </c>
      <c r="D56" s="355">
        <f>+NB!X719</f>
        <v>11</v>
      </c>
      <c r="E56" s="179" t="str">
        <f>+NB!Z719</f>
        <v xml:space="preserve"> </v>
      </c>
      <c r="F56" s="179"/>
      <c r="G56" s="311" t="str">
        <f>+NB!AA719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TEXT(NB!V720,"#0")&amp;"                        "&amp;TEXT(NB!Y720,"#0")&amp;"   "</f>
        <v xml:space="preserve">3                        1   </v>
      </c>
      <c r="C57" s="389">
        <f>+NB!W720</f>
        <v>10.5</v>
      </c>
      <c r="D57" s="356">
        <f>+NB!X720</f>
        <v>8</v>
      </c>
      <c r="E57" s="318" t="str">
        <f>+NB!Z720</f>
        <v xml:space="preserve"> </v>
      </c>
      <c r="F57" s="318"/>
      <c r="G57" s="320" t="str">
        <f>+NB!AA720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TEXT(NB!V721,"#0")&amp;"                        "&amp;TEXT(NB!Y721,"#0")&amp;"   "</f>
        <v xml:space="preserve">8                        0   </v>
      </c>
      <c r="C58" s="390">
        <f>+NB!W721</f>
        <v>7.5</v>
      </c>
      <c r="D58" s="357">
        <f>+NB!X721</f>
        <v>0</v>
      </c>
      <c r="E58" s="313" t="str">
        <f>+NB!Z721</f>
        <v xml:space="preserve"> </v>
      </c>
      <c r="F58" s="313"/>
      <c r="G58" s="314" t="str">
        <f>+NB!AA721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64</v>
      </c>
      <c r="C1" s="256" t="str">
        <f>IF(Notenbogen!F1="","",Notenbogen!F1)</f>
        <v/>
      </c>
      <c r="D1" s="257"/>
      <c r="E1" s="227"/>
      <c r="F1" s="229" t="s">
        <v>27</v>
      </c>
      <c r="G1" s="493">
        <v>41082</v>
      </c>
      <c r="H1" s="494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IF(D4="","",IF($H$3="BE",LOOKUP(IF(E4="",D4+0.01,D4*$H$30/E4+0.5),NB!$X$824:$X$839,NB!$Y$824:$Y$839),D4))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L4" s="235"/>
      <c r="M4" s="344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IF(D5="","",IF($H$3="BE",LOOKUP(IF(E5="",D5+0.01,D5*$H$30/E5+0.5),NB!$X$824:$X$839,NB!$Y$824:$Y$839),D5))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IF(D6="","",IF($H$3="BE",LOOKUP(IF(E6="",D6+0.01,D6*$H$30/E6+0.5),NB!$X$824:$X$839,NB!$Y$824:$Y$839),D6))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IF(D7="","",IF($H$3="BE",LOOKUP(IF(E7="",D7+0.01,D7*$H$30/E7+0.5),NB!$X$824:$X$839,NB!$Y$824:$Y$839),D7))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IF(D8="","",IF($H$3="BE",LOOKUP(IF(E8="",D8+0.01,D8*$H$30/E8+0.5),NB!$X$824:$X$839,NB!$Y$824:$Y$839),D8))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IF(D9="","",IF($H$3="BE",LOOKUP(IF(E9="",D9+0.01,D9*$H$30/E9+0.5),NB!$X$824:$X$839,NB!$Y$824:$Y$839),D9))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IF(D10="","",IF($H$3="BE",LOOKUP(IF(E10="",D10+0.01,D10*$H$30/E10+0.5),NB!$X$824:$X$839,NB!$Y$824:$Y$839),D10))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IF(D11="","",IF($H$3="BE",LOOKUP(IF(E11="",D11+0.01,D11*$H$30/E11+0.5),NB!$X$824:$X$839,NB!$Y$824:$Y$839),D11))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IF(D12="","",IF($H$3="BE",LOOKUP(IF(E12="",D12+0.01,D12*$H$30/E12+0.5),NB!$X$824:$X$839,NB!$Y$824:$Y$839),D12))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IF(D13="","",IF($H$3="BE",LOOKUP(IF(E13="",D13+0.01,D13*$H$30/E13+0.5),NB!$X$824:$X$839,NB!$Y$824:$Y$839),D13))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IF(D14="","",IF($H$3="BE",LOOKUP(IF(E14="",D14+0.01,D14*$H$30/E14+0.5),NB!$X$824:$X$839,NB!$Y$824:$Y$839),D14))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IF(D15="","",IF($H$3="BE",LOOKUP(IF(E15="",D15+0.01,D15*$H$30/E15+0.5),NB!$X$824:$X$839,NB!$Y$824:$Y$839),D15))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IF(D16="","",IF($H$3="BE",LOOKUP(IF(E16="",D16+0.01,D16*$H$30/E16+0.5),NB!$X$824:$X$839,NB!$Y$824:$Y$839),D16))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IF(D17="","",IF($H$3="BE",LOOKUP(IF(E17="",D17+0.01,D17*$H$30/E17+0.5),NB!$X$824:$X$839,NB!$Y$824:$Y$839),D17))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IF(D18="","",IF($H$3="BE",LOOKUP(IF(E18="",D18+0.01,D18*$H$30/E18+0.5),NB!$X$824:$X$839,NB!$Y$824:$Y$839),D18))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IF(D19="","",IF($H$3="BE",LOOKUP(IF(E19="",D19+0.01,D19*$H$30/E19+0.5),NB!$X$824:$X$839,NB!$Y$824:$Y$839),D19))</f>
        <v/>
      </c>
      <c r="D19" s="33"/>
      <c r="E19" s="142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IF(D20="","",IF($H$3="BE",LOOKUP(IF(E20="",D20+0.01,D20*$H$30/E20+0.5),NB!$X$824:$X$839,NB!$Y$824:$Y$839),D20))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IF(D21="","",IF($H$3="BE",LOOKUP(IF(E21="",D21+0.01,D21*$H$30/E21+0.5),NB!$X$824:$X$839,NB!$Y$824:$Y$839),D21))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IF(D22="","",IF($H$3="BE",LOOKUP(IF(E22="",D22+0.01,D22*$H$30/E22+0.5),NB!$X$824:$X$839,NB!$Y$824:$Y$839),D22))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IF(D23="","",IF($H$3="BE",LOOKUP(IF(E23="",D23+0.01,D23*$H$30/E23+0.5),NB!$X$824:$X$839,NB!$Y$824:$Y$839),D23))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IF(D24="","",IF($H$3="BE",LOOKUP(IF(E24="",D24+0.01,D24*$H$30/E24+0.5),NB!$X$824:$X$839,NB!$Y$824:$Y$839),D24))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IF(D25="","",IF($H$3="BE",LOOKUP(IF(E25="",D25+0.01,D25*$H$30/E25+0.5),NB!$X$824:$X$839,NB!$Y$824:$Y$839),D25))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IF(D26="","",IF($H$3="BE",LOOKUP(IF(E26="",D26+0.01,D26*$H$30/E26+0.5),NB!$X$824:$X$839,NB!$Y$824:$Y$839),D26))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IF(D27="","",IF($H$3="BE",LOOKUP(IF(E27="",D27+0.01,D27*$H$30/E27+0.5),NB!$X$824:$X$839,NB!$Y$824:$Y$839),D27))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IF(D28="","",IF($H$3="BE",LOOKUP(IF(E28="",D28+0.01,D28*$H$30/E28+0.5),NB!$X$824:$X$839,NB!$Y$824:$Y$839),D28))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IF(D29="","",IF($H$3="BE",LOOKUP(IF(E29="",D29+0.01,D29*$H$30/E29+0.5),NB!$X$824:$X$839,NB!$Y$824:$Y$839),D29))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IF(D30="","",IF($H$3="BE",LOOKUP(IF(E30="",D30+0.01,D30*$H$30/E30+0.5),NB!$X$824:$X$839,NB!$Y$824:$Y$839),D30))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IF(D31="","",IF($H$3="BE",LOOKUP(IF(E31="",D31+0.01,D31*$H$30/E31+0.5),NB!$X$824:$X$839,NB!$Y$824:$Y$839),D31))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IF(D32="","",IF($H$3="BE",LOOKUP(IF(E32="",D32+0.01,D32*$H$30/E32+0.5),NB!$X$824:$X$839,NB!$Y$824:$Y$839),D32))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IF(D33="","",IF($H$3="BE",LOOKUP(IF(E33="",D33+0.01,D33*$H$30/E33+0.5),NB!$X$824:$X$839,NB!$Y$824:$Y$839),D33))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IF(D34="","",IF($H$3="BE",LOOKUP(IF(E34="",D34+0.01,D34*$H$30/E34+0.5),NB!$X$824:$X$839,NB!$Y$824:$Y$839),D34))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IF(D35="","",IF($H$3="BE",LOOKUP(IF(E35="",D35+0.01,D35*$H$30/E35+0.5),NB!$X$824:$X$839,NB!$Y$824:$Y$839),D35))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IF(D36="","",IF($H$3="BE",LOOKUP(IF(E36="",D36+0.01,D36*$H$30/E36+0.5),NB!$X$824:$X$839,NB!$Y$824:$Y$839),D36))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IF(D37="","",IF($H$3="BE",LOOKUP(IF(E37="",D37+0.01,D37*$H$30/E37+0.5),NB!$X$824:$X$839,NB!$Y$824:$Y$839),D37))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IF(D38="","",IF($H$3="BE",LOOKUP(IF(E38="",D38+0.01,D38*$H$30/E38+0.5),NB!$X$824:$X$839,NB!$Y$824:$Y$839),D38))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TEXT(NB!V806,"#0")&amp;"                      "&amp;TEXT(NB!Y806,"#0")&amp;"   "</f>
        <v xml:space="preserve">2                      15   </v>
      </c>
      <c r="C43" s="387">
        <f>+NB!W806</f>
        <v>40</v>
      </c>
      <c r="D43" s="354">
        <f>+NB!X806</f>
        <v>38.5</v>
      </c>
      <c r="E43" s="316" t="str">
        <f>+NB!Z806</f>
        <v xml:space="preserve"> </v>
      </c>
      <c r="F43" s="316"/>
      <c r="G43" s="319" t="str">
        <f>+NB!AA806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TEXT(NB!V807,"#0")&amp;"                      "&amp;TEXT(NB!Y807,"#0")&amp;"   "</f>
        <v xml:space="preserve">2                      14   </v>
      </c>
      <c r="C44" s="388">
        <f>+NB!W807</f>
        <v>38</v>
      </c>
      <c r="D44" s="355">
        <f>+NB!X807</f>
        <v>36.5</v>
      </c>
      <c r="E44" s="179" t="str">
        <f>+NB!Z807</f>
        <v xml:space="preserve"> </v>
      </c>
      <c r="F44" s="179"/>
      <c r="G44" s="311" t="str">
        <f>+NB!AA807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TEXT(NB!V808,"#0")&amp;"                      "&amp;TEXT(NB!Y808,"#0")&amp;"   "</f>
        <v xml:space="preserve">2                      13   </v>
      </c>
      <c r="C45" s="389">
        <f>+NB!W808</f>
        <v>36</v>
      </c>
      <c r="D45" s="356">
        <f>+NB!X808</f>
        <v>34.5</v>
      </c>
      <c r="E45" s="318" t="str">
        <f>+NB!Z808</f>
        <v xml:space="preserve"> </v>
      </c>
      <c r="F45" s="318"/>
      <c r="G45" s="320" t="str">
        <f>+NB!AA808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TEXT(NB!V809,"#0")&amp;"                      "&amp;TEXT(NB!Y809,"#0")&amp;"   "</f>
        <v xml:space="preserve">2                      12   </v>
      </c>
      <c r="C46" s="388">
        <f>+NB!W809</f>
        <v>34</v>
      </c>
      <c r="D46" s="355">
        <f>+NB!X809</f>
        <v>32.5</v>
      </c>
      <c r="E46" s="179" t="str">
        <f>+NB!Z809</f>
        <v xml:space="preserve"> </v>
      </c>
      <c r="F46" s="179"/>
      <c r="G46" s="311" t="str">
        <f>+NB!AA809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TEXT(NB!V810,"#0")&amp;"                      "&amp;TEXT(NB!Y810,"#0")&amp;"   "</f>
        <v xml:space="preserve">2                      11   </v>
      </c>
      <c r="C47" s="388">
        <f>+NB!W810</f>
        <v>32</v>
      </c>
      <c r="D47" s="355">
        <f>+NB!X810</f>
        <v>30.5</v>
      </c>
      <c r="E47" s="179" t="str">
        <f>+NB!Z810</f>
        <v xml:space="preserve"> </v>
      </c>
      <c r="F47" s="179"/>
      <c r="G47" s="311" t="str">
        <f>+NB!AA810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TEXT(NB!V811,"#0")&amp;"                      "&amp;TEXT(NB!Y811,"#0")&amp;"   "</f>
        <v xml:space="preserve">2                      10   </v>
      </c>
      <c r="C48" s="388">
        <f>+NB!W811</f>
        <v>30</v>
      </c>
      <c r="D48" s="355">
        <f>+NB!X811</f>
        <v>28.5</v>
      </c>
      <c r="E48" s="179" t="str">
        <f>+NB!Z811</f>
        <v xml:space="preserve"> </v>
      </c>
      <c r="F48" s="179"/>
      <c r="G48" s="311" t="str">
        <f>+NB!AA811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TEXT(NB!V812,"#0")&amp;"                        "&amp;TEXT(NB!Y812,"#0")&amp;"   "</f>
        <v xml:space="preserve">2                        9   </v>
      </c>
      <c r="C49" s="387">
        <f>+NB!W812</f>
        <v>28</v>
      </c>
      <c r="D49" s="354">
        <f>+NB!X812</f>
        <v>26.5</v>
      </c>
      <c r="E49" s="316" t="str">
        <f>+NB!Z812</f>
        <v xml:space="preserve"> </v>
      </c>
      <c r="F49" s="316"/>
      <c r="G49" s="319" t="str">
        <f>+NB!AA812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TEXT(NB!V813,"#0")&amp;"                        "&amp;TEXT(NB!Y813,"#0")&amp;"   "</f>
        <v xml:space="preserve">2                        8   </v>
      </c>
      <c r="C50" s="388">
        <f>+NB!W813</f>
        <v>26</v>
      </c>
      <c r="D50" s="355">
        <f>+NB!X813</f>
        <v>24.5</v>
      </c>
      <c r="E50" s="179" t="str">
        <f>+NB!Z813</f>
        <v xml:space="preserve"> </v>
      </c>
      <c r="F50" s="179"/>
      <c r="G50" s="311" t="str">
        <f>+NB!AA813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TEXT(NB!V814,"#0")&amp;"                        "&amp;TEXT(NB!Y814,"#0")&amp;"   "</f>
        <v xml:space="preserve">2                        7   </v>
      </c>
      <c r="C51" s="389">
        <f>+NB!W814</f>
        <v>24</v>
      </c>
      <c r="D51" s="356">
        <f>+NB!X814</f>
        <v>22.5</v>
      </c>
      <c r="E51" s="318" t="str">
        <f>+NB!Z814</f>
        <v xml:space="preserve"> </v>
      </c>
      <c r="F51" s="318"/>
      <c r="G51" s="320" t="str">
        <f>+NB!AA814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TEXT(NB!V815,"#0")&amp;"                        "&amp;TEXT(NB!Y815,"#0")&amp;"   "</f>
        <v xml:space="preserve">2                        6   </v>
      </c>
      <c r="C52" s="388">
        <f>+NB!W815</f>
        <v>22</v>
      </c>
      <c r="D52" s="355">
        <f>+NB!X815</f>
        <v>20.5</v>
      </c>
      <c r="E52" s="179" t="str">
        <f>+NB!Z815</f>
        <v xml:space="preserve"> </v>
      </c>
      <c r="F52" s="179"/>
      <c r="G52" s="311" t="str">
        <f>+NB!AA815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TEXT(NB!V816,"#0")&amp;"                        "&amp;TEXT(NB!Y816,"#0")&amp;"   "</f>
        <v xml:space="preserve">2                        5   </v>
      </c>
      <c r="C53" s="388">
        <f>+NB!W816</f>
        <v>20</v>
      </c>
      <c r="D53" s="355">
        <f>+NB!X816</f>
        <v>18.5</v>
      </c>
      <c r="E53" s="179" t="str">
        <f>+NB!Z816</f>
        <v xml:space="preserve"> </v>
      </c>
      <c r="F53" s="179"/>
      <c r="G53" s="311" t="str">
        <f>+NB!AA816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TEXT(NB!V817,"#0")&amp;"                        "&amp;TEXT(NB!Y817,"#0")&amp;"   "</f>
        <v xml:space="preserve">2                        4   </v>
      </c>
      <c r="C54" s="388">
        <f>+NB!W817</f>
        <v>18</v>
      </c>
      <c r="D54" s="355">
        <f>+NB!X817</f>
        <v>16.5</v>
      </c>
      <c r="E54" s="179" t="str">
        <f>+NB!Z817</f>
        <v xml:space="preserve"> </v>
      </c>
      <c r="F54" s="179"/>
      <c r="G54" s="311" t="str">
        <f>+NB!AA817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TEXT(NB!V818,"#0")&amp;"                        "&amp;TEXT(NB!Y818,"#0")&amp;"   "</f>
        <v xml:space="preserve">3                        3   </v>
      </c>
      <c r="C55" s="387">
        <f>+NB!W818</f>
        <v>16</v>
      </c>
      <c r="D55" s="354">
        <f>+NB!X818</f>
        <v>13.5</v>
      </c>
      <c r="E55" s="316" t="str">
        <f>+NB!Z818</f>
        <v xml:space="preserve"> </v>
      </c>
      <c r="F55" s="316"/>
      <c r="G55" s="319" t="str">
        <f>+NB!AA818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TEXT(NB!V819,"#0")&amp;"                        "&amp;TEXT(NB!Y819,"#0")&amp;"   "</f>
        <v xml:space="preserve">3                        2   </v>
      </c>
      <c r="C56" s="388">
        <f>+NB!W819</f>
        <v>13</v>
      </c>
      <c r="D56" s="355">
        <f>+NB!X819</f>
        <v>11</v>
      </c>
      <c r="E56" s="179" t="str">
        <f>+NB!Z819</f>
        <v xml:space="preserve"> </v>
      </c>
      <c r="F56" s="179"/>
      <c r="G56" s="311" t="str">
        <f>+NB!AA819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TEXT(NB!V820,"#0")&amp;"                        "&amp;TEXT(NB!Y820,"#0")&amp;"   "</f>
        <v xml:space="preserve">3                        1   </v>
      </c>
      <c r="C57" s="389">
        <f>+NB!W820</f>
        <v>10.5</v>
      </c>
      <c r="D57" s="356">
        <f>+NB!X820</f>
        <v>8</v>
      </c>
      <c r="E57" s="318" t="str">
        <f>+NB!Z820</f>
        <v xml:space="preserve"> </v>
      </c>
      <c r="F57" s="318"/>
      <c r="G57" s="320" t="str">
        <f>+NB!AA820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TEXT(NB!V821,"#0")&amp;"                        "&amp;TEXT(NB!Y821,"#0")&amp;"   "</f>
        <v xml:space="preserve">8                        0   </v>
      </c>
      <c r="C58" s="390">
        <f>+NB!W821</f>
        <v>7.5</v>
      </c>
      <c r="D58" s="357">
        <f>+NB!X821</f>
        <v>0</v>
      </c>
      <c r="E58" s="313" t="str">
        <f>+NB!Z821</f>
        <v xml:space="preserve"> </v>
      </c>
      <c r="F58" s="313"/>
      <c r="G58" s="314" t="str">
        <f>+NB!AA821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65</v>
      </c>
      <c r="C1" s="219" t="str">
        <f>IF(Notenbogen!F1="","",Notenbogen!F1)</f>
        <v/>
      </c>
      <c r="D1" s="226"/>
      <c r="E1" s="8"/>
      <c r="F1" s="216" t="s">
        <v>27</v>
      </c>
      <c r="G1" s="494"/>
      <c r="H1" s="494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32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IF(D4="","",IF($H$3="BE",LOOKUP(IF(E4="",D4+0.01,D4*$H$30/E4+0.5),NB!$X$924:$X$939,NB!$Y$924:$Y$939),D4))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IF(D5="","",IF($H$3="BE",LOOKUP(IF(E5="",D5+0.01,D5*$H$30/E5+0.5),NB!$X$924:$X$939,NB!$Y$924:$Y$939),D5))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IF(D6="","",IF($H$3="BE",LOOKUP(IF(E6="",D6+0.01,D6*$H$30/E6+0.5),NB!$X$924:$X$939,NB!$Y$924:$Y$939),D6))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IF(D7="","",IF($H$3="BE",LOOKUP(IF(E7="",D7+0.01,D7*$H$30/E7+0.5),NB!$X$924:$X$939,NB!$Y$924:$Y$939),D7))</f>
        <v/>
      </c>
      <c r="D7" s="33"/>
      <c r="E7" s="142"/>
      <c r="F7" s="125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IF(D8="","",IF($H$3="BE",LOOKUP(IF(E8="",D8+0.01,D8*$H$30/E8+0.5),NB!$X$924:$X$939,NB!$Y$924:$Y$939),D8))</f>
        <v/>
      </c>
      <c r="D8" s="33"/>
      <c r="E8" s="142"/>
      <c r="F8" s="12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IF(D9="","",IF($H$3="BE",LOOKUP(IF(E9="",D9+0.01,D9*$H$30/E9+0.5),NB!$X$924:$X$939,NB!$Y$924:$Y$939),D9))</f>
        <v/>
      </c>
      <c r="D9" s="33"/>
      <c r="E9" s="142"/>
      <c r="F9" s="130">
        <v>13</v>
      </c>
      <c r="G9" s="131">
        <f t="shared" si="2"/>
        <v>0</v>
      </c>
      <c r="H9" s="140" t="e">
        <f t="shared" si="3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IF(D10="","",IF($H$3="BE",LOOKUP(IF(E10="",D10+0.01,D10*$H$30/E10+0.5),NB!$X$924:$X$939,NB!$Y$924:$Y$939),D10))</f>
        <v/>
      </c>
      <c r="D10" s="33"/>
      <c r="E10" s="142"/>
      <c r="F10" s="125">
        <v>12</v>
      </c>
      <c r="G10" s="126">
        <f t="shared" si="2"/>
        <v>0</v>
      </c>
      <c r="H10" s="138" t="e">
        <f t="shared" si="3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IF(D11="","",IF($H$3="BE",LOOKUP(IF(E11="",D11+0.01,D11*$H$30/E11+0.5),NB!$X$924:$X$939,NB!$Y$924:$Y$939),D11))</f>
        <v/>
      </c>
      <c r="D11" s="33"/>
      <c r="E11" s="142"/>
      <c r="F11" s="12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IF(D12="","",IF($H$3="BE",LOOKUP(IF(E12="",D12+0.01,D12*$H$30/E12+0.5),NB!$X$924:$X$939,NB!$Y$924:$Y$939),D12))</f>
        <v/>
      </c>
      <c r="D12" s="33"/>
      <c r="E12" s="142"/>
      <c r="F12" s="130">
        <v>10</v>
      </c>
      <c r="G12" s="131">
        <f t="shared" si="2"/>
        <v>0</v>
      </c>
      <c r="H12" s="140" t="e">
        <f t="shared" si="3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IF(D13="","",IF($H$3="BE",LOOKUP(IF(E13="",D13+0.01,D13*$H$30/E13+0.5),NB!$X$924:$X$939,NB!$Y$924:$Y$939),D13))</f>
        <v/>
      </c>
      <c r="D13" s="33"/>
      <c r="E13" s="142"/>
      <c r="F13" s="133">
        <v>9</v>
      </c>
      <c r="G13" s="126">
        <f t="shared" si="2"/>
        <v>0</v>
      </c>
      <c r="H13" s="138" t="e">
        <f t="shared" si="3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IF(D14="","",IF($H$3="BE",LOOKUP(IF(E14="",D14+0.01,D14*$H$30/E14+0.5),NB!$X$924:$X$939,NB!$Y$924:$Y$939),D14))</f>
        <v/>
      </c>
      <c r="D14" s="33"/>
      <c r="E14" s="142"/>
      <c r="F14" s="12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IF(D15="","",IF($H$3="BE",LOOKUP(IF(E15="",D15+0.01,D15*$H$30/E15+0.5),NB!$X$924:$X$939,NB!$Y$924:$Y$939),D15))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IF(D16="","",IF($H$3="BE",LOOKUP(IF(E16="",D16+0.01,D16*$H$30/E16+0.5),NB!$X$924:$X$939,NB!$Y$924:$Y$939),D16))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IF(D17="","",IF($H$3="BE",LOOKUP(IF(E17="",D17+0.01,D17*$H$30/E17+0.5),NB!$X$924:$X$939,NB!$Y$924:$Y$939),D17))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IF(D18="","",IF($H$3="BE",LOOKUP(IF(E18="",D18+0.01,D18*$H$30/E18+0.5),NB!$X$924:$X$939,NB!$Y$924:$Y$939),D18))</f>
        <v/>
      </c>
      <c r="D18" s="33"/>
      <c r="E18" s="142"/>
      <c r="F18" s="130">
        <v>4</v>
      </c>
      <c r="G18" s="131">
        <f t="shared" si="2"/>
        <v>0</v>
      </c>
      <c r="H18" s="140" t="e">
        <f t="shared" si="3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IF(D19="","",IF($H$3="BE",LOOKUP(IF(E19="",D19+0.01,D19*$H$30/E19+0.5),NB!$X$924:$X$939,NB!$Y$924:$Y$939),D19))</f>
        <v/>
      </c>
      <c r="D19" s="33"/>
      <c r="E19" s="142"/>
      <c r="F19" s="125">
        <v>3</v>
      </c>
      <c r="G19" s="126">
        <f t="shared" si="2"/>
        <v>0</v>
      </c>
      <c r="H19" s="138" t="e">
        <f t="shared" si="3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IF(D20="","",IF($H$3="BE",LOOKUP(IF(E20="",D20+0.01,D20*$H$30/E20+0.5),NB!$X$924:$X$939,NB!$Y$924:$Y$939),D20))</f>
        <v/>
      </c>
      <c r="D20" s="33"/>
      <c r="E20" s="142"/>
      <c r="F20" s="12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IF(D21="","",IF($H$3="BE",LOOKUP(IF(E21="",D21+0.01,D21*$H$30/E21+0.5),NB!$X$924:$X$939,NB!$Y$924:$Y$939),D21))</f>
        <v/>
      </c>
      <c r="D21" s="33"/>
      <c r="E21" s="142"/>
      <c r="F21" s="130">
        <v>1</v>
      </c>
      <c r="G21" s="131">
        <f t="shared" si="2"/>
        <v>0</v>
      </c>
      <c r="H21" s="140" t="e">
        <f t="shared" si="3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IF(D22="","",IF($H$3="BE",LOOKUP(IF(E22="",D22+0.01,D22*$H$30/E22+0.5),NB!$X$924:$X$939,NB!$Y$924:$Y$939),D22))</f>
        <v/>
      </c>
      <c r="D22" s="33"/>
      <c r="E22" s="142"/>
      <c r="F22" s="224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IF(D23="","",IF($H$3="BE",LOOKUP(IF(E23="",D23+0.01,D23*$H$30/E23+0.5),NB!$X$924:$X$939,NB!$Y$924:$Y$939),D23))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IF(D24="","",IF($H$3="BE",LOOKUP(IF(E24="",D24+0.01,D24*$H$30/E24+0.5),NB!$X$924:$X$939,NB!$Y$924:$Y$939),D24))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IF(D25="","",IF($H$3="BE",LOOKUP(IF(E25="",D25+0.01,D25*$H$30/E25+0.5),NB!$X$924:$X$939,NB!$Y$924:$Y$939),D25))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IF(D26="","",IF($H$3="BE",LOOKUP(IF(E26="",D26+0.01,D26*$H$30/E26+0.5),NB!$X$924:$X$939,NB!$Y$924:$Y$939),D26))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IF(D27="","",IF($H$3="BE",LOOKUP(IF(E27="",D27+0.01,D27*$H$30/E27+0.5),NB!$X$924:$X$939,NB!$Y$924:$Y$939),D27))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IF(D28="","",IF($H$3="BE",LOOKUP(IF(E28="",D28+0.01,D28*$H$30/E28+0.5),NB!$X$924:$X$939,NB!$Y$924:$Y$939),D28))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IF(D29="","",IF($H$3="BE",LOOKUP(IF(E29="",D29+0.01,D29*$H$30/E29+0.5),NB!$X$924:$X$939,NB!$Y$924:$Y$939),D29))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IF(D30="","",IF($H$3="BE",LOOKUP(IF(E30="",D30+0.01,D30*$H$30/E30+0.5),NB!$X$924:$X$939,NB!$Y$924:$Y$939),D30))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IF(D31="","",IF($H$3="BE",LOOKUP(IF(E31="",D31+0.01,D31*$H$30/E31+0.5),NB!$X$924:$X$939,NB!$Y$924:$Y$939),D31))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IF(D32="","",IF($H$3="BE",LOOKUP(IF(E32="",D32+0.01,D32*$H$30/E32+0.5),NB!$X$924:$X$939,NB!$Y$924:$Y$939),D32))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IF(D33="","",IF($H$3="BE",LOOKUP(IF(E33="",D33+0.01,D33*$H$30/E33+0.5),NB!$X$924:$X$939,NB!$Y$924:$Y$939),D33))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IF(D34="","",IF($H$3="BE",LOOKUP(IF(E34="",D34+0.01,D34*$H$30/E34+0.5),NB!$X$924:$X$939,NB!$Y$924:$Y$939),D34))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IF(D35="","",IF($H$3="BE",LOOKUP(IF(E35="",D35+0.01,D35*$H$30/E35+0.5),NB!$X$924:$X$939,NB!$Y$924:$Y$939),D35))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IF(D36="","",IF($H$3="BE",LOOKUP(IF(E36="",D36+0.01,D36*$H$30/E36+0.5),NB!$X$924:$X$939,NB!$Y$924:$Y$939),D36))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IF(D37="","",IF($H$3="BE",LOOKUP(IF(E37="",D37+0.01,D37*$H$30/E37+0.5),NB!$X$924:$X$939,NB!$Y$924:$Y$939),D37))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IF(D38="","",IF($H$3="BE",LOOKUP(IF(E38="",D38+0.01,D38*$H$30/E38+0.5),NB!$X$924:$X$939,NB!$Y$924:$Y$939),D38))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TEXT(NB!V906,"#0")&amp;"                      "&amp;TEXT(NB!Y906,"#0")&amp;"   "</f>
        <v xml:space="preserve">2                      15   </v>
      </c>
      <c r="C43" s="387">
        <f>+NB!W906</f>
        <v>40</v>
      </c>
      <c r="D43" s="354">
        <f>+NB!X906</f>
        <v>38.5</v>
      </c>
      <c r="E43" s="316" t="str">
        <f>+NB!Z906</f>
        <v xml:space="preserve"> </v>
      </c>
      <c r="F43" s="316"/>
      <c r="G43" s="319" t="str">
        <f>+NB!AA906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TEXT(NB!V907,"#0")&amp;"                      "&amp;TEXT(NB!Y907,"#0")&amp;"   "</f>
        <v xml:space="preserve">2                      14   </v>
      </c>
      <c r="C44" s="388">
        <f>+NB!W907</f>
        <v>38</v>
      </c>
      <c r="D44" s="355">
        <f>+NB!X907</f>
        <v>36.5</v>
      </c>
      <c r="E44" s="179" t="str">
        <f>+NB!Z907</f>
        <v xml:space="preserve"> </v>
      </c>
      <c r="F44" s="179"/>
      <c r="G44" s="311" t="str">
        <f>+NB!AA907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TEXT(NB!V908,"#0")&amp;"                      "&amp;TEXT(NB!Y908,"#0")&amp;"   "</f>
        <v xml:space="preserve">2                      13   </v>
      </c>
      <c r="C45" s="389">
        <f>+NB!W908</f>
        <v>36</v>
      </c>
      <c r="D45" s="356">
        <f>+NB!X908</f>
        <v>34.5</v>
      </c>
      <c r="E45" s="318" t="str">
        <f>+NB!Z908</f>
        <v xml:space="preserve"> </v>
      </c>
      <c r="F45" s="318"/>
      <c r="G45" s="320" t="str">
        <f>+NB!AA908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TEXT(NB!V909,"#0")&amp;"                      "&amp;TEXT(NB!Y909,"#0")&amp;"   "</f>
        <v xml:space="preserve">2                      12   </v>
      </c>
      <c r="C46" s="388">
        <f>+NB!W909</f>
        <v>34</v>
      </c>
      <c r="D46" s="355">
        <f>+NB!X909</f>
        <v>32.5</v>
      </c>
      <c r="E46" s="179" t="str">
        <f>+NB!Z909</f>
        <v xml:space="preserve"> </v>
      </c>
      <c r="F46" s="179"/>
      <c r="G46" s="311" t="str">
        <f>+NB!AA909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TEXT(NB!V910,"#0")&amp;"                      "&amp;TEXT(NB!Y910,"#0")&amp;"   "</f>
        <v xml:space="preserve">2                      11   </v>
      </c>
      <c r="C47" s="388">
        <f>+NB!W910</f>
        <v>32</v>
      </c>
      <c r="D47" s="355">
        <f>+NB!X910</f>
        <v>30.5</v>
      </c>
      <c r="E47" s="179" t="str">
        <f>+NB!Z910</f>
        <v xml:space="preserve"> </v>
      </c>
      <c r="F47" s="179"/>
      <c r="G47" s="311" t="str">
        <f>+NB!AA910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TEXT(NB!V911,"#0")&amp;"                      "&amp;TEXT(NB!Y911,"#0")&amp;"   "</f>
        <v xml:space="preserve">2                      10   </v>
      </c>
      <c r="C48" s="388">
        <f>+NB!W911</f>
        <v>30</v>
      </c>
      <c r="D48" s="355">
        <f>+NB!X911</f>
        <v>28.5</v>
      </c>
      <c r="E48" s="179" t="str">
        <f>+NB!Z911</f>
        <v xml:space="preserve"> </v>
      </c>
      <c r="F48" s="179"/>
      <c r="G48" s="311" t="str">
        <f>+NB!AA911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TEXT(NB!V912,"#0")&amp;"                        "&amp;TEXT(NB!Y912,"#0")&amp;"   "</f>
        <v xml:space="preserve">2                        9   </v>
      </c>
      <c r="C49" s="387">
        <f>+NB!W912</f>
        <v>28</v>
      </c>
      <c r="D49" s="354">
        <f>+NB!X912</f>
        <v>26.5</v>
      </c>
      <c r="E49" s="316" t="str">
        <f>+NB!Z912</f>
        <v xml:space="preserve"> </v>
      </c>
      <c r="F49" s="316"/>
      <c r="G49" s="319" t="str">
        <f>+NB!AA912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TEXT(NB!V913,"#0")&amp;"                        "&amp;TEXT(NB!Y913,"#0")&amp;"   "</f>
        <v xml:space="preserve">2                        8   </v>
      </c>
      <c r="C50" s="388">
        <f>+NB!W913</f>
        <v>26</v>
      </c>
      <c r="D50" s="355">
        <f>+NB!X913</f>
        <v>24.5</v>
      </c>
      <c r="E50" s="179" t="str">
        <f>+NB!Z913</f>
        <v xml:space="preserve"> </v>
      </c>
      <c r="F50" s="179"/>
      <c r="G50" s="311" t="str">
        <f>+NB!AA913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TEXT(NB!V914,"#0")&amp;"                        "&amp;TEXT(NB!Y914,"#0")&amp;"   "</f>
        <v xml:space="preserve">2                        7   </v>
      </c>
      <c r="C51" s="389">
        <f>+NB!W914</f>
        <v>24</v>
      </c>
      <c r="D51" s="356">
        <f>+NB!X914</f>
        <v>22.5</v>
      </c>
      <c r="E51" s="318" t="str">
        <f>+NB!Z914</f>
        <v xml:space="preserve"> </v>
      </c>
      <c r="F51" s="318"/>
      <c r="G51" s="320" t="str">
        <f>+NB!AA914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TEXT(NB!V915,"#0")&amp;"                        "&amp;TEXT(NB!Y915,"#0")&amp;"   "</f>
        <v xml:space="preserve">2                        6   </v>
      </c>
      <c r="C52" s="388">
        <f>+NB!W915</f>
        <v>22</v>
      </c>
      <c r="D52" s="355">
        <f>+NB!X915</f>
        <v>20.5</v>
      </c>
      <c r="E52" s="179" t="str">
        <f>+NB!Z915</f>
        <v xml:space="preserve"> </v>
      </c>
      <c r="F52" s="179"/>
      <c r="G52" s="311" t="str">
        <f>+NB!AA915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TEXT(NB!V916,"#0")&amp;"                        "&amp;TEXT(NB!Y916,"#0")&amp;"   "</f>
        <v xml:space="preserve">2                        5   </v>
      </c>
      <c r="C53" s="388">
        <f>+NB!W916</f>
        <v>20</v>
      </c>
      <c r="D53" s="355">
        <f>+NB!X916</f>
        <v>18.5</v>
      </c>
      <c r="E53" s="179" t="str">
        <f>+NB!Z916</f>
        <v xml:space="preserve"> </v>
      </c>
      <c r="F53" s="179"/>
      <c r="G53" s="311" t="str">
        <f>+NB!AA916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TEXT(NB!V917,"#0")&amp;"                        "&amp;TEXT(NB!Y917,"#0")&amp;"   "</f>
        <v xml:space="preserve">2                        4   </v>
      </c>
      <c r="C54" s="388">
        <f>+NB!W917</f>
        <v>18</v>
      </c>
      <c r="D54" s="355">
        <f>+NB!X917</f>
        <v>16.5</v>
      </c>
      <c r="E54" s="179" t="str">
        <f>+NB!Z917</f>
        <v xml:space="preserve"> </v>
      </c>
      <c r="F54" s="179"/>
      <c r="G54" s="311" t="str">
        <f>+NB!AA917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TEXT(NB!V918,"#0")&amp;"                        "&amp;TEXT(NB!Y918,"#0")&amp;"   "</f>
        <v xml:space="preserve">3                        3   </v>
      </c>
      <c r="C55" s="387">
        <f>+NB!W918</f>
        <v>16</v>
      </c>
      <c r="D55" s="354">
        <f>+NB!X918</f>
        <v>13.5</v>
      </c>
      <c r="E55" s="316" t="str">
        <f>+NB!Z918</f>
        <v xml:space="preserve"> </v>
      </c>
      <c r="F55" s="316"/>
      <c r="G55" s="319" t="str">
        <f>+NB!AA918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TEXT(NB!V919,"#0")&amp;"                        "&amp;TEXT(NB!Y919,"#0")&amp;"   "</f>
        <v xml:space="preserve">3                        2   </v>
      </c>
      <c r="C56" s="388">
        <f>+NB!W919</f>
        <v>13</v>
      </c>
      <c r="D56" s="355">
        <f>+NB!X919</f>
        <v>11</v>
      </c>
      <c r="E56" s="179" t="str">
        <f>+NB!Z919</f>
        <v xml:space="preserve"> </v>
      </c>
      <c r="F56" s="179"/>
      <c r="G56" s="311" t="str">
        <f>+NB!AA919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TEXT(NB!V920,"#0")&amp;"                        "&amp;TEXT(NB!Y920,"#0")&amp;"   "</f>
        <v xml:space="preserve">3                        1   </v>
      </c>
      <c r="C57" s="389">
        <f>+NB!W920</f>
        <v>10.5</v>
      </c>
      <c r="D57" s="356">
        <f>+NB!X920</f>
        <v>8</v>
      </c>
      <c r="E57" s="318" t="str">
        <f>+NB!Z920</f>
        <v xml:space="preserve"> </v>
      </c>
      <c r="F57" s="318"/>
      <c r="G57" s="320" t="str">
        <f>+NB!AA920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TEXT(NB!V921,"#0")&amp;"                        "&amp;TEXT(NB!Y921,"#0")&amp;"   "</f>
        <v xml:space="preserve">8                        0   </v>
      </c>
      <c r="C58" s="390">
        <f>+NB!W921</f>
        <v>7.5</v>
      </c>
      <c r="D58" s="357">
        <f>+NB!X921</f>
        <v>0</v>
      </c>
      <c r="E58" s="313" t="str">
        <f>+NB!Z921</f>
        <v xml:space="preserve"> </v>
      </c>
      <c r="F58" s="313"/>
      <c r="G58" s="314" t="str">
        <f>+NB!AA921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49" top="0.6" bottom="0.54" header="0.4921259845" footer="0.4921259845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IF(LEN(I1Ext!$B$1)=22,"II - 1. Extemporale aus","II - 1. Kurzarbeit aus")</f>
        <v>II - 1. Extemporale aus</v>
      </c>
      <c r="C1" s="256" t="str">
        <f>IF(Notenbogen!F1="","",Notenbogen!F1)</f>
        <v/>
      </c>
      <c r="D1" s="257"/>
      <c r="E1" s="227"/>
      <c r="F1" s="229" t="s">
        <v>27</v>
      </c>
      <c r="G1" s="493"/>
      <c r="H1" s="494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IF(D4="","",IF($H$3="BE",LOOKUP(IF(E4="",D4+0.01,D4*$H$30/E4+0.5),NB!$X$1024:$X$1039,NB!$Y$1024:$Y$1039),D4))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IF(D5="","",IF($H$3="BE",LOOKUP(IF(E5="",D5+0.01,D5*$H$30/E5+0.5),NB!$X$1024:$X$1039,NB!$Y$1024:$Y$1039),D5))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IF(D6="","",IF($H$3="BE",LOOKUP(IF(E6="",D6+0.01,D6*$H$30/E6+0.5),NB!$X$1024:$X$1039,NB!$Y$1024:$Y$1039),D6))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IF(D7="","",IF($H$3="BE",LOOKUP(IF(E7="",D7+0.01,D7*$H$30/E7+0.5),NB!$X$1024:$X$1039,NB!$Y$1024:$Y$1039),D7))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IF(D8="","",IF($H$3="BE",LOOKUP(IF(E8="",D8+0.01,D8*$H$30/E8+0.5),NB!$X$1024:$X$1039,NB!$Y$1024:$Y$1039),D8))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IF(D9="","",IF($H$3="BE",LOOKUP(IF(E9="",D9+0.01,D9*$H$30/E9+0.5),NB!$X$1024:$X$1039,NB!$Y$1024:$Y$1039),D9))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IF(D10="","",IF($H$3="BE",LOOKUP(IF(E10="",D10+0.01,D10*$H$30/E10+0.5),NB!$X$1024:$X$1039,NB!$Y$1024:$Y$1039),D10))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IF(D11="","",IF($H$3="BE",LOOKUP(IF(E11="",D11+0.01,D11*$H$30/E11+0.5),NB!$X$1024:$X$1039,NB!$Y$1024:$Y$1039),D11))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IF(D12="","",IF($H$3="BE",LOOKUP(IF(E12="",D12+0.01,D12*$H$30/E12+0.5),NB!$X$1024:$X$1039,NB!$Y$1024:$Y$1039),D12))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IF(D13="","",IF($H$3="BE",LOOKUP(IF(E13="",D13+0.01,D13*$H$30/E13+0.5),NB!$X$1024:$X$1039,NB!$Y$1024:$Y$1039),D13))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IF(D14="","",IF($H$3="BE",LOOKUP(IF(E14="",D14+0.01,D14*$H$30/E14+0.5),NB!$X$1024:$X$1039,NB!$Y$1024:$Y$1039),D14))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IF(D15="","",IF($H$3="BE",LOOKUP(IF(E15="",D15+0.01,D15*$H$30/E15+0.5),NB!$X$1024:$X$1039,NB!$Y$1024:$Y$1039),D15))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IF(D16="","",IF($H$3="BE",LOOKUP(IF(E16="",D16+0.01,D16*$H$30/E16+0.5),NB!$X$1024:$X$1039,NB!$Y$1024:$Y$1039),D16))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IF(D17="","",IF($H$3="BE",LOOKUP(IF(E17="",D17+0.01,D17*$H$30/E17+0.5),NB!$X$1024:$X$1039,NB!$Y$1024:$Y$1039),D17))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IF(D18="","",IF($H$3="BE",LOOKUP(IF(E18="",D18+0.01,D18*$H$30/E18+0.5),NB!$X$1024:$X$1039,NB!$Y$1024:$Y$1039),D18))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IF(D19="","",IF($H$3="BE",LOOKUP(IF(E19="",D19+0.01,D19*$H$30/E19+0.5),NB!$X$1024:$X$1039,NB!$Y$1024:$Y$1039),D19))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IF(D20="","",IF($H$3="BE",LOOKUP(IF(E20="",D20+0.01,D20*$H$30/E20+0.5),NB!$X$1024:$X$1039,NB!$Y$1024:$Y$1039),D20))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IF(D21="","",IF($H$3="BE",LOOKUP(IF(E21="",D21+0.01,D21*$H$30/E21+0.5),NB!$X$1024:$X$1039,NB!$Y$1024:$Y$1039),D21))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IF(D22="","",IF($H$3="BE",LOOKUP(IF(E22="",D22+0.01,D22*$H$30/E22+0.5),NB!$X$1024:$X$1039,NB!$Y$1024:$Y$1039),D22))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IF(D23="","",IF($H$3="BE",LOOKUP(IF(E23="",D23+0.01,D23*$H$30/E23+0.5),NB!$X$1024:$X$1039,NB!$Y$1024:$Y$1039),D23))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IF(D24="","",IF($H$3="BE",LOOKUP(IF(E24="",D24+0.01,D24*$H$30/E24+0.5),NB!$X$1024:$X$1039,NB!$Y$1024:$Y$1039),D24))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IF(D25="","",IF($H$3="BE",LOOKUP(IF(E25="",D25+0.01,D25*$H$30/E25+0.5),NB!$X$1024:$X$1039,NB!$Y$1024:$Y$1039),D25))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IF(D26="","",IF($H$3="BE",LOOKUP(IF(E26="",D26+0.01,D26*$H$30/E26+0.5),NB!$X$1024:$X$1039,NB!$Y$1024:$Y$1039),D26))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IF(D27="","",IF($H$3="BE",LOOKUP(IF(E27="",D27+0.01,D27*$H$30/E27+0.5),NB!$X$1024:$X$1039,NB!$Y$1024:$Y$1039),D27))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IF(D28="","",IF($H$3="BE",LOOKUP(IF(E28="",D28+0.01,D28*$H$30/E28+0.5),NB!$X$1024:$X$1039,NB!$Y$1024:$Y$1039),D28))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IF(D29="","",IF($H$3="BE",LOOKUP(IF(E29="",D29+0.01,D29*$H$30/E29+0.5),NB!$X$1024:$X$1039,NB!$Y$1024:$Y$1039),D29))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IF(D30="","",IF($H$3="BE",LOOKUP(IF(E30="",D30+0.01,D30*$H$30/E30+0.5),NB!$X$1024:$X$1039,NB!$Y$1024:$Y$1039),D30))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IF(D31="","",IF($H$3="BE",LOOKUP(IF(E31="",D31+0.01,D31*$H$30/E31+0.5),NB!$X$1024:$X$1039,NB!$Y$1024:$Y$1039),D31))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IF(D32="","",IF($H$3="BE",LOOKUP(IF(E32="",D32+0.01,D32*$H$30/E32+0.5),NB!$X$1024:$X$1039,NB!$Y$1024:$Y$1039),D32))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IF(D33="","",IF($H$3="BE",LOOKUP(IF(E33="",D33+0.01,D33*$H$30/E33+0.5),NB!$X$1024:$X$1039,NB!$Y$1024:$Y$1039),D33))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IF(D34="","",IF($H$3="BE",LOOKUP(IF(E34="",D34+0.01,D34*$H$30/E34+0.5),NB!$X$1024:$X$1039,NB!$Y$1024:$Y$1039),D34))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IF(D35="","",IF($H$3="BE",LOOKUP(IF(E35="",D35+0.01,D35*$H$30/E35+0.5),NB!$X$1024:$X$1039,NB!$Y$1024:$Y$1039),D35))</f>
        <v/>
      </c>
      <c r="D35" s="33"/>
      <c r="E35" s="142"/>
      <c r="F35" s="253" t="s">
        <v>38</v>
      </c>
      <c r="G35" s="251"/>
      <c r="H35" s="400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IF(D36="","",IF($H$3="BE",LOOKUP(IF(E36="",D36+0.01,D36*$H$30/E36+0.5),NB!$X$1024:$X$1039,NB!$Y$1024:$Y$1039),D36))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IF(D37="","",IF($H$3="BE",LOOKUP(IF(E37="",D37+0.01,D37*$H$30/E37+0.5),NB!$X$1024:$X$1039,NB!$Y$1024:$Y$1039),D37))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IF(D38="","",IF($H$3="BE",LOOKUP(IF(E38="",D38+0.01,D38*$H$30/E38+0.5),NB!$X$1024:$X$1039,NB!$Y$1024:$Y$1039),D38))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TEXT(NB!V1006,"#0")&amp;"                      "&amp;TEXT(NB!Y1006,"#0")&amp;"   "</f>
        <v xml:space="preserve">2                      15   </v>
      </c>
      <c r="C43" s="387">
        <f>+NB!W1006</f>
        <v>40</v>
      </c>
      <c r="D43" s="354">
        <f>+NB!X1006</f>
        <v>38.5</v>
      </c>
      <c r="E43" s="316" t="str">
        <f>+NB!Z1006</f>
        <v xml:space="preserve"> </v>
      </c>
      <c r="F43" s="316"/>
      <c r="G43" s="319" t="str">
        <f>+NB!AA1006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TEXT(NB!V1007,"#0")&amp;"                      "&amp;TEXT(NB!Y1007,"#0")&amp;"   "</f>
        <v xml:space="preserve">2                      14   </v>
      </c>
      <c r="C44" s="388">
        <f>+NB!W1007</f>
        <v>38</v>
      </c>
      <c r="D44" s="355">
        <f>+NB!X1007</f>
        <v>36.5</v>
      </c>
      <c r="E44" s="179" t="str">
        <f>+NB!Z1007</f>
        <v xml:space="preserve"> </v>
      </c>
      <c r="F44" s="179"/>
      <c r="G44" s="311" t="str">
        <f>+NB!AA1007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TEXT(NB!V1008,"#0")&amp;"                      "&amp;TEXT(NB!Y1008,"#0")&amp;"   "</f>
        <v xml:space="preserve">2                      13   </v>
      </c>
      <c r="C45" s="389">
        <f>+NB!W1008</f>
        <v>36</v>
      </c>
      <c r="D45" s="356">
        <f>+NB!X1008</f>
        <v>34.5</v>
      </c>
      <c r="E45" s="318" t="str">
        <f>+NB!Z1008</f>
        <v xml:space="preserve"> </v>
      </c>
      <c r="F45" s="318"/>
      <c r="G45" s="320" t="str">
        <f>+NB!AA1008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TEXT(NB!V1009,"#0")&amp;"                      "&amp;TEXT(NB!Y1009,"#0")&amp;"   "</f>
        <v xml:space="preserve">2                      12   </v>
      </c>
      <c r="C46" s="388">
        <f>+NB!W1009</f>
        <v>34</v>
      </c>
      <c r="D46" s="355">
        <f>+NB!X1009</f>
        <v>32.5</v>
      </c>
      <c r="E46" s="179" t="str">
        <f>+NB!Z1009</f>
        <v xml:space="preserve"> </v>
      </c>
      <c r="F46" s="179"/>
      <c r="G46" s="311" t="str">
        <f>+NB!AA1009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TEXT(NB!V1010,"#0")&amp;"                      "&amp;TEXT(NB!Y1010,"#0")&amp;"   "</f>
        <v xml:space="preserve">2                      11   </v>
      </c>
      <c r="C47" s="388">
        <f>+NB!W1010</f>
        <v>32</v>
      </c>
      <c r="D47" s="355">
        <f>+NB!X1010</f>
        <v>30.5</v>
      </c>
      <c r="E47" s="179" t="str">
        <f>+NB!Z1010</f>
        <v xml:space="preserve"> </v>
      </c>
      <c r="F47" s="179"/>
      <c r="G47" s="311" t="str">
        <f>+NB!AA1010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TEXT(NB!V1011,"#0")&amp;"                      "&amp;TEXT(NB!Y1011,"#0")&amp;"   "</f>
        <v xml:space="preserve">2                      10   </v>
      </c>
      <c r="C48" s="388">
        <f>+NB!W1011</f>
        <v>30</v>
      </c>
      <c r="D48" s="355">
        <f>+NB!X1011</f>
        <v>28.5</v>
      </c>
      <c r="E48" s="179" t="str">
        <f>+NB!Z1011</f>
        <v xml:space="preserve"> </v>
      </c>
      <c r="F48" s="179"/>
      <c r="G48" s="311" t="str">
        <f>+NB!AA1011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TEXT(NB!V1012,"#0")&amp;"                        "&amp;TEXT(NB!Y1012,"#0")&amp;"   "</f>
        <v xml:space="preserve">2                        9   </v>
      </c>
      <c r="C49" s="387">
        <f>+NB!W1012</f>
        <v>28</v>
      </c>
      <c r="D49" s="354">
        <f>+NB!X1012</f>
        <v>26.5</v>
      </c>
      <c r="E49" s="316" t="str">
        <f>+NB!Z1012</f>
        <v xml:space="preserve"> </v>
      </c>
      <c r="F49" s="316"/>
      <c r="G49" s="319" t="str">
        <f>+NB!AA1012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TEXT(NB!V1013,"#0")&amp;"                        "&amp;TEXT(NB!Y1013,"#0")&amp;"   "</f>
        <v xml:space="preserve">2                        8   </v>
      </c>
      <c r="C50" s="388">
        <f>+NB!W1013</f>
        <v>26</v>
      </c>
      <c r="D50" s="355">
        <f>+NB!X1013</f>
        <v>24.5</v>
      </c>
      <c r="E50" s="179" t="str">
        <f>+NB!Z1013</f>
        <v xml:space="preserve"> </v>
      </c>
      <c r="F50" s="179"/>
      <c r="G50" s="311" t="str">
        <f>+NB!AA1013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TEXT(NB!V1014,"#0")&amp;"                        "&amp;TEXT(NB!Y1014,"#0")&amp;"   "</f>
        <v xml:space="preserve">2                        7   </v>
      </c>
      <c r="C51" s="389">
        <f>+NB!W1014</f>
        <v>24</v>
      </c>
      <c r="D51" s="356">
        <f>+NB!X1014</f>
        <v>22.5</v>
      </c>
      <c r="E51" s="318" t="str">
        <f>+NB!Z1014</f>
        <v xml:space="preserve"> </v>
      </c>
      <c r="F51" s="318"/>
      <c r="G51" s="320" t="str">
        <f>+NB!AA1014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TEXT(NB!V1015,"#0")&amp;"                        "&amp;TEXT(NB!Y1015,"#0")&amp;"   "</f>
        <v xml:space="preserve">2                        6   </v>
      </c>
      <c r="C52" s="388">
        <f>+NB!W1015</f>
        <v>22</v>
      </c>
      <c r="D52" s="355">
        <f>+NB!X1015</f>
        <v>20.5</v>
      </c>
      <c r="E52" s="179" t="str">
        <f>+NB!Z1015</f>
        <v xml:space="preserve"> </v>
      </c>
      <c r="F52" s="179"/>
      <c r="G52" s="311" t="str">
        <f>+NB!AA1015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TEXT(NB!V1016,"#0")&amp;"                        "&amp;TEXT(NB!Y1016,"#0")&amp;"   "</f>
        <v xml:space="preserve">2                        5   </v>
      </c>
      <c r="C53" s="388">
        <f>+NB!W1016</f>
        <v>20</v>
      </c>
      <c r="D53" s="355">
        <f>+NB!X1016</f>
        <v>18.5</v>
      </c>
      <c r="E53" s="179" t="str">
        <f>+NB!Z1016</f>
        <v xml:space="preserve"> </v>
      </c>
      <c r="F53" s="179"/>
      <c r="G53" s="311" t="str">
        <f>+NB!AA1016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TEXT(NB!V1017,"#0")&amp;"                        "&amp;TEXT(NB!Y1017,"#0")&amp;"   "</f>
        <v xml:space="preserve">2                        4   </v>
      </c>
      <c r="C54" s="388">
        <f>+NB!W1017</f>
        <v>18</v>
      </c>
      <c r="D54" s="355">
        <f>+NB!X1017</f>
        <v>16.5</v>
      </c>
      <c r="E54" s="179" t="str">
        <f>+NB!Z1017</f>
        <v xml:space="preserve"> </v>
      </c>
      <c r="F54" s="179"/>
      <c r="G54" s="311" t="str">
        <f>+NB!AA1017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TEXT(NB!V1018,"#0")&amp;"                        "&amp;TEXT(NB!Y1018,"#0")&amp;"   "</f>
        <v xml:space="preserve">3                        3   </v>
      </c>
      <c r="C55" s="387">
        <f>+NB!W1018</f>
        <v>16</v>
      </c>
      <c r="D55" s="354">
        <f>+NB!X1018</f>
        <v>13.5</v>
      </c>
      <c r="E55" s="316" t="str">
        <f>+NB!Z1018</f>
        <v xml:space="preserve"> </v>
      </c>
      <c r="F55" s="316"/>
      <c r="G55" s="319" t="str">
        <f>+NB!AA1018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TEXT(NB!V1019,"#0")&amp;"                        "&amp;TEXT(NB!Y1019,"#0")&amp;"   "</f>
        <v xml:space="preserve">3                        2   </v>
      </c>
      <c r="C56" s="388">
        <f>+NB!W1019</f>
        <v>13</v>
      </c>
      <c r="D56" s="355">
        <f>+NB!X1019</f>
        <v>11</v>
      </c>
      <c r="E56" s="179" t="str">
        <f>+NB!Z1019</f>
        <v xml:space="preserve"> </v>
      </c>
      <c r="F56" s="179"/>
      <c r="G56" s="311" t="str">
        <f>+NB!AA1019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TEXT(NB!V1020,"#0")&amp;"                        "&amp;TEXT(NB!Y1020,"#0")&amp;"   "</f>
        <v xml:space="preserve">3                        1   </v>
      </c>
      <c r="C57" s="389">
        <f>+NB!W1020</f>
        <v>10.5</v>
      </c>
      <c r="D57" s="356">
        <f>+NB!X1020</f>
        <v>8</v>
      </c>
      <c r="E57" s="318" t="str">
        <f>+NB!Z1020</f>
        <v xml:space="preserve"> </v>
      </c>
      <c r="F57" s="318"/>
      <c r="G57" s="320" t="str">
        <f>+NB!AA1020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TEXT(NB!V1021,"#0")&amp;"                        "&amp;TEXT(NB!Y1021,"#0")&amp;"   "</f>
        <v xml:space="preserve">8                        0   </v>
      </c>
      <c r="C58" s="390">
        <f>+NB!W1021</f>
        <v>7.5</v>
      </c>
      <c r="D58" s="357">
        <f>+NB!X1021</f>
        <v>0</v>
      </c>
      <c r="E58" s="313" t="str">
        <f>+NB!Z1021</f>
        <v xml:space="preserve"> </v>
      </c>
      <c r="F58" s="313"/>
      <c r="G58" s="314" t="str">
        <f>+NB!AA1021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- 2. Extemporale aus","II - 2. Kurzarbeit aus")</f>
        <v>II - 2. Extemporale aus</v>
      </c>
      <c r="C1" s="219" t="str">
        <f>IF(Notenbogen!F1="","",Notenbogen!F1)</f>
        <v/>
      </c>
      <c r="D1" s="226"/>
      <c r="E1" s="8"/>
      <c r="F1" s="216" t="s">
        <v>27</v>
      </c>
      <c r="G1" s="493"/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IF(D4="","",IF($H$3="BE",LOOKUP(IF(E4="",D4+0.01,D4*$H$30/E4+0.5),NB!$X$1124:$X$1139,NB!$Y$1124:$Y$1139),D4))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IF(D5="","",IF($H$3="BE",LOOKUP(IF(E5="",D5+0.01,D5*$H$30/E5+0.5),NB!$X$1124:$X$1139,NB!$Y$1124:$Y$1139),D5))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IF(D6="","",IF($H$3="BE",LOOKUP(IF(E6="",D6+0.01,D6*$H$30/E6+0.5),NB!$X$1124:$X$1139,NB!$Y$1124:$Y$1139),D6))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IF(D7="","",IF($H$3="BE",LOOKUP(IF(E7="",D7+0.01,D7*$H$30/E7+0.5),NB!$X$1124:$X$1139,NB!$Y$1124:$Y$1139),D7))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IF(D8="","",IF($H$3="BE",LOOKUP(IF(E8="",D8+0.01,D8*$H$30/E8+0.5),NB!$X$1124:$X$1139,NB!$Y$1124:$Y$1139),D8))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IF(D9="","",IF($H$3="BE",LOOKUP(IF(E9="",D9+0.01,D9*$H$30/E9+0.5),NB!$X$1124:$X$1139,NB!$Y$1124:$Y$1139),D9))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IF(D10="","",IF($H$3="BE",LOOKUP(IF(E10="",D10+0.01,D10*$H$30/E10+0.5),NB!$X$1124:$X$1139,NB!$Y$1124:$Y$1139),D10))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IF(D11="","",IF($H$3="BE",LOOKUP(IF(E11="",D11+0.01,D11*$H$30/E11+0.5),NB!$X$1124:$X$1139,NB!$Y$1124:$Y$1139),D11))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IF(D12="","",IF($H$3="BE",LOOKUP(IF(E12="",D12+0.01,D12*$H$30/E12+0.5),NB!$X$1124:$X$1139,NB!$Y$1124:$Y$1139),D12))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IF(D13="","",IF($H$3="BE",LOOKUP(IF(E13="",D13+0.01,D13*$H$30/E13+0.5),NB!$X$1124:$X$1139,NB!$Y$1124:$Y$1139),D13))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IF(D14="","",IF($H$3="BE",LOOKUP(IF(E14="",D14+0.01,D14*$H$30/E14+0.5),NB!$X$1124:$X$1139,NB!$Y$1124:$Y$1139),D14))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IF(D15="","",IF($H$3="BE",LOOKUP(IF(E15="",D15+0.01,D15*$H$30/E15+0.5),NB!$X$1124:$X$1139,NB!$Y$1124:$Y$1139),D15))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IF(D16="","",IF($H$3="BE",LOOKUP(IF(E16="",D16+0.01,D16*$H$30/E16+0.5),NB!$X$1124:$X$1139,NB!$Y$1124:$Y$1139),D16))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IF(D17="","",IF($H$3="BE",LOOKUP(IF(E17="",D17+0.01,D17*$H$30/E17+0.5),NB!$X$1124:$X$1139,NB!$Y$1124:$Y$1139),D17))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IF(D18="","",IF($H$3="BE",LOOKUP(IF(E18="",D18+0.01,D18*$H$30/E18+0.5),NB!$X$1124:$X$1139,NB!$Y$1124:$Y$1139),D18))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IF(D19="","",IF($H$3="BE",LOOKUP(IF(E19="",D19+0.01,D19*$H$30/E19+0.5),NB!$X$1124:$X$1139,NB!$Y$1124:$Y$1139),D19))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IF(D20="","",IF($H$3="BE",LOOKUP(IF(E20="",D20+0.01,D20*$H$30/E20+0.5),NB!$X$1124:$X$1139,NB!$Y$1124:$Y$1139),D20))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IF(D21="","",IF($H$3="BE",LOOKUP(IF(E21="",D21+0.01,D21*$H$30/E21+0.5),NB!$X$1124:$X$1139,NB!$Y$1124:$Y$1139),D21))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IF(D22="","",IF($H$3="BE",LOOKUP(IF(E22="",D22+0.01,D22*$H$30/E22+0.5),NB!$X$1124:$X$1139,NB!$Y$1124:$Y$1139),D22))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IF(D23="","",IF($H$3="BE",LOOKUP(IF(E23="",D23+0.01,D23*$H$30/E23+0.5),NB!$X$1124:$X$1139,NB!$Y$1124:$Y$1139),D23))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IF(D24="","",IF($H$3="BE",LOOKUP(IF(E24="",D24+0.01,D24*$H$30/E24+0.5),NB!$X$1124:$X$1139,NB!$Y$1124:$Y$1139),D24))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IF(D25="","",IF($H$3="BE",LOOKUP(IF(E25="",D25+0.01,D25*$H$30/E25+0.5),NB!$X$1124:$X$1139,NB!$Y$1124:$Y$1139),D25))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IF(D26="","",IF($H$3="BE",LOOKUP(IF(E26="",D26+0.01,D26*$H$30/E26+0.5),NB!$X$1124:$X$1139,NB!$Y$1124:$Y$1139),D26))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IF(D27="","",IF($H$3="BE",LOOKUP(IF(E27="",D27+0.01,D27*$H$30/E27+0.5),NB!$X$1124:$X$1139,NB!$Y$1124:$Y$1139),D27))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IF(D28="","",IF($H$3="BE",LOOKUP(IF(E28="",D28+0.01,D28*$H$30/E28+0.5),NB!$X$1124:$X$1139,NB!$Y$1124:$Y$1139),D28))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IF(D29="","",IF($H$3="BE",LOOKUP(IF(E29="",D29+0.01,D29*$H$30/E29+0.5),NB!$X$1124:$X$1139,NB!$Y$1124:$Y$1139),D29))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IF(D30="","",IF($H$3="BE",LOOKUP(IF(E30="",D30+0.01,D30*$H$30/E30+0.5),NB!$X$1124:$X$1139,NB!$Y$1124:$Y$1139),D30))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IF(D31="","",IF($H$3="BE",LOOKUP(IF(E31="",D31+0.01,D31*$H$30/E31+0.5),NB!$X$1124:$X$1139,NB!$Y$1124:$Y$1139),D31))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IF(D32="","",IF($H$3="BE",LOOKUP(IF(E32="",D32+0.01,D32*$H$30/E32+0.5),NB!$X$1124:$X$1139,NB!$Y$1124:$Y$1139),D32))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IF(D33="","",IF($H$3="BE",LOOKUP(IF(E33="",D33+0.01,D33*$H$30/E33+0.5),NB!$X$1124:$X$1139,NB!$Y$1124:$Y$1139),D33))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IF(D34="","",IF($H$3="BE",LOOKUP(IF(E34="",D34+0.01,D34*$H$30/E34+0.5),NB!$X$1124:$X$1139,NB!$Y$1124:$Y$1139),D34))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IF(D35="","",IF($H$3="BE",LOOKUP(IF(E35="",D35+0.01,D35*$H$30/E35+0.5),NB!$X$1124:$X$1139,NB!$Y$1124:$Y$1139),D35))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IF(D36="","",IF($H$3="BE",LOOKUP(IF(E36="",D36+0.01,D36*$H$30/E36+0.5),NB!$X$1124:$X$1139,NB!$Y$1124:$Y$1139),D36))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IF(D37="","",IF($H$3="BE",LOOKUP(IF(E37="",D37+0.01,D37*$H$30/E37+0.5),NB!$X$1124:$X$1139,NB!$Y$1124:$Y$1139),D37))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IF(D38="","",IF($H$3="BE",LOOKUP(IF(E38="",D38+0.01,D38*$H$30/E38+0.5),NB!$X$1124:$X$1139,NB!$Y$1124:$Y$1139),D38))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TEXT(NB!V1106,"#0")&amp;"                      "&amp;TEXT(NB!Y1106,"#0")&amp;"   "</f>
        <v xml:space="preserve">2                      15   </v>
      </c>
      <c r="C43" s="387">
        <f>+NB!W1106</f>
        <v>40</v>
      </c>
      <c r="D43" s="354">
        <f>+NB!X1106</f>
        <v>38.5</v>
      </c>
      <c r="E43" s="316" t="str">
        <f>+NB!Z1106</f>
        <v xml:space="preserve"> </v>
      </c>
      <c r="F43" s="316"/>
      <c r="G43" s="319" t="str">
        <f>+NB!AA1106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TEXT(NB!V1107,"#0")&amp;"                      "&amp;TEXT(NB!Y1107,"#0")&amp;"   "</f>
        <v xml:space="preserve">2                      14   </v>
      </c>
      <c r="C44" s="388">
        <f>+NB!W1107</f>
        <v>38</v>
      </c>
      <c r="D44" s="355">
        <f>+NB!X1107</f>
        <v>36.5</v>
      </c>
      <c r="E44" s="179" t="str">
        <f>+NB!Z1107</f>
        <v xml:space="preserve"> </v>
      </c>
      <c r="F44" s="179"/>
      <c r="G44" s="311" t="str">
        <f>+NB!AA1107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TEXT(NB!V1108,"#0")&amp;"                      "&amp;TEXT(NB!Y1108,"#0")&amp;"   "</f>
        <v xml:space="preserve">2                      13   </v>
      </c>
      <c r="C45" s="389">
        <f>+NB!W1108</f>
        <v>36</v>
      </c>
      <c r="D45" s="356">
        <f>+NB!X1108</f>
        <v>34.5</v>
      </c>
      <c r="E45" s="318" t="str">
        <f>+NB!Z1108</f>
        <v xml:space="preserve"> </v>
      </c>
      <c r="F45" s="318"/>
      <c r="G45" s="320" t="str">
        <f>+NB!AA1108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TEXT(NB!V1109,"#0")&amp;"                      "&amp;TEXT(NB!Y1109,"#0")&amp;"   "</f>
        <v xml:space="preserve">2                      12   </v>
      </c>
      <c r="C46" s="388">
        <f>+NB!W1109</f>
        <v>34</v>
      </c>
      <c r="D46" s="355">
        <f>+NB!X1109</f>
        <v>32.5</v>
      </c>
      <c r="E46" s="179" t="str">
        <f>+NB!Z1109</f>
        <v xml:space="preserve"> </v>
      </c>
      <c r="F46" s="179"/>
      <c r="G46" s="311" t="str">
        <f>+NB!AA1109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TEXT(NB!V1110,"#0")&amp;"                      "&amp;TEXT(NB!Y1110,"#0")&amp;"   "</f>
        <v xml:space="preserve">2                      11   </v>
      </c>
      <c r="C47" s="388">
        <f>+NB!W1110</f>
        <v>32</v>
      </c>
      <c r="D47" s="355">
        <f>+NB!X1110</f>
        <v>30.5</v>
      </c>
      <c r="E47" s="179" t="str">
        <f>+NB!Z1110</f>
        <v xml:space="preserve"> </v>
      </c>
      <c r="F47" s="179"/>
      <c r="G47" s="311" t="str">
        <f>+NB!AA1110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TEXT(NB!V1111,"#0")&amp;"                      "&amp;TEXT(NB!Y1111,"#0")&amp;"   "</f>
        <v xml:space="preserve">2                      10   </v>
      </c>
      <c r="C48" s="388">
        <f>+NB!W1111</f>
        <v>30</v>
      </c>
      <c r="D48" s="355">
        <f>+NB!X1111</f>
        <v>28.5</v>
      </c>
      <c r="E48" s="179" t="str">
        <f>+NB!Z1111</f>
        <v xml:space="preserve"> </v>
      </c>
      <c r="F48" s="179"/>
      <c r="G48" s="311" t="str">
        <f>+NB!AA1111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TEXT(NB!V1112,"#0")&amp;"                        "&amp;TEXT(NB!Y1112,"#0")&amp;"   "</f>
        <v xml:space="preserve">2                        9   </v>
      </c>
      <c r="C49" s="387">
        <f>+NB!W1112</f>
        <v>28</v>
      </c>
      <c r="D49" s="354">
        <f>+NB!X1112</f>
        <v>26.5</v>
      </c>
      <c r="E49" s="316" t="str">
        <f>+NB!Z1112</f>
        <v xml:space="preserve"> </v>
      </c>
      <c r="F49" s="316"/>
      <c r="G49" s="319" t="str">
        <f>+NB!AA1112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TEXT(NB!V1113,"#0")&amp;"                        "&amp;TEXT(NB!Y1113,"#0")&amp;"   "</f>
        <v xml:space="preserve">2                        8   </v>
      </c>
      <c r="C50" s="388">
        <f>+NB!W1113</f>
        <v>26</v>
      </c>
      <c r="D50" s="355">
        <f>+NB!X1113</f>
        <v>24.5</v>
      </c>
      <c r="E50" s="179" t="str">
        <f>+NB!Z1113</f>
        <v xml:space="preserve"> </v>
      </c>
      <c r="F50" s="179"/>
      <c r="G50" s="311" t="str">
        <f>+NB!AA1113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TEXT(NB!V1114,"#0")&amp;"                        "&amp;TEXT(NB!Y1114,"#0")&amp;"   "</f>
        <v xml:space="preserve">2                        7   </v>
      </c>
      <c r="C51" s="389">
        <f>+NB!W1114</f>
        <v>24</v>
      </c>
      <c r="D51" s="356">
        <f>+NB!X1114</f>
        <v>22.5</v>
      </c>
      <c r="E51" s="318" t="str">
        <f>+NB!Z1114</f>
        <v xml:space="preserve"> </v>
      </c>
      <c r="F51" s="318"/>
      <c r="G51" s="320" t="str">
        <f>+NB!AA1114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TEXT(NB!V1115,"#0")&amp;"                        "&amp;TEXT(NB!Y1115,"#0")&amp;"   "</f>
        <v xml:space="preserve">2                        6   </v>
      </c>
      <c r="C52" s="388">
        <f>+NB!W1115</f>
        <v>22</v>
      </c>
      <c r="D52" s="355">
        <f>+NB!X1115</f>
        <v>20.5</v>
      </c>
      <c r="E52" s="179" t="str">
        <f>+NB!Z1115</f>
        <v xml:space="preserve"> </v>
      </c>
      <c r="F52" s="179"/>
      <c r="G52" s="311" t="str">
        <f>+NB!AA1115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TEXT(NB!V1116,"#0")&amp;"                        "&amp;TEXT(NB!Y1116,"#0")&amp;"   "</f>
        <v xml:space="preserve">2                        5   </v>
      </c>
      <c r="C53" s="388">
        <f>+NB!W1116</f>
        <v>20</v>
      </c>
      <c r="D53" s="355">
        <f>+NB!X1116</f>
        <v>18.5</v>
      </c>
      <c r="E53" s="179" t="str">
        <f>+NB!Z1116</f>
        <v xml:space="preserve"> </v>
      </c>
      <c r="F53" s="179"/>
      <c r="G53" s="311" t="str">
        <f>+NB!AA1116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TEXT(NB!V1117,"#0")&amp;"                        "&amp;TEXT(NB!Y1117,"#0")&amp;"   "</f>
        <v xml:space="preserve">2                        4   </v>
      </c>
      <c r="C54" s="388">
        <f>+NB!W1117</f>
        <v>18</v>
      </c>
      <c r="D54" s="355">
        <f>+NB!X1117</f>
        <v>16.5</v>
      </c>
      <c r="E54" s="179" t="str">
        <f>+NB!Z1117</f>
        <v xml:space="preserve"> </v>
      </c>
      <c r="F54" s="179"/>
      <c r="G54" s="311" t="str">
        <f>+NB!AA1117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TEXT(NB!V1118,"#0")&amp;"                        "&amp;TEXT(NB!Y1118,"#0")&amp;"   "</f>
        <v xml:space="preserve">3                        3   </v>
      </c>
      <c r="C55" s="387">
        <f>+NB!W1118</f>
        <v>16</v>
      </c>
      <c r="D55" s="354">
        <f>+NB!X1118</f>
        <v>13.5</v>
      </c>
      <c r="E55" s="316" t="str">
        <f>+NB!Z1118</f>
        <v xml:space="preserve"> </v>
      </c>
      <c r="F55" s="316"/>
      <c r="G55" s="319" t="str">
        <f>+NB!AA1118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TEXT(NB!V1119,"#0")&amp;"                        "&amp;TEXT(NB!Y1119,"#0")&amp;"   "</f>
        <v xml:space="preserve">3                        2   </v>
      </c>
      <c r="C56" s="388">
        <f>+NB!W1119</f>
        <v>13</v>
      </c>
      <c r="D56" s="355">
        <f>+NB!X1119</f>
        <v>11</v>
      </c>
      <c r="E56" s="179" t="str">
        <f>+NB!Z1119</f>
        <v xml:space="preserve"> </v>
      </c>
      <c r="F56" s="179"/>
      <c r="G56" s="311" t="str">
        <f>+NB!AA1119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TEXT(NB!V1120,"#0")&amp;"                        "&amp;TEXT(NB!Y1120,"#0")&amp;"   "</f>
        <v xml:space="preserve">3                        1   </v>
      </c>
      <c r="C57" s="389">
        <f>+NB!W1120</f>
        <v>10.5</v>
      </c>
      <c r="D57" s="356">
        <f>+NB!X1120</f>
        <v>8</v>
      </c>
      <c r="E57" s="318" t="str">
        <f>+NB!Z1120</f>
        <v xml:space="preserve"> </v>
      </c>
      <c r="F57" s="318"/>
      <c r="G57" s="320" t="str">
        <f>+NB!AA1120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TEXT(NB!V1121,"#0")&amp;"                        "&amp;TEXT(NB!Y1121,"#0")&amp;"   "</f>
        <v xml:space="preserve">8                        0   </v>
      </c>
      <c r="C58" s="390">
        <f>+NB!W1121</f>
        <v>7.5</v>
      </c>
      <c r="D58" s="357">
        <f>+NB!X1121</f>
        <v>0</v>
      </c>
      <c r="E58" s="313" t="str">
        <f>+NB!Z1121</f>
        <v xml:space="preserve"> </v>
      </c>
      <c r="F58" s="313"/>
      <c r="G58" s="314" t="str">
        <f>+NB!AA1121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- 3. Extemporale aus","II - 3. Kurzarbeit aus")</f>
        <v>II - 3. Extemporale aus</v>
      </c>
      <c r="C1" s="219" t="str">
        <f>IF(Notenbogen!F1="","",Notenbogen!F1)</f>
        <v/>
      </c>
      <c r="D1" s="226"/>
      <c r="E1" s="8"/>
      <c r="F1" s="216" t="s">
        <v>27</v>
      </c>
      <c r="G1" s="494"/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IF(D4="","",IF($H$3="BE",LOOKUP(IF(E4="",D4+0.01,D4*$H$30/E4+0.5),NB!$X$1224:$X$1239,NB!$Y$1224:$Y$1239),D4))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IF(D5="","",IF($H$3="BE",LOOKUP(IF(E5="",D5+0.01,D5*$H$30/E5+0.5),NB!$X$1224:$X$1239,NB!$Y$1224:$Y$1239),D5))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IF(D6="","",IF($H$3="BE",LOOKUP(IF(E6="",D6+0.01,D6*$H$30/E6+0.5),NB!$X$1224:$X$1239,NB!$Y$1224:$Y$1239),D6))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IF(D7="","",IF($H$3="BE",LOOKUP(IF(E7="",D7+0.01,D7*$H$30/E7+0.5),NB!$X$1224:$X$1239,NB!$Y$1224:$Y$1239),D7))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IF(D8="","",IF($H$3="BE",LOOKUP(IF(E8="",D8+0.01,D8*$H$30/E8+0.5),NB!$X$1224:$X$1239,NB!$Y$1224:$Y$1239),D8))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IF(D9="","",IF($H$3="BE",LOOKUP(IF(E9="",D9+0.01,D9*$H$30/E9+0.5),NB!$X$1224:$X$1239,NB!$Y$1224:$Y$1239),D9))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IF(D10="","",IF($H$3="BE",LOOKUP(IF(E10="",D10+0.01,D10*$H$30/E10+0.5),NB!$X$1224:$X$1239,NB!$Y$1224:$Y$1239),D10))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IF(D11="","",IF($H$3="BE",LOOKUP(IF(E11="",D11+0.01,D11*$H$30/E11+0.5),NB!$X$1224:$X$1239,NB!$Y$1224:$Y$1239),D11))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IF(D12="","",IF($H$3="BE",LOOKUP(IF(E12="",D12+0.01,D12*$H$30/E12+0.5),NB!$X$1224:$X$1239,NB!$Y$1224:$Y$1239),D12))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IF(D13="","",IF($H$3="BE",LOOKUP(IF(E13="",D13+0.01,D13*$H$30/E13+0.5),NB!$X$1224:$X$1239,NB!$Y$1224:$Y$1239),D13))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IF(D14="","",IF($H$3="BE",LOOKUP(IF(E14="",D14+0.01,D14*$H$30/E14+0.5),NB!$X$1224:$X$1239,NB!$Y$1224:$Y$1239),D14))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IF(D15="","",IF($H$3="BE",LOOKUP(IF(E15="",D15+0.01,D15*$H$30/E15+0.5),NB!$X$1224:$X$1239,NB!$Y$1224:$Y$1239),D15))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IF(D16="","",IF($H$3="BE",LOOKUP(IF(E16="",D16+0.01,D16*$H$30/E16+0.5),NB!$X$1224:$X$1239,NB!$Y$1224:$Y$1239),D16))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IF(D17="","",IF($H$3="BE",LOOKUP(IF(E17="",D17+0.01,D17*$H$30/E17+0.5),NB!$X$1224:$X$1239,NB!$Y$1224:$Y$1239),D17))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IF(D18="","",IF($H$3="BE",LOOKUP(IF(E18="",D18+0.01,D18*$H$30/E18+0.5),NB!$X$1224:$X$1239,NB!$Y$1224:$Y$1239),D18))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IF(D19="","",IF($H$3="BE",LOOKUP(IF(E19="",D19+0.01,D19*$H$30/E19+0.5),NB!$X$1224:$X$1239,NB!$Y$1224:$Y$1239),D19))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IF(D20="","",IF($H$3="BE",LOOKUP(IF(E20="",D20+0.01,D20*$H$30/E20+0.5),NB!$X$1224:$X$1239,NB!$Y$1224:$Y$1239),D20))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IF(D21="","",IF($H$3="BE",LOOKUP(IF(E21="",D21+0.01,D21*$H$30/E21+0.5),NB!$X$1224:$X$1239,NB!$Y$1224:$Y$1239),D21))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IF(D22="","",IF($H$3="BE",LOOKUP(IF(E22="",D22+0.01,D22*$H$30/E22+0.5),NB!$X$1224:$X$1239,NB!$Y$1224:$Y$1239),D22))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IF(D23="","",IF($H$3="BE",LOOKUP(IF(E23="",D23+0.01,D23*$H$30/E23+0.5),NB!$X$1224:$X$1239,NB!$Y$1224:$Y$1239),D23))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IF(D24="","",IF($H$3="BE",LOOKUP(IF(E24="",D24+0.01,D24*$H$30/E24+0.5),NB!$X$1224:$X$1239,NB!$Y$1224:$Y$1239),D24))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IF(D25="","",IF($H$3="BE",LOOKUP(IF(E25="",D25+0.01,D25*$H$30/E25+0.5),NB!$X$1224:$X$1239,NB!$Y$1224:$Y$1239),D25))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IF(D26="","",IF($H$3="BE",LOOKUP(IF(E26="",D26+0.01,D26*$H$30/E26+0.5),NB!$X$1224:$X$1239,NB!$Y$1224:$Y$1239),D26))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IF(D27="","",IF($H$3="BE",LOOKUP(IF(E27="",D27+0.01,D27*$H$30/E27+0.5),NB!$X$1224:$X$1239,NB!$Y$1224:$Y$1239),D27))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IF(D28="","",IF($H$3="BE",LOOKUP(IF(E28="",D28+0.01,D28*$H$30/E28+0.5),NB!$X$1224:$X$1239,NB!$Y$1224:$Y$1239),D28))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IF(D29="","",IF($H$3="BE",LOOKUP(IF(E29="",D29+0.01,D29*$H$30/E29+0.5),NB!$X$1224:$X$1239,NB!$Y$1224:$Y$1239),D29))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IF(D30="","",IF($H$3="BE",LOOKUP(IF(E30="",D30+0.01,D30*$H$30/E30+0.5),NB!$X$1224:$X$1239,NB!$Y$1224:$Y$1239),D30))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IF(D31="","",IF($H$3="BE",LOOKUP(IF(E31="",D31+0.01,D31*$H$30/E31+0.5),NB!$X$1224:$X$1239,NB!$Y$1224:$Y$1239),D31))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IF(D32="","",IF($H$3="BE",LOOKUP(IF(E32="",D32+0.01,D32*$H$30/E32+0.5),NB!$X$1224:$X$1239,NB!$Y$1224:$Y$1239),D32))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IF(D33="","",IF($H$3="BE",LOOKUP(IF(E33="",D33+0.01,D33*$H$30/E33+0.5),NB!$X$1224:$X$1239,NB!$Y$1224:$Y$1239),D33))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IF(D34="","",IF($H$3="BE",LOOKUP(IF(E34="",D34+0.01,D34*$H$30/E34+0.5),NB!$X$1224:$X$1239,NB!$Y$1224:$Y$1239),D34))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IF(D35="","",IF($H$3="BE",LOOKUP(IF(E35="",D35+0.01,D35*$H$30/E35+0.5),NB!$X$1224:$X$1239,NB!$Y$1224:$Y$1239),D35))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IF(D36="","",IF($H$3="BE",LOOKUP(IF(E36="",D36+0.01,D36*$H$30/E36+0.5),NB!$X$1224:$X$1239,NB!$Y$1224:$Y$1239),D36))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IF(D37="","",IF($H$3="BE",LOOKUP(IF(E37="",D37+0.01,D37*$H$30/E37+0.5),NB!$X$1224:$X$1239,NB!$Y$1224:$Y$1239),D37))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IF(D38="","",IF($H$3="BE",LOOKUP(IF(E38="",D38+0.01,D38*$H$30/E38+0.5),NB!$X$1224:$X$1239,NB!$Y$1224:$Y$1239),D38))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TEXT(NB!V1206,"#0")&amp;"                      "&amp;TEXT(NB!Y1206,"#0")&amp;"   "</f>
        <v xml:space="preserve">2                      15   </v>
      </c>
      <c r="C43" s="387">
        <f>+NB!W1206</f>
        <v>40</v>
      </c>
      <c r="D43" s="354">
        <f>+NB!X1206</f>
        <v>38.5</v>
      </c>
      <c r="E43" s="316" t="str">
        <f>+NB!Z1206</f>
        <v xml:space="preserve"> </v>
      </c>
      <c r="F43" s="316"/>
      <c r="G43" s="319" t="str">
        <f>+NB!AA1206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TEXT(NB!V1207,"#0")&amp;"                      "&amp;TEXT(NB!Y1207,"#0")&amp;"   "</f>
        <v xml:space="preserve">2                      14   </v>
      </c>
      <c r="C44" s="388">
        <f>+NB!W1207</f>
        <v>38</v>
      </c>
      <c r="D44" s="355">
        <f>+NB!X1207</f>
        <v>36.5</v>
      </c>
      <c r="E44" s="179" t="str">
        <f>+NB!Z1207</f>
        <v xml:space="preserve"> </v>
      </c>
      <c r="F44" s="179"/>
      <c r="G44" s="311" t="str">
        <f>+NB!AA1207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TEXT(NB!V1208,"#0")&amp;"                      "&amp;TEXT(NB!Y1208,"#0")&amp;"   "</f>
        <v xml:space="preserve">2                      13   </v>
      </c>
      <c r="C45" s="389">
        <f>+NB!W1208</f>
        <v>36</v>
      </c>
      <c r="D45" s="356">
        <f>+NB!X1208</f>
        <v>34.5</v>
      </c>
      <c r="E45" s="318" t="str">
        <f>+NB!Z1208</f>
        <v xml:space="preserve"> </v>
      </c>
      <c r="F45" s="318"/>
      <c r="G45" s="320" t="str">
        <f>+NB!AA1208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TEXT(NB!V1209,"#0")&amp;"                      "&amp;TEXT(NB!Y1209,"#0")&amp;"   "</f>
        <v xml:space="preserve">2                      12   </v>
      </c>
      <c r="C46" s="388">
        <f>+NB!W1209</f>
        <v>34</v>
      </c>
      <c r="D46" s="355">
        <f>+NB!X1209</f>
        <v>32.5</v>
      </c>
      <c r="E46" s="179" t="str">
        <f>+NB!Z1209</f>
        <v xml:space="preserve"> </v>
      </c>
      <c r="F46" s="179"/>
      <c r="G46" s="311" t="str">
        <f>+NB!AA1209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TEXT(NB!V1210,"#0")&amp;"                      "&amp;TEXT(NB!Y1210,"#0")&amp;"   "</f>
        <v xml:space="preserve">2                      11   </v>
      </c>
      <c r="C47" s="388">
        <f>+NB!W1210</f>
        <v>32</v>
      </c>
      <c r="D47" s="355">
        <f>+NB!X1210</f>
        <v>30.5</v>
      </c>
      <c r="E47" s="179" t="str">
        <f>+NB!Z1210</f>
        <v xml:space="preserve"> </v>
      </c>
      <c r="F47" s="179"/>
      <c r="G47" s="311" t="str">
        <f>+NB!AA1210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TEXT(NB!V1211,"#0")&amp;"                      "&amp;TEXT(NB!Y1211,"#0")&amp;"   "</f>
        <v xml:space="preserve">2                      10   </v>
      </c>
      <c r="C48" s="388">
        <f>+NB!W1211</f>
        <v>30</v>
      </c>
      <c r="D48" s="355">
        <f>+NB!X1211</f>
        <v>28.5</v>
      </c>
      <c r="E48" s="179" t="str">
        <f>+NB!Z1211</f>
        <v xml:space="preserve"> </v>
      </c>
      <c r="F48" s="179"/>
      <c r="G48" s="311" t="str">
        <f>+NB!AA1211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TEXT(NB!V1212,"#0")&amp;"                        "&amp;TEXT(NB!Y1212,"#0")&amp;"   "</f>
        <v xml:space="preserve">2                        9   </v>
      </c>
      <c r="C49" s="387">
        <f>+NB!W1212</f>
        <v>28</v>
      </c>
      <c r="D49" s="354">
        <f>+NB!X1212</f>
        <v>26.5</v>
      </c>
      <c r="E49" s="316" t="str">
        <f>+NB!Z1212</f>
        <v xml:space="preserve"> </v>
      </c>
      <c r="F49" s="316"/>
      <c r="G49" s="319" t="str">
        <f>+NB!AA1212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TEXT(NB!V1213,"#0")&amp;"                        "&amp;TEXT(NB!Y1213,"#0")&amp;"   "</f>
        <v xml:space="preserve">2                        8   </v>
      </c>
      <c r="C50" s="388">
        <f>+NB!W1213</f>
        <v>26</v>
      </c>
      <c r="D50" s="355">
        <f>+NB!X1213</f>
        <v>24.5</v>
      </c>
      <c r="E50" s="179" t="str">
        <f>+NB!Z1213</f>
        <v xml:space="preserve"> </v>
      </c>
      <c r="F50" s="179"/>
      <c r="G50" s="311" t="str">
        <f>+NB!AA1213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TEXT(NB!V1214,"#0")&amp;"                        "&amp;TEXT(NB!Y1214,"#0")&amp;"   "</f>
        <v xml:space="preserve">2                        7   </v>
      </c>
      <c r="C51" s="389">
        <f>+NB!W1214</f>
        <v>24</v>
      </c>
      <c r="D51" s="356">
        <f>+NB!X1214</f>
        <v>22.5</v>
      </c>
      <c r="E51" s="318" t="str">
        <f>+NB!Z1214</f>
        <v xml:space="preserve"> </v>
      </c>
      <c r="F51" s="318"/>
      <c r="G51" s="320" t="str">
        <f>+NB!AA1214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TEXT(NB!V1215,"#0")&amp;"                        "&amp;TEXT(NB!Y1215,"#0")&amp;"   "</f>
        <v xml:space="preserve">2                        6   </v>
      </c>
      <c r="C52" s="388">
        <f>+NB!W1215</f>
        <v>22</v>
      </c>
      <c r="D52" s="355">
        <f>+NB!X1215</f>
        <v>20.5</v>
      </c>
      <c r="E52" s="179" t="str">
        <f>+NB!Z1215</f>
        <v xml:space="preserve"> </v>
      </c>
      <c r="F52" s="179"/>
      <c r="G52" s="311" t="str">
        <f>+NB!AA1215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TEXT(NB!V1216,"#0")&amp;"                        "&amp;TEXT(NB!Y1216,"#0")&amp;"   "</f>
        <v xml:space="preserve">2                        5   </v>
      </c>
      <c r="C53" s="388">
        <f>+NB!W1216</f>
        <v>20</v>
      </c>
      <c r="D53" s="355">
        <f>+NB!X1216</f>
        <v>18.5</v>
      </c>
      <c r="E53" s="179" t="str">
        <f>+NB!Z1216</f>
        <v xml:space="preserve"> </v>
      </c>
      <c r="F53" s="179"/>
      <c r="G53" s="311" t="str">
        <f>+NB!AA1216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TEXT(NB!V1217,"#0")&amp;"                        "&amp;TEXT(NB!Y1217,"#0")&amp;"   "</f>
        <v xml:space="preserve">2                        4   </v>
      </c>
      <c r="C54" s="388">
        <f>+NB!W1217</f>
        <v>18</v>
      </c>
      <c r="D54" s="355">
        <f>+NB!X1217</f>
        <v>16.5</v>
      </c>
      <c r="E54" s="179" t="str">
        <f>+NB!Z1217</f>
        <v xml:space="preserve"> </v>
      </c>
      <c r="F54" s="179"/>
      <c r="G54" s="311" t="str">
        <f>+NB!AA1217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TEXT(NB!V1218,"#0")&amp;"                        "&amp;TEXT(NB!Y1218,"#0")&amp;"   "</f>
        <v xml:space="preserve">3                        3   </v>
      </c>
      <c r="C55" s="387">
        <f>+NB!W1218</f>
        <v>16</v>
      </c>
      <c r="D55" s="354">
        <f>+NB!X1218</f>
        <v>13.5</v>
      </c>
      <c r="E55" s="316" t="str">
        <f>+NB!Z1218</f>
        <v xml:space="preserve"> </v>
      </c>
      <c r="F55" s="316"/>
      <c r="G55" s="319" t="str">
        <f>+NB!AA1218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TEXT(NB!V1219,"#0")&amp;"                        "&amp;TEXT(NB!Y1219,"#0")&amp;"   "</f>
        <v xml:space="preserve">3                        2   </v>
      </c>
      <c r="C56" s="388">
        <f>+NB!W1219</f>
        <v>13</v>
      </c>
      <c r="D56" s="355">
        <f>+NB!X1219</f>
        <v>11</v>
      </c>
      <c r="E56" s="179" t="str">
        <f>+NB!Z1219</f>
        <v xml:space="preserve"> </v>
      </c>
      <c r="F56" s="179"/>
      <c r="G56" s="311" t="str">
        <f>+NB!AA1219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TEXT(NB!V1220,"#0")&amp;"                        "&amp;TEXT(NB!Y1220,"#0")&amp;"   "</f>
        <v xml:space="preserve">3                        1   </v>
      </c>
      <c r="C57" s="389">
        <f>+NB!W1220</f>
        <v>10.5</v>
      </c>
      <c r="D57" s="356">
        <f>+NB!X1220</f>
        <v>8</v>
      </c>
      <c r="E57" s="318" t="str">
        <f>+NB!Z1220</f>
        <v xml:space="preserve"> </v>
      </c>
      <c r="F57" s="318"/>
      <c r="G57" s="320" t="str">
        <f>+NB!AA1220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TEXT(NB!V1221,"#0")&amp;"                        "&amp;TEXT(NB!Y1221,"#0")&amp;"   "</f>
        <v xml:space="preserve">8                        0   </v>
      </c>
      <c r="C58" s="390">
        <f>+NB!W1221</f>
        <v>7.5</v>
      </c>
      <c r="D58" s="357">
        <f>+NB!X1221</f>
        <v>0</v>
      </c>
      <c r="E58" s="313" t="str">
        <f>+NB!Z1221</f>
        <v xml:space="preserve"> </v>
      </c>
      <c r="F58" s="313"/>
      <c r="G58" s="314" t="str">
        <f>+NB!AA1221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tabColor indexed="47"/>
  </sheetPr>
  <dimension ref="A1:AX270"/>
  <sheetViews>
    <sheetView showGridLines="0" zoomScaleNormal="97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- 4. Extemporale aus","II - 4. Kurzarbeit aus")</f>
        <v>II - 4. Extemporale aus</v>
      </c>
      <c r="C1" s="219" t="str">
        <f>IF(Notenbogen!F1="","",Notenbogen!F1)</f>
        <v/>
      </c>
      <c r="D1" s="226"/>
      <c r="E1" s="8"/>
      <c r="F1" s="216" t="s">
        <v>27</v>
      </c>
      <c r="G1" s="494"/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IF(D4="","",IF($H$3="BE",LOOKUP(IF(E4="",D4+0.01,D4*$H$30/E4+0.5),NB!$X$1324:$X$1339,NB!$Y$1324:$Y$1339),D4))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IF(D5="","",IF($H$3="BE",LOOKUP(IF(E5="",D5+0.01,D5*$H$30/E5+0.5),NB!$X$1324:$X$1339,NB!$Y$1324:$Y$1339),D5))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IF(D6="","",IF($H$3="BE",LOOKUP(IF(E6="",D6+0.01,D6*$H$30/E6+0.5),NB!$X$1324:$X$1339,NB!$Y$1324:$Y$1339),D6))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IF(D7="","",IF($H$3="BE",LOOKUP(IF(E7="",D7+0.01,D7*$H$30/E7+0.5),NB!$X$1324:$X$1339,NB!$Y$1324:$Y$1339),D7))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IF(D8="","",IF($H$3="BE",LOOKUP(IF(E8="",D8+0.01,D8*$H$30/E8+0.5),NB!$X$1324:$X$1339,NB!$Y$1324:$Y$1339),D8))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IF(D9="","",IF($H$3="BE",LOOKUP(IF(E9="",D9+0.01,D9*$H$30/E9+0.5),NB!$X$1324:$X$1339,NB!$Y$1324:$Y$1339),D9))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IF(D10="","",IF($H$3="BE",LOOKUP(IF(E10="",D10+0.01,D10*$H$30/E10+0.5),NB!$X$1324:$X$1339,NB!$Y$1324:$Y$1339),D10))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IF(D11="","",IF($H$3="BE",LOOKUP(IF(E11="",D11+0.01,D11*$H$30/E11+0.5),NB!$X$1324:$X$1339,NB!$Y$1324:$Y$1339),D11))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IF(D12="","",IF($H$3="BE",LOOKUP(IF(E12="",D12+0.01,D12*$H$30/E12+0.5),NB!$X$1324:$X$1339,NB!$Y$1324:$Y$1339),D12))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IF(D13="","",IF($H$3="BE",LOOKUP(IF(E13="",D13+0.01,D13*$H$30/E13+0.5),NB!$X$1324:$X$1339,NB!$Y$1324:$Y$1339),D13))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IF(D14="","",IF($H$3="BE",LOOKUP(IF(E14="",D14+0.01,D14*$H$30/E14+0.5),NB!$X$1324:$X$1339,NB!$Y$1324:$Y$1339),D14))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IF(D15="","",IF($H$3="BE",LOOKUP(IF(E15="",D15+0.01,D15*$H$30/E15+0.5),NB!$X$1324:$X$1339,NB!$Y$1324:$Y$1339),D15))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IF(D16="","",IF($H$3="BE",LOOKUP(IF(E16="",D16+0.01,D16*$H$30/E16+0.5),NB!$X$1324:$X$1339,NB!$Y$1324:$Y$1339),D16))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IF(D17="","",IF($H$3="BE",LOOKUP(IF(E17="",D17+0.01,D17*$H$30/E17+0.5),NB!$X$1324:$X$1339,NB!$Y$1324:$Y$1339),D17))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IF(D18="","",IF($H$3="BE",LOOKUP(IF(E18="",D18+0.01,D18*$H$30/E18+0.5),NB!$X$1324:$X$1339,NB!$Y$1324:$Y$1339),D18))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IF(D19="","",IF($H$3="BE",LOOKUP(IF(E19="",D19+0.01,D19*$H$30/E19+0.5),NB!$X$1324:$X$1339,NB!$Y$1324:$Y$1339),D19))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IF(D20="","",IF($H$3="BE",LOOKUP(IF(E20="",D20+0.01,D20*$H$30/E20+0.5),NB!$X$1324:$X$1339,NB!$Y$1324:$Y$1339),D20))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IF(D21="","",IF($H$3="BE",LOOKUP(IF(E21="",D21+0.01,D21*$H$30/E21+0.5),NB!$X$1324:$X$1339,NB!$Y$1324:$Y$1339),D21))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IF(D22="","",IF($H$3="BE",LOOKUP(IF(E22="",D22+0.01,D22*$H$30/E22+0.5),NB!$X$1324:$X$1339,NB!$Y$1324:$Y$1339),D22))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IF(D23="","",IF($H$3="BE",LOOKUP(IF(E23="",D23+0.01,D23*$H$30/E23+0.5),NB!$X$1324:$X$1339,NB!$Y$1324:$Y$1339),D23))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IF(D24="","",IF($H$3="BE",LOOKUP(IF(E24="",D24+0.01,D24*$H$30/E24+0.5),NB!$X$1324:$X$1339,NB!$Y$1324:$Y$1339),D24))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IF(D25="","",IF($H$3="BE",LOOKUP(IF(E25="",D25+0.01,D25*$H$30/E25+0.5),NB!$X$1324:$X$1339,NB!$Y$1324:$Y$1339),D25))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IF(D26="","",IF($H$3="BE",LOOKUP(IF(E26="",D26+0.01,D26*$H$30/E26+0.5),NB!$X$1324:$X$1339,NB!$Y$1324:$Y$1339),D26))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IF(D27="","",IF($H$3="BE",LOOKUP(IF(E27="",D27+0.01,D27*$H$30/E27+0.5),NB!$X$1324:$X$1339,NB!$Y$1324:$Y$1339),D27))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IF(D28="","",IF($H$3="BE",LOOKUP(IF(E28="",D28+0.01,D28*$H$30/E28+0.5),NB!$X$1324:$X$1339,NB!$Y$1324:$Y$1339),D28))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IF(D29="","",IF($H$3="BE",LOOKUP(IF(E29="",D29+0.01,D29*$H$30/E29+0.5),NB!$X$1324:$X$1339,NB!$Y$1324:$Y$1339),D29))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IF(D30="","",IF($H$3="BE",LOOKUP(IF(E30="",D30+0.01,D30*$H$30/E30+0.5),NB!$X$1324:$X$1339,NB!$Y$1324:$Y$1339),D30))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IF(D31="","",IF($H$3="BE",LOOKUP(IF(E31="",D31+0.01,D31*$H$30/E31+0.5),NB!$X$1324:$X$1339,NB!$Y$1324:$Y$1339),D31))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IF(D32="","",IF($H$3="BE",LOOKUP(IF(E32="",D32+0.01,D32*$H$30/E32+0.5),NB!$X$1324:$X$1339,NB!$Y$1324:$Y$1339),D32))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IF(D33="","",IF($H$3="BE",LOOKUP(IF(E33="",D33+0.01,D33*$H$30/E33+0.5),NB!$X$1324:$X$1339,NB!$Y$1324:$Y$1339),D33))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IF(D34="","",IF($H$3="BE",LOOKUP(IF(E34="",D34+0.01,D34*$H$30/E34+0.5),NB!$X$1324:$X$1339,NB!$Y$1324:$Y$1339),D34))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IF(D35="","",IF($H$3="BE",LOOKUP(IF(E35="",D35+0.01,D35*$H$30/E35+0.5),NB!$X$1324:$X$1339,NB!$Y$1324:$Y$1339),D35))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IF(D36="","",IF($H$3="BE",LOOKUP(IF(E36="",D36+0.01,D36*$H$30/E36+0.5),NB!$X$1324:$X$1339,NB!$Y$1324:$Y$1339),D36))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IF(D37="","",IF($H$3="BE",LOOKUP(IF(E37="",D37+0.01,D37*$H$30/E37+0.5),NB!$X$1324:$X$1339,NB!$Y$1324:$Y$1339),D37))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IF(D38="","",IF($H$3="BE",LOOKUP(IF(E38="",D38+0.01,D38*$H$30/E38+0.5),NB!$X$1324:$X$1339,NB!$Y$1324:$Y$1339),D38))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363"/>
      <c r="B43" s="370" t="str">
        <f>TEXT(NB!V1306,"0,0")&amp;"                      "&amp;TEXT(NB!Y1306,"#0")&amp;"   "</f>
        <v xml:space="preserve">2,0                      15   </v>
      </c>
      <c r="C43" s="366">
        <f>+NB!W1306</f>
        <v>40</v>
      </c>
      <c r="D43" s="354">
        <f>+NB!X1306</f>
        <v>38.5</v>
      </c>
      <c r="E43" s="316" t="str">
        <f>+NB!Z1306</f>
        <v xml:space="preserve"> </v>
      </c>
      <c r="F43" s="316"/>
      <c r="G43" s="319" t="str">
        <f>+NB!AA1306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363"/>
      <c r="B44" s="371" t="str">
        <f>TEXT(NB!V1307,"0,0")&amp;"                      "&amp;TEXT(NB!Y1307,"#0")&amp;"   "</f>
        <v xml:space="preserve">2,0                      14   </v>
      </c>
      <c r="C44" s="367">
        <f>+NB!W1307</f>
        <v>38</v>
      </c>
      <c r="D44" s="355">
        <f>+NB!X1307</f>
        <v>36.5</v>
      </c>
      <c r="E44" s="179" t="str">
        <f>+NB!Z1307</f>
        <v xml:space="preserve"> </v>
      </c>
      <c r="F44" s="179"/>
      <c r="G44" s="311" t="str">
        <f>+NB!AA1307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364"/>
      <c r="B45" s="372" t="str">
        <f>TEXT(NB!V1308,"0,0")&amp;"                      "&amp;TEXT(NB!Y1308,"#0")&amp;"   "</f>
        <v xml:space="preserve">2,0                      13   </v>
      </c>
      <c r="C45" s="368">
        <f>+NB!W1308</f>
        <v>36</v>
      </c>
      <c r="D45" s="356">
        <f>+NB!X1308</f>
        <v>34.5</v>
      </c>
      <c r="E45" s="318" t="str">
        <f>+NB!Z1308</f>
        <v xml:space="preserve"> </v>
      </c>
      <c r="F45" s="318"/>
      <c r="G45" s="320" t="str">
        <f>+NB!AA1308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363"/>
      <c r="B46" s="370" t="str">
        <f>TEXT(NB!V1309,"0,0")&amp;"                      "&amp;TEXT(NB!Y1309,"#0")&amp;"   "</f>
        <v xml:space="preserve">2,0                      12   </v>
      </c>
      <c r="C46" s="367">
        <f>+NB!W1309</f>
        <v>34</v>
      </c>
      <c r="D46" s="355">
        <f>+NB!X1309</f>
        <v>32.5</v>
      </c>
      <c r="E46" s="179" t="str">
        <f>+NB!Z1309</f>
        <v xml:space="preserve"> </v>
      </c>
      <c r="F46" s="179"/>
      <c r="G46" s="311" t="str">
        <f>+NB!AA1309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363"/>
      <c r="B47" s="371" t="str">
        <f>TEXT(NB!V1310,"0,0")&amp;"                      "&amp;TEXT(NB!Y1310,"#0")&amp;"   "</f>
        <v xml:space="preserve">2,0                      11   </v>
      </c>
      <c r="C47" s="367">
        <f>+NB!W1310</f>
        <v>32</v>
      </c>
      <c r="D47" s="355">
        <f>+NB!X1310</f>
        <v>30.5</v>
      </c>
      <c r="E47" s="179" t="str">
        <f>+NB!Z1310</f>
        <v xml:space="preserve"> </v>
      </c>
      <c r="F47" s="179"/>
      <c r="G47" s="311" t="str">
        <f>+NB!AA1310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364"/>
      <c r="B48" s="372" t="str">
        <f>TEXT(NB!V1311,"0,0")&amp;"                      "&amp;TEXT(NB!Y1311,"#0")&amp;"   "</f>
        <v xml:space="preserve">2,0                      10   </v>
      </c>
      <c r="C48" s="367">
        <f>+NB!W1311</f>
        <v>30</v>
      </c>
      <c r="D48" s="355">
        <f>+NB!X1311</f>
        <v>28.5</v>
      </c>
      <c r="E48" s="179" t="str">
        <f>+NB!Z1311</f>
        <v xml:space="preserve"> </v>
      </c>
      <c r="F48" s="179"/>
      <c r="G48" s="311" t="str">
        <f>+NB!AA1311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363"/>
      <c r="B49" s="370" t="str">
        <f>TEXT(NB!V1312,"0,0")&amp;"                        "&amp;TEXT(NB!Y1312,"#0")&amp;"   "</f>
        <v xml:space="preserve">2,0                        9   </v>
      </c>
      <c r="C49" s="366">
        <f>+NB!W1312</f>
        <v>28</v>
      </c>
      <c r="D49" s="354">
        <f>+NB!X1312</f>
        <v>26.5</v>
      </c>
      <c r="E49" s="316" t="str">
        <f>+NB!Z1312</f>
        <v xml:space="preserve"> </v>
      </c>
      <c r="F49" s="316"/>
      <c r="G49" s="319" t="str">
        <f>+NB!AA1312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363"/>
      <c r="B50" s="371" t="str">
        <f>TEXT(NB!V1313,"0,0")&amp;"                        "&amp;TEXT(NB!Y1313,"#0")&amp;"   "</f>
        <v xml:space="preserve">2,0                        8   </v>
      </c>
      <c r="C50" s="367">
        <f>+NB!W1313</f>
        <v>26</v>
      </c>
      <c r="D50" s="355">
        <f>+NB!X1313</f>
        <v>24.5</v>
      </c>
      <c r="E50" s="179" t="str">
        <f>+NB!Z1313</f>
        <v xml:space="preserve"> </v>
      </c>
      <c r="F50" s="179"/>
      <c r="G50" s="311" t="str">
        <f>+NB!AA1313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364"/>
      <c r="B51" s="372" t="str">
        <f>TEXT(NB!V1314,"0,0")&amp;"                        "&amp;TEXT(NB!Y1314,"#0")&amp;"   "</f>
        <v xml:space="preserve">2,0                        7   </v>
      </c>
      <c r="C51" s="368">
        <f>+NB!W1314</f>
        <v>24</v>
      </c>
      <c r="D51" s="356">
        <f>+NB!X1314</f>
        <v>22.5</v>
      </c>
      <c r="E51" s="318" t="str">
        <f>+NB!Z1314</f>
        <v xml:space="preserve"> </v>
      </c>
      <c r="F51" s="318"/>
      <c r="G51" s="320" t="str">
        <f>+NB!AA1314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363"/>
      <c r="B52" s="370" t="str">
        <f>TEXT(NB!V1315,"0,0")&amp;"                        "&amp;TEXT(NB!Y1315,"#0")&amp;"   "</f>
        <v xml:space="preserve">2,0                        6   </v>
      </c>
      <c r="C52" s="367">
        <f>+NB!W1315</f>
        <v>22</v>
      </c>
      <c r="D52" s="355">
        <f>+NB!X1315</f>
        <v>20.5</v>
      </c>
      <c r="E52" s="179" t="str">
        <f>+NB!Z1315</f>
        <v xml:space="preserve"> </v>
      </c>
      <c r="F52" s="179"/>
      <c r="G52" s="311" t="str">
        <f>+NB!AA1315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363"/>
      <c r="B53" s="371" t="str">
        <f>TEXT(NB!V1316,"0,0")&amp;"                        "&amp;TEXT(NB!Y1316,"#0")&amp;"   "</f>
        <v xml:space="preserve">2,0                        5   </v>
      </c>
      <c r="C53" s="367">
        <f>+NB!W1316</f>
        <v>20</v>
      </c>
      <c r="D53" s="355">
        <f>+NB!X1316</f>
        <v>18.5</v>
      </c>
      <c r="E53" s="179" t="str">
        <f>+NB!Z1316</f>
        <v xml:space="preserve"> </v>
      </c>
      <c r="F53" s="179"/>
      <c r="G53" s="311" t="str">
        <f>+NB!AA1316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364"/>
      <c r="B54" s="372" t="str">
        <f>TEXT(NB!V1317,"0,0")&amp;"                        "&amp;TEXT(NB!Y1317,"#0")&amp;"   "</f>
        <v xml:space="preserve">2,0                        4   </v>
      </c>
      <c r="C54" s="367">
        <f>+NB!W1317</f>
        <v>18</v>
      </c>
      <c r="D54" s="355">
        <f>+NB!X1317</f>
        <v>16.5</v>
      </c>
      <c r="E54" s="179" t="str">
        <f>+NB!Z1317</f>
        <v xml:space="preserve"> </v>
      </c>
      <c r="F54" s="179"/>
      <c r="G54" s="311" t="str">
        <f>+NB!AA1317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363"/>
      <c r="B55" s="370" t="str">
        <f>TEXT(NB!V1318,"0,0")&amp;"                        "&amp;TEXT(NB!Y1318,"#0")&amp;"   "</f>
        <v xml:space="preserve">3,0                        3   </v>
      </c>
      <c r="C55" s="366">
        <f>+NB!W1318</f>
        <v>16</v>
      </c>
      <c r="D55" s="354">
        <f>+NB!X1318</f>
        <v>13.5</v>
      </c>
      <c r="E55" s="316" t="str">
        <f>+NB!Z1318</f>
        <v xml:space="preserve"> </v>
      </c>
      <c r="F55" s="316"/>
      <c r="G55" s="319" t="str">
        <f>+NB!AA1318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363"/>
      <c r="B56" s="371" t="str">
        <f>TEXT(NB!V1319,"0,0")&amp;"                        "&amp;TEXT(NB!Y1319,"#0")&amp;"   "</f>
        <v xml:space="preserve">2,5                        2   </v>
      </c>
      <c r="C56" s="367">
        <f>+NB!W1319</f>
        <v>13</v>
      </c>
      <c r="D56" s="355">
        <f>+NB!X1319</f>
        <v>11</v>
      </c>
      <c r="E56" s="179" t="str">
        <f>+NB!Z1319</f>
        <v xml:space="preserve"> </v>
      </c>
      <c r="F56" s="179"/>
      <c r="G56" s="311" t="str">
        <f>+NB!AA1319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364"/>
      <c r="B57" s="372" t="str">
        <f>TEXT(NB!V1320,"0,0")&amp;"                        "&amp;TEXT(NB!Y1320,"#0")&amp;"   "</f>
        <v xml:space="preserve">3,0                        1   </v>
      </c>
      <c r="C57" s="368">
        <f>+NB!W1320</f>
        <v>10.5</v>
      </c>
      <c r="D57" s="356">
        <f>+NB!X1320</f>
        <v>8</v>
      </c>
      <c r="E57" s="318" t="str">
        <f>+NB!Z1320</f>
        <v xml:space="preserve"> </v>
      </c>
      <c r="F57" s="318"/>
      <c r="G57" s="320" t="str">
        <f>+NB!AA1320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365"/>
      <c r="B58" s="373" t="str">
        <f>TEXT(NB!V1321,"0,0")&amp;"                        "&amp;TEXT(NB!Y1321,"#0")&amp;"   "</f>
        <v xml:space="preserve">7,5                        0   </v>
      </c>
      <c r="C58" s="369">
        <f>+NB!W1321</f>
        <v>7.5</v>
      </c>
      <c r="D58" s="357">
        <f>+NB!X1321</f>
        <v>0</v>
      </c>
      <c r="E58" s="313" t="str">
        <f>+NB!Z1321</f>
        <v xml:space="preserve"> </v>
      </c>
      <c r="F58" s="313"/>
      <c r="G58" s="314" t="str">
        <f>+NB!AA1321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8" right="0.49" top="0.53" bottom="0.54" header="0.4921259845" footer="0.4921259845"/>
  <pageSetup paperSize="9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F6" sqref="F6"/>
    </sheetView>
  </sheetViews>
  <sheetFormatPr baseColWidth="10" defaultRowHeight="12.75" x14ac:dyDescent="0.2"/>
  <cols>
    <col min="1" max="1" width="4.42578125" style="8" customWidth="1"/>
    <col min="2" max="2" width="22.140625" style="8" bestFit="1" customWidth="1"/>
    <col min="3" max="10" width="7.7109375" style="8" customWidth="1"/>
    <col min="11" max="16384" width="11.42578125" style="8"/>
  </cols>
  <sheetData>
    <row r="1" spans="1:11" ht="18" x14ac:dyDescent="0.25">
      <c r="B1" s="182" t="str">
        <f>"Abschlussprüfung "&amp;Notenbogen!S1</f>
        <v xml:space="preserve">Abschlussprüfung </v>
      </c>
      <c r="C1" s="183"/>
      <c r="D1" s="183"/>
    </row>
    <row r="2" spans="1:11" x14ac:dyDescent="0.2">
      <c r="B2" s="8" t="s">
        <v>83</v>
      </c>
      <c r="C2" s="498" t="str">
        <f>IF(Notenbogen!F1="","",Notenbogen!F1)</f>
        <v/>
      </c>
      <c r="D2" s="498"/>
      <c r="E2" s="498"/>
      <c r="F2" s="498"/>
    </row>
    <row r="3" spans="1:11" x14ac:dyDescent="0.2">
      <c r="B3" s="8" t="s">
        <v>24</v>
      </c>
      <c r="C3" s="499">
        <f>+Notenbogen!B1</f>
        <v>0</v>
      </c>
      <c r="D3" s="499"/>
      <c r="E3" s="499"/>
      <c r="F3" s="499"/>
    </row>
    <row r="4" spans="1:11" x14ac:dyDescent="0.2">
      <c r="B4" s="8" t="s">
        <v>0</v>
      </c>
      <c r="C4" s="197" t="str">
        <f>IF(Notenbogen!M1="","",Notenbogen!M1)</f>
        <v/>
      </c>
      <c r="D4" s="197"/>
      <c r="E4" s="197"/>
      <c r="F4" s="197"/>
    </row>
    <row r="5" spans="1:11" x14ac:dyDescent="0.2">
      <c r="A5" s="9"/>
      <c r="B5" s="9"/>
      <c r="C5" s="10" t="s">
        <v>107</v>
      </c>
      <c r="D5" s="495" t="s">
        <v>81</v>
      </c>
      <c r="E5" s="496"/>
      <c r="F5" s="10" t="s">
        <v>82</v>
      </c>
      <c r="G5" s="10" t="s">
        <v>94</v>
      </c>
      <c r="H5" s="497" t="s">
        <v>91</v>
      </c>
      <c r="I5" s="497"/>
    </row>
    <row r="6" spans="1:11" x14ac:dyDescent="0.2">
      <c r="A6" s="10">
        <f>I1SA!A4</f>
        <v>1</v>
      </c>
      <c r="B6" s="9" t="str">
        <f ca="1">IF(I1SA!B4=", ","",I1SA!B4)</f>
        <v/>
      </c>
      <c r="C6" s="195" t="str">
        <f t="shared" ref="C6:C40" ca="1" si="0">IF(INDIRECT("NB"&amp;TZ&amp;"B"&amp;TEXT(5+(A6-1)*2,0))=0,"",INDIRECT("Notenbogen"&amp;TZ&amp;"aa"&amp;TEXT(6+(A6-1)*2,0)))</f>
        <v/>
      </c>
      <c r="D6" s="33" t="str">
        <f>+APRohpunkte!AF4</f>
        <v/>
      </c>
      <c r="E6" s="10" t="str">
        <f>IF(D6="","",IF($C$42="BE",VLOOKUP(D6+0.5,NB!$V$1424:$Y$1439,4,TRUE),D6))</f>
        <v/>
      </c>
      <c r="F6" s="33"/>
      <c r="G6" s="195" t="str">
        <f>IF(E6="","",ROUNDUP((E6*2+F6)/(2+COUNT(F6)),2))</f>
        <v/>
      </c>
      <c r="H6" s="195" t="str">
        <f ca="1">IF(OR(C6="",E6="",E6&gt;15,F6&gt;15,D6&lt;0,F6&lt;0),"",+ROUNDUP((G6+C6)/2,2))</f>
        <v/>
      </c>
      <c r="I6" s="196" t="str">
        <f ca="1">IF(H6="","",IF(H6&lt;1,0,ROUND(H6,0)))</f>
        <v/>
      </c>
      <c r="J6" s="261"/>
      <c r="K6" s="269"/>
    </row>
    <row r="7" spans="1:11" x14ac:dyDescent="0.2">
      <c r="A7" s="10">
        <f>I1SA!A5</f>
        <v>2</v>
      </c>
      <c r="B7" s="9" t="str">
        <f ca="1">IF(I1SA!B5=", ","",I1SA!B5)</f>
        <v/>
      </c>
      <c r="C7" s="195" t="str">
        <f t="shared" ca="1" si="0"/>
        <v/>
      </c>
      <c r="D7" s="33" t="str">
        <f>+APRohpunkte!AF5</f>
        <v/>
      </c>
      <c r="E7" s="10" t="str">
        <f>IF(D7="","",IF($C$42="BE",VLOOKUP(D7+0.5,NB!$V$1424:$Y$1439,4,TRUE),D7))</f>
        <v/>
      </c>
      <c r="F7" s="33"/>
      <c r="G7" s="195" t="str">
        <f t="shared" ref="G7:G40" si="1">IF(E7="","",ROUNDUP((E7*2+F7)/(2+COUNT(F7)),2))</f>
        <v/>
      </c>
      <c r="H7" s="195" t="str">
        <f t="shared" ref="H7:H40" ca="1" si="2">IF(OR(C7="",E7="",E7&gt;15,F7&gt;15,D7&lt;0,F7&lt;0),"",+ROUNDUP((G7+C7)/2,2))</f>
        <v/>
      </c>
      <c r="I7" s="196" t="str">
        <f t="shared" ref="I7:I40" ca="1" si="3">IF(H7="","",IF(H7&lt;1,0,ROUND(H7,0)))</f>
        <v/>
      </c>
      <c r="K7" s="269"/>
    </row>
    <row r="8" spans="1:11" x14ac:dyDescent="0.2">
      <c r="A8" s="10">
        <f>I1SA!A6</f>
        <v>3</v>
      </c>
      <c r="B8" s="9" t="str">
        <f ca="1">IF(I1SA!B6=", ","",I1SA!B6)</f>
        <v/>
      </c>
      <c r="C8" s="195" t="str">
        <f t="shared" ca="1" si="0"/>
        <v/>
      </c>
      <c r="D8" s="33" t="str">
        <f>+APRohpunkte!AF6</f>
        <v/>
      </c>
      <c r="E8" s="10" t="str">
        <f>IF(D8="","",IF($C$42="BE",VLOOKUP(D8+0.5,NB!$V$1424:$Y$1439,4,TRUE),D8))</f>
        <v/>
      </c>
      <c r="F8" s="33"/>
      <c r="G8" s="195" t="str">
        <f t="shared" si="1"/>
        <v/>
      </c>
      <c r="H8" s="195" t="str">
        <f t="shared" ca="1" si="2"/>
        <v/>
      </c>
      <c r="I8" s="196" t="str">
        <f t="shared" ca="1" si="3"/>
        <v/>
      </c>
      <c r="K8" s="269"/>
    </row>
    <row r="9" spans="1:11" x14ac:dyDescent="0.2">
      <c r="A9" s="10">
        <f>I1SA!A7</f>
        <v>4</v>
      </c>
      <c r="B9" s="9" t="str">
        <f ca="1">IF(I1SA!B7=", ","",I1SA!B7)</f>
        <v/>
      </c>
      <c r="C9" s="195" t="str">
        <f t="shared" ca="1" si="0"/>
        <v/>
      </c>
      <c r="D9" s="33" t="str">
        <f>+APRohpunkte!AF7</f>
        <v/>
      </c>
      <c r="E9" s="10" t="str">
        <f>IF(D9="","",IF($C$42="BE",VLOOKUP(D9+0.5,NB!$V$1424:$Y$1439,4,TRUE),D9))</f>
        <v/>
      </c>
      <c r="F9" s="33"/>
      <c r="G9" s="195" t="str">
        <f t="shared" si="1"/>
        <v/>
      </c>
      <c r="H9" s="195" t="str">
        <f t="shared" ca="1" si="2"/>
        <v/>
      </c>
      <c r="I9" s="196" t="str">
        <f t="shared" ca="1" si="3"/>
        <v/>
      </c>
      <c r="K9" s="269"/>
    </row>
    <row r="10" spans="1:11" x14ac:dyDescent="0.2">
      <c r="A10" s="10">
        <f>I1SA!A8</f>
        <v>5</v>
      </c>
      <c r="B10" s="9" t="str">
        <f ca="1">IF(I1SA!B8=", ","",I1SA!B8)</f>
        <v/>
      </c>
      <c r="C10" s="195" t="str">
        <f t="shared" ca="1" si="0"/>
        <v/>
      </c>
      <c r="D10" s="33" t="str">
        <f>+APRohpunkte!AF8</f>
        <v/>
      </c>
      <c r="E10" s="10" t="str">
        <f>IF(D10="","",IF($C$42="BE",VLOOKUP(D10+0.5,NB!$V$1424:$Y$1439,4,TRUE),D10))</f>
        <v/>
      </c>
      <c r="F10" s="33"/>
      <c r="G10" s="195" t="str">
        <f t="shared" si="1"/>
        <v/>
      </c>
      <c r="H10" s="195" t="str">
        <f t="shared" ca="1" si="2"/>
        <v/>
      </c>
      <c r="I10" s="196" t="str">
        <f t="shared" ca="1" si="3"/>
        <v/>
      </c>
      <c r="K10" s="269"/>
    </row>
    <row r="11" spans="1:11" x14ac:dyDescent="0.2">
      <c r="A11" s="10">
        <f>I1SA!A9</f>
        <v>6</v>
      </c>
      <c r="B11" s="9" t="str">
        <f ca="1">IF(I1SA!B9=", ","",I1SA!B9)</f>
        <v/>
      </c>
      <c r="C11" s="195" t="str">
        <f t="shared" ca="1" si="0"/>
        <v/>
      </c>
      <c r="D11" s="33" t="str">
        <f>+APRohpunkte!AF9</f>
        <v/>
      </c>
      <c r="E11" s="10" t="str">
        <f>IF(D11="","",IF($C$42="BE",VLOOKUP(D11+0.5,NB!$V$1424:$Y$1439,4,TRUE),D11))</f>
        <v/>
      </c>
      <c r="F11" s="33"/>
      <c r="G11" s="195" t="str">
        <f t="shared" si="1"/>
        <v/>
      </c>
      <c r="H11" s="195" t="str">
        <f t="shared" ca="1" si="2"/>
        <v/>
      </c>
      <c r="I11" s="196" t="str">
        <f t="shared" ca="1" si="3"/>
        <v/>
      </c>
      <c r="K11" s="269"/>
    </row>
    <row r="12" spans="1:11" x14ac:dyDescent="0.2">
      <c r="A12" s="10">
        <f>I1SA!A10</f>
        <v>7</v>
      </c>
      <c r="B12" s="9" t="str">
        <f ca="1">IF(I1SA!B10=", ","",I1SA!B10)</f>
        <v/>
      </c>
      <c r="C12" s="195" t="str">
        <f t="shared" ca="1" si="0"/>
        <v/>
      </c>
      <c r="D12" s="33" t="str">
        <f>+APRohpunkte!AF10</f>
        <v/>
      </c>
      <c r="E12" s="10" t="str">
        <f>IF(D12="","",IF($C$42="BE",VLOOKUP(D12+0.5,NB!$V$1424:$Y$1439,4,TRUE),D12))</f>
        <v/>
      </c>
      <c r="F12" s="33"/>
      <c r="G12" s="195" t="str">
        <f t="shared" si="1"/>
        <v/>
      </c>
      <c r="H12" s="195" t="str">
        <f t="shared" ca="1" si="2"/>
        <v/>
      </c>
      <c r="I12" s="196" t="str">
        <f t="shared" ca="1" si="3"/>
        <v/>
      </c>
      <c r="K12" s="269"/>
    </row>
    <row r="13" spans="1:11" x14ac:dyDescent="0.2">
      <c r="A13" s="10">
        <f>I1SA!A11</f>
        <v>8</v>
      </c>
      <c r="B13" s="9" t="str">
        <f ca="1">IF(I1SA!B11=", ","",I1SA!B11)</f>
        <v/>
      </c>
      <c r="C13" s="195" t="str">
        <f t="shared" ca="1" si="0"/>
        <v/>
      </c>
      <c r="D13" s="33" t="str">
        <f>+APRohpunkte!AF11</f>
        <v/>
      </c>
      <c r="E13" s="10" t="str">
        <f>IF(D13="","",IF($C$42="BE",VLOOKUP(D13+0.5,NB!$V$1424:$Y$1439,4,TRUE),D13))</f>
        <v/>
      </c>
      <c r="F13" s="33"/>
      <c r="G13" s="195" t="str">
        <f t="shared" si="1"/>
        <v/>
      </c>
      <c r="H13" s="195" t="str">
        <f t="shared" ca="1" si="2"/>
        <v/>
      </c>
      <c r="I13" s="196" t="str">
        <f t="shared" ca="1" si="3"/>
        <v/>
      </c>
      <c r="K13" s="269"/>
    </row>
    <row r="14" spans="1:11" x14ac:dyDescent="0.2">
      <c r="A14" s="10">
        <f>I1SA!A12</f>
        <v>9</v>
      </c>
      <c r="B14" s="9" t="str">
        <f ca="1">IF(I1SA!B12=", ","",I1SA!B12)</f>
        <v/>
      </c>
      <c r="C14" s="195" t="str">
        <f t="shared" ca="1" si="0"/>
        <v/>
      </c>
      <c r="D14" s="33" t="str">
        <f>+APRohpunkte!AF12</f>
        <v/>
      </c>
      <c r="E14" s="10" t="str">
        <f>IF(D14="","",IF($C$42="BE",VLOOKUP(D14+0.5,NB!$V$1424:$Y$1439,4,TRUE),D14))</f>
        <v/>
      </c>
      <c r="F14" s="33"/>
      <c r="G14" s="195" t="str">
        <f t="shared" si="1"/>
        <v/>
      </c>
      <c r="H14" s="195" t="str">
        <f t="shared" ca="1" si="2"/>
        <v/>
      </c>
      <c r="I14" s="196" t="str">
        <f t="shared" ca="1" si="3"/>
        <v/>
      </c>
      <c r="K14" s="269"/>
    </row>
    <row r="15" spans="1:11" x14ac:dyDescent="0.2">
      <c r="A15" s="10">
        <f>I1SA!A13</f>
        <v>10</v>
      </c>
      <c r="B15" s="9" t="str">
        <f ca="1">IF(I1SA!B13=", ","",I1SA!B13)</f>
        <v/>
      </c>
      <c r="C15" s="195" t="str">
        <f t="shared" ca="1" si="0"/>
        <v/>
      </c>
      <c r="D15" s="33" t="str">
        <f>+APRohpunkte!AF13</f>
        <v/>
      </c>
      <c r="E15" s="10" t="str">
        <f>IF(D15="","",IF($C$42="BE",VLOOKUP(D15+0.5,NB!$V$1424:$Y$1439,4,TRUE),D15))</f>
        <v/>
      </c>
      <c r="F15" s="33"/>
      <c r="G15" s="195" t="str">
        <f t="shared" si="1"/>
        <v/>
      </c>
      <c r="H15" s="195" t="str">
        <f t="shared" ca="1" si="2"/>
        <v/>
      </c>
      <c r="I15" s="196" t="str">
        <f t="shared" ca="1" si="3"/>
        <v/>
      </c>
      <c r="K15" s="269"/>
    </row>
    <row r="16" spans="1:11" x14ac:dyDescent="0.2">
      <c r="A16" s="10">
        <f>I1SA!A14</f>
        <v>11</v>
      </c>
      <c r="B16" s="9" t="str">
        <f ca="1">IF(I1SA!B14=", ","",I1SA!B14)</f>
        <v/>
      </c>
      <c r="C16" s="195" t="str">
        <f t="shared" ca="1" si="0"/>
        <v/>
      </c>
      <c r="D16" s="33" t="str">
        <f>+APRohpunkte!AF14</f>
        <v/>
      </c>
      <c r="E16" s="10" t="str">
        <f>IF(D16="","",IF($C$42="BE",VLOOKUP(D16+0.5,NB!$V$1424:$Y$1439,4,TRUE),D16))</f>
        <v/>
      </c>
      <c r="F16" s="33"/>
      <c r="G16" s="195" t="str">
        <f t="shared" si="1"/>
        <v/>
      </c>
      <c r="H16" s="195" t="str">
        <f t="shared" ca="1" si="2"/>
        <v/>
      </c>
      <c r="I16" s="196" t="str">
        <f t="shared" ca="1" si="3"/>
        <v/>
      </c>
      <c r="K16" s="269"/>
    </row>
    <row r="17" spans="1:9" x14ac:dyDescent="0.2">
      <c r="A17" s="10">
        <f>I1SA!A15</f>
        <v>12</v>
      </c>
      <c r="B17" s="9" t="str">
        <f ca="1">IF(I1SA!B15=", ","",I1SA!B15)</f>
        <v/>
      </c>
      <c r="C17" s="195" t="str">
        <f t="shared" ca="1" si="0"/>
        <v/>
      </c>
      <c r="D17" s="33" t="str">
        <f>+APRohpunkte!AF15</f>
        <v/>
      </c>
      <c r="E17" s="10" t="str">
        <f>IF(D17="","",IF($C$42="BE",VLOOKUP(D17+0.5,NB!$V$1424:$Y$1439,4,TRUE),D17))</f>
        <v/>
      </c>
      <c r="F17" s="33"/>
      <c r="G17" s="195" t="str">
        <f t="shared" si="1"/>
        <v/>
      </c>
      <c r="H17" s="195" t="str">
        <f t="shared" ca="1" si="2"/>
        <v/>
      </c>
      <c r="I17" s="196" t="str">
        <f t="shared" ca="1" si="3"/>
        <v/>
      </c>
    </row>
    <row r="18" spans="1:9" x14ac:dyDescent="0.2">
      <c r="A18" s="10">
        <f>I1SA!A16</f>
        <v>13</v>
      </c>
      <c r="B18" s="9" t="str">
        <f ca="1">IF(I1SA!B16=", ","",I1SA!B16)</f>
        <v/>
      </c>
      <c r="C18" s="195" t="str">
        <f t="shared" ca="1" si="0"/>
        <v/>
      </c>
      <c r="D18" s="33" t="str">
        <f>+APRohpunkte!AF16</f>
        <v/>
      </c>
      <c r="E18" s="10" t="str">
        <f>IF(D18="","",IF($C$42="BE",VLOOKUP(D18+0.5,NB!$V$1424:$Y$1439,4,TRUE),D18))</f>
        <v/>
      </c>
      <c r="F18" s="33"/>
      <c r="G18" s="195" t="str">
        <f t="shared" si="1"/>
        <v/>
      </c>
      <c r="H18" s="195" t="str">
        <f t="shared" ca="1" si="2"/>
        <v/>
      </c>
      <c r="I18" s="196" t="str">
        <f t="shared" ca="1" si="3"/>
        <v/>
      </c>
    </row>
    <row r="19" spans="1:9" x14ac:dyDescent="0.2">
      <c r="A19" s="10">
        <f>I1SA!A17</f>
        <v>14</v>
      </c>
      <c r="B19" s="9" t="str">
        <f ca="1">IF(I1SA!B17=", ","",I1SA!B17)</f>
        <v/>
      </c>
      <c r="C19" s="195" t="str">
        <f t="shared" ca="1" si="0"/>
        <v/>
      </c>
      <c r="D19" s="33" t="str">
        <f>+APRohpunkte!AF17</f>
        <v/>
      </c>
      <c r="E19" s="10" t="str">
        <f>IF(D19="","",IF($C$42="BE",VLOOKUP(D19+0.5,NB!$V$1424:$Y$1439,4,TRUE),D19))</f>
        <v/>
      </c>
      <c r="F19" s="33"/>
      <c r="G19" s="195" t="str">
        <f t="shared" si="1"/>
        <v/>
      </c>
      <c r="H19" s="195" t="str">
        <f t="shared" ca="1" si="2"/>
        <v/>
      </c>
      <c r="I19" s="196" t="str">
        <f t="shared" ca="1" si="3"/>
        <v/>
      </c>
    </row>
    <row r="20" spans="1:9" x14ac:dyDescent="0.2">
      <c r="A20" s="10">
        <f>I1SA!A18</f>
        <v>15</v>
      </c>
      <c r="B20" s="9" t="str">
        <f ca="1">IF(I1SA!B18=", ","",I1SA!B18)</f>
        <v/>
      </c>
      <c r="C20" s="195" t="str">
        <f t="shared" ca="1" si="0"/>
        <v/>
      </c>
      <c r="D20" s="33" t="str">
        <f>+APRohpunkte!AF18</f>
        <v/>
      </c>
      <c r="E20" s="10" t="str">
        <f>IF(D20="","",IF($C$42="BE",VLOOKUP(D20+0.5,NB!$V$1424:$Y$1439,4,TRUE),D20))</f>
        <v/>
      </c>
      <c r="F20" s="33"/>
      <c r="G20" s="195" t="str">
        <f t="shared" si="1"/>
        <v/>
      </c>
      <c r="H20" s="195" t="str">
        <f t="shared" ca="1" si="2"/>
        <v/>
      </c>
      <c r="I20" s="196" t="str">
        <f t="shared" ca="1" si="3"/>
        <v/>
      </c>
    </row>
    <row r="21" spans="1:9" ht="11.25" customHeight="1" x14ac:dyDescent="0.2">
      <c r="A21" s="10">
        <f>I1SA!A19</f>
        <v>16</v>
      </c>
      <c r="B21" s="9" t="str">
        <f ca="1">IF(I1SA!B19=", ","",I1SA!B19)</f>
        <v/>
      </c>
      <c r="C21" s="195" t="str">
        <f t="shared" ca="1" si="0"/>
        <v/>
      </c>
      <c r="D21" s="33" t="str">
        <f>+APRohpunkte!AF19</f>
        <v/>
      </c>
      <c r="E21" s="10" t="str">
        <f>IF(D21="","",IF($C$42="BE",VLOOKUP(D21+0.5,NB!$V$1424:$Y$1439,4,TRUE),D21))</f>
        <v/>
      </c>
      <c r="F21" s="33"/>
      <c r="G21" s="195" t="str">
        <f t="shared" si="1"/>
        <v/>
      </c>
      <c r="H21" s="195" t="str">
        <f t="shared" ca="1" si="2"/>
        <v/>
      </c>
      <c r="I21" s="196" t="str">
        <f t="shared" ca="1" si="3"/>
        <v/>
      </c>
    </row>
    <row r="22" spans="1:9" x14ac:dyDescent="0.2">
      <c r="A22" s="10">
        <f>I1SA!A20</f>
        <v>17</v>
      </c>
      <c r="B22" s="9" t="str">
        <f ca="1">IF(I1SA!B20=", ","",I1SA!B20)</f>
        <v/>
      </c>
      <c r="C22" s="195" t="str">
        <f t="shared" ca="1" si="0"/>
        <v/>
      </c>
      <c r="D22" s="33" t="str">
        <f>+APRohpunkte!AF20</f>
        <v/>
      </c>
      <c r="E22" s="10" t="str">
        <f>IF(D22="","",IF($C$42="BE",VLOOKUP(D22+0.5,NB!$V$1424:$Y$1439,4,TRUE),D22))</f>
        <v/>
      </c>
      <c r="F22" s="33"/>
      <c r="G22" s="195" t="str">
        <f t="shared" si="1"/>
        <v/>
      </c>
      <c r="H22" s="195" t="str">
        <f t="shared" ca="1" si="2"/>
        <v/>
      </c>
      <c r="I22" s="196" t="str">
        <f t="shared" ca="1" si="3"/>
        <v/>
      </c>
    </row>
    <row r="23" spans="1:9" x14ac:dyDescent="0.2">
      <c r="A23" s="10">
        <f>I1SA!A21</f>
        <v>18</v>
      </c>
      <c r="B23" s="9" t="str">
        <f ca="1">IF(I1SA!B21=", ","",I1SA!B21)</f>
        <v/>
      </c>
      <c r="C23" s="195" t="str">
        <f t="shared" ca="1" si="0"/>
        <v/>
      </c>
      <c r="D23" s="33" t="str">
        <f>+APRohpunkte!AF21</f>
        <v/>
      </c>
      <c r="E23" s="10" t="str">
        <f>IF(D23="","",IF($C$42="BE",VLOOKUP(D23+0.5,NB!$V$1424:$Y$1439,4,TRUE),D23))</f>
        <v/>
      </c>
      <c r="F23" s="33"/>
      <c r="G23" s="195" t="str">
        <f t="shared" si="1"/>
        <v/>
      </c>
      <c r="H23" s="195" t="str">
        <f t="shared" ca="1" si="2"/>
        <v/>
      </c>
      <c r="I23" s="196" t="str">
        <f t="shared" ca="1" si="3"/>
        <v/>
      </c>
    </row>
    <row r="24" spans="1:9" x14ac:dyDescent="0.2">
      <c r="A24" s="10">
        <f>I1SA!A22</f>
        <v>19</v>
      </c>
      <c r="B24" s="9" t="str">
        <f ca="1">IF(I1SA!B22=", ","",I1SA!B22)</f>
        <v/>
      </c>
      <c r="C24" s="195" t="str">
        <f t="shared" ca="1" si="0"/>
        <v/>
      </c>
      <c r="D24" s="33" t="str">
        <f>+APRohpunkte!AF22</f>
        <v/>
      </c>
      <c r="E24" s="10" t="str">
        <f>IF(D24="","",IF($C$42="BE",VLOOKUP(D24+0.5,NB!$V$1424:$Y$1439,4,TRUE),D24))</f>
        <v/>
      </c>
      <c r="F24" s="33"/>
      <c r="G24" s="195" t="str">
        <f t="shared" si="1"/>
        <v/>
      </c>
      <c r="H24" s="195" t="str">
        <f t="shared" ca="1" si="2"/>
        <v/>
      </c>
      <c r="I24" s="196" t="str">
        <f t="shared" ca="1" si="3"/>
        <v/>
      </c>
    </row>
    <row r="25" spans="1:9" x14ac:dyDescent="0.2">
      <c r="A25" s="10">
        <f>I1SA!A23</f>
        <v>20</v>
      </c>
      <c r="B25" s="9" t="str">
        <f ca="1">IF(I1SA!B23=", ","",I1SA!B23)</f>
        <v/>
      </c>
      <c r="C25" s="195" t="str">
        <f t="shared" ca="1" si="0"/>
        <v/>
      </c>
      <c r="D25" s="33" t="str">
        <f>+APRohpunkte!AF23</f>
        <v/>
      </c>
      <c r="E25" s="10" t="str">
        <f>IF(D25="","",IF($C$42="BE",VLOOKUP(D25+0.5,NB!$V$1424:$Y$1439,4,TRUE),D25))</f>
        <v/>
      </c>
      <c r="F25" s="33"/>
      <c r="G25" s="195" t="str">
        <f t="shared" si="1"/>
        <v/>
      </c>
      <c r="H25" s="195" t="str">
        <f t="shared" ca="1" si="2"/>
        <v/>
      </c>
      <c r="I25" s="196" t="str">
        <f t="shared" ca="1" si="3"/>
        <v/>
      </c>
    </row>
    <row r="26" spans="1:9" x14ac:dyDescent="0.2">
      <c r="A26" s="10">
        <f>I1SA!A24</f>
        <v>21</v>
      </c>
      <c r="B26" s="9" t="str">
        <f ca="1">IF(I1SA!B24=", ","",I1SA!B24)</f>
        <v/>
      </c>
      <c r="C26" s="195" t="str">
        <f t="shared" ca="1" si="0"/>
        <v/>
      </c>
      <c r="D26" s="33" t="str">
        <f>+APRohpunkte!AF24</f>
        <v/>
      </c>
      <c r="E26" s="10" t="str">
        <f>IF(D26="","",IF($C$42="BE",VLOOKUP(D26+0.5,NB!$V$1424:$Y$1439,4,TRUE),D26))</f>
        <v/>
      </c>
      <c r="F26" s="33"/>
      <c r="G26" s="195" t="str">
        <f t="shared" si="1"/>
        <v/>
      </c>
      <c r="H26" s="195" t="str">
        <f t="shared" ca="1" si="2"/>
        <v/>
      </c>
      <c r="I26" s="196" t="str">
        <f t="shared" ca="1" si="3"/>
        <v/>
      </c>
    </row>
    <row r="27" spans="1:9" x14ac:dyDescent="0.2">
      <c r="A27" s="10">
        <f>I1SA!A25</f>
        <v>22</v>
      </c>
      <c r="B27" s="9" t="str">
        <f ca="1">IF(I1SA!B25=", ","",I1SA!B25)</f>
        <v/>
      </c>
      <c r="C27" s="195" t="str">
        <f t="shared" ca="1" si="0"/>
        <v/>
      </c>
      <c r="D27" s="33" t="str">
        <f>+APRohpunkte!AF25</f>
        <v/>
      </c>
      <c r="E27" s="10" t="str">
        <f>IF(D27="","",IF($C$42="BE",VLOOKUP(D27+0.5,NB!$V$1424:$Y$1439,4,TRUE),D27))</f>
        <v/>
      </c>
      <c r="F27" s="33"/>
      <c r="G27" s="195" t="str">
        <f t="shared" si="1"/>
        <v/>
      </c>
      <c r="H27" s="195" t="str">
        <f t="shared" ca="1" si="2"/>
        <v/>
      </c>
      <c r="I27" s="196" t="str">
        <f t="shared" ca="1" si="3"/>
        <v/>
      </c>
    </row>
    <row r="28" spans="1:9" x14ac:dyDescent="0.2">
      <c r="A28" s="10">
        <f>I1SA!A26</f>
        <v>23</v>
      </c>
      <c r="B28" s="9" t="str">
        <f ca="1">IF(I1SA!B26=", ","",I1SA!B26)</f>
        <v/>
      </c>
      <c r="C28" s="195" t="str">
        <f t="shared" ca="1" si="0"/>
        <v/>
      </c>
      <c r="D28" s="33" t="str">
        <f>+APRohpunkte!AF26</f>
        <v/>
      </c>
      <c r="E28" s="10" t="str">
        <f>IF(D28="","",IF($C$42="BE",VLOOKUP(D28+0.5,NB!$V$1424:$Y$1439,4,TRUE),D28))</f>
        <v/>
      </c>
      <c r="F28" s="33"/>
      <c r="G28" s="195" t="str">
        <f t="shared" si="1"/>
        <v/>
      </c>
      <c r="H28" s="195" t="str">
        <f t="shared" ca="1" si="2"/>
        <v/>
      </c>
      <c r="I28" s="196" t="str">
        <f t="shared" ca="1" si="3"/>
        <v/>
      </c>
    </row>
    <row r="29" spans="1:9" x14ac:dyDescent="0.2">
      <c r="A29" s="10">
        <f>I1SA!A27</f>
        <v>24</v>
      </c>
      <c r="B29" s="9" t="str">
        <f ca="1">IF(I1SA!B27=", ","",I1SA!B27)</f>
        <v/>
      </c>
      <c r="C29" s="195" t="str">
        <f t="shared" ca="1" si="0"/>
        <v/>
      </c>
      <c r="D29" s="33" t="str">
        <f>+APRohpunkte!AF27</f>
        <v/>
      </c>
      <c r="E29" s="10" t="str">
        <f>IF(D29="","",IF($C$42="BE",VLOOKUP(D29+0.5,NB!$V$1424:$Y$1439,4,TRUE),D29))</f>
        <v/>
      </c>
      <c r="F29" s="33"/>
      <c r="G29" s="195" t="str">
        <f t="shared" si="1"/>
        <v/>
      </c>
      <c r="H29" s="195" t="str">
        <f t="shared" ca="1" si="2"/>
        <v/>
      </c>
      <c r="I29" s="196" t="str">
        <f t="shared" ca="1" si="3"/>
        <v/>
      </c>
    </row>
    <row r="30" spans="1:9" x14ac:dyDescent="0.2">
      <c r="A30" s="10">
        <f>I1SA!A28</f>
        <v>25</v>
      </c>
      <c r="B30" s="9" t="str">
        <f ca="1">IF(I1SA!B28=", ","",I1SA!B28)</f>
        <v/>
      </c>
      <c r="C30" s="195" t="str">
        <f t="shared" ca="1" si="0"/>
        <v/>
      </c>
      <c r="D30" s="33" t="str">
        <f>+APRohpunkte!AF28</f>
        <v/>
      </c>
      <c r="E30" s="10" t="str">
        <f>IF(D30="","",IF($C$42="BE",VLOOKUP(D30+0.5,NB!$V$1424:$Y$1439,4,TRUE),D30))</f>
        <v/>
      </c>
      <c r="F30" s="33"/>
      <c r="G30" s="195" t="str">
        <f t="shared" si="1"/>
        <v/>
      </c>
      <c r="H30" s="195" t="str">
        <f t="shared" ca="1" si="2"/>
        <v/>
      </c>
      <c r="I30" s="196" t="str">
        <f t="shared" ca="1" si="3"/>
        <v/>
      </c>
    </row>
    <row r="31" spans="1:9" x14ac:dyDescent="0.2">
      <c r="A31" s="10">
        <f>I1SA!A29</f>
        <v>26</v>
      </c>
      <c r="B31" s="9" t="str">
        <f ca="1">IF(I1SA!B29=", ","",I1SA!B29)</f>
        <v/>
      </c>
      <c r="C31" s="195" t="str">
        <f t="shared" ca="1" si="0"/>
        <v/>
      </c>
      <c r="D31" s="33" t="str">
        <f>+APRohpunkte!AF29</f>
        <v/>
      </c>
      <c r="E31" s="10" t="str">
        <f>IF(D31="","",IF($C$42="BE",VLOOKUP(D31+0.5,NB!$V$1424:$Y$1439,4,TRUE),D31))</f>
        <v/>
      </c>
      <c r="F31" s="33"/>
      <c r="G31" s="195" t="str">
        <f t="shared" si="1"/>
        <v/>
      </c>
      <c r="H31" s="195" t="str">
        <f t="shared" ca="1" si="2"/>
        <v/>
      </c>
      <c r="I31" s="196" t="str">
        <f t="shared" ca="1" si="3"/>
        <v/>
      </c>
    </row>
    <row r="32" spans="1:9" x14ac:dyDescent="0.2">
      <c r="A32" s="10">
        <f>I1SA!A30</f>
        <v>27</v>
      </c>
      <c r="B32" s="9" t="str">
        <f ca="1">IF(I1SA!B30=", ","",I1SA!B30)</f>
        <v/>
      </c>
      <c r="C32" s="195" t="str">
        <f t="shared" ca="1" si="0"/>
        <v/>
      </c>
      <c r="D32" s="33" t="str">
        <f>+APRohpunkte!AF30</f>
        <v/>
      </c>
      <c r="E32" s="10" t="str">
        <f>IF(D32="","",IF($C$42="BE",VLOOKUP(D32+0.5,NB!$V$1424:$Y$1439,4,TRUE),D32))</f>
        <v/>
      </c>
      <c r="F32" s="33"/>
      <c r="G32" s="195" t="str">
        <f t="shared" si="1"/>
        <v/>
      </c>
      <c r="H32" s="195" t="str">
        <f t="shared" ca="1" si="2"/>
        <v/>
      </c>
      <c r="I32" s="196" t="str">
        <f t="shared" ca="1" si="3"/>
        <v/>
      </c>
    </row>
    <row r="33" spans="1:9" x14ac:dyDescent="0.2">
      <c r="A33" s="10">
        <f>I1SA!A31</f>
        <v>28</v>
      </c>
      <c r="B33" s="9" t="str">
        <f ca="1">IF(I1SA!B31=", ","",I1SA!B31)</f>
        <v/>
      </c>
      <c r="C33" s="195" t="str">
        <f t="shared" ca="1" si="0"/>
        <v/>
      </c>
      <c r="D33" s="33" t="str">
        <f>+APRohpunkte!AF31</f>
        <v/>
      </c>
      <c r="E33" s="10" t="str">
        <f>IF(D33="","",IF($C$42="BE",VLOOKUP(D33+0.5,NB!$V$1424:$Y$1439,4,TRUE),D33))</f>
        <v/>
      </c>
      <c r="F33" s="33"/>
      <c r="G33" s="195" t="str">
        <f t="shared" si="1"/>
        <v/>
      </c>
      <c r="H33" s="195" t="str">
        <f t="shared" ca="1" si="2"/>
        <v/>
      </c>
      <c r="I33" s="196" t="str">
        <f t="shared" ca="1" si="3"/>
        <v/>
      </c>
    </row>
    <row r="34" spans="1:9" x14ac:dyDescent="0.2">
      <c r="A34" s="10">
        <f>I1SA!A32</f>
        <v>29</v>
      </c>
      <c r="B34" s="9" t="str">
        <f ca="1">IF(I1SA!B32=", ","",I1SA!B32)</f>
        <v/>
      </c>
      <c r="C34" s="195" t="str">
        <f t="shared" ca="1" si="0"/>
        <v/>
      </c>
      <c r="D34" s="33" t="str">
        <f>+APRohpunkte!AF32</f>
        <v/>
      </c>
      <c r="E34" s="10" t="str">
        <f>IF(D34="","",IF($C$42="BE",VLOOKUP(D34+0.5,NB!$V$1424:$Y$1439,4,TRUE),D34))</f>
        <v/>
      </c>
      <c r="F34" s="33"/>
      <c r="G34" s="195" t="str">
        <f t="shared" si="1"/>
        <v/>
      </c>
      <c r="H34" s="195" t="str">
        <f t="shared" ca="1" si="2"/>
        <v/>
      </c>
      <c r="I34" s="196" t="str">
        <f t="shared" ca="1" si="3"/>
        <v/>
      </c>
    </row>
    <row r="35" spans="1:9" x14ac:dyDescent="0.2">
      <c r="A35" s="10">
        <f>I1SA!A33</f>
        <v>30</v>
      </c>
      <c r="B35" s="9" t="str">
        <f ca="1">IF(I1SA!B33=", ","",I1SA!B33)</f>
        <v/>
      </c>
      <c r="C35" s="195" t="str">
        <f t="shared" ca="1" si="0"/>
        <v/>
      </c>
      <c r="D35" s="33" t="str">
        <f>+APRohpunkte!AF33</f>
        <v/>
      </c>
      <c r="E35" s="10" t="str">
        <f>IF(D35="","",IF($C$42="BE",VLOOKUP(D35+0.5,NB!$V$1424:$Y$1439,4,TRUE),D35))</f>
        <v/>
      </c>
      <c r="F35" s="33"/>
      <c r="G35" s="195" t="str">
        <f t="shared" si="1"/>
        <v/>
      </c>
      <c r="H35" s="195" t="str">
        <f t="shared" ca="1" si="2"/>
        <v/>
      </c>
      <c r="I35" s="196" t="str">
        <f t="shared" ca="1" si="3"/>
        <v/>
      </c>
    </row>
    <row r="36" spans="1:9" x14ac:dyDescent="0.2">
      <c r="A36" s="10">
        <f>I1SA!A34</f>
        <v>31</v>
      </c>
      <c r="B36" s="9" t="str">
        <f ca="1">IF(I1SA!B34=", ","",I1SA!B34)</f>
        <v/>
      </c>
      <c r="C36" s="195" t="str">
        <f t="shared" ca="1" si="0"/>
        <v/>
      </c>
      <c r="D36" s="33" t="str">
        <f>+APRohpunkte!AF34</f>
        <v/>
      </c>
      <c r="E36" s="10" t="str">
        <f>IF(D36="","",IF($C$42="BE",VLOOKUP(D36+0.5,NB!$V$1424:$Y$1439,4,TRUE),D36))</f>
        <v/>
      </c>
      <c r="F36" s="33"/>
      <c r="G36" s="195" t="str">
        <f t="shared" si="1"/>
        <v/>
      </c>
      <c r="H36" s="195" t="str">
        <f t="shared" ca="1" si="2"/>
        <v/>
      </c>
      <c r="I36" s="196" t="str">
        <f t="shared" ca="1" si="3"/>
        <v/>
      </c>
    </row>
    <row r="37" spans="1:9" x14ac:dyDescent="0.2">
      <c r="A37" s="10">
        <f>I1SA!A35</f>
        <v>32</v>
      </c>
      <c r="B37" s="9" t="str">
        <f ca="1">IF(I1SA!B35=", ","",I1SA!B35)</f>
        <v/>
      </c>
      <c r="C37" s="195" t="str">
        <f t="shared" ca="1" si="0"/>
        <v/>
      </c>
      <c r="D37" s="33" t="str">
        <f>+APRohpunkte!AF35</f>
        <v/>
      </c>
      <c r="E37" s="10" t="str">
        <f>IF(D37="","",IF($C$42="BE",VLOOKUP(D37+0.5,NB!$V$1424:$Y$1439,4,TRUE),D37))</f>
        <v/>
      </c>
      <c r="F37" s="33"/>
      <c r="G37" s="195" t="str">
        <f t="shared" si="1"/>
        <v/>
      </c>
      <c r="H37" s="195" t="str">
        <f t="shared" ca="1" si="2"/>
        <v/>
      </c>
      <c r="I37" s="196" t="str">
        <f t="shared" ca="1" si="3"/>
        <v/>
      </c>
    </row>
    <row r="38" spans="1:9" x14ac:dyDescent="0.2">
      <c r="A38" s="10">
        <f>I1SA!A36</f>
        <v>33</v>
      </c>
      <c r="B38" s="9" t="str">
        <f ca="1">IF(I1SA!B36=", ","",I1SA!B36)</f>
        <v/>
      </c>
      <c r="C38" s="195" t="str">
        <f t="shared" ca="1" si="0"/>
        <v/>
      </c>
      <c r="D38" s="33" t="str">
        <f>+APRohpunkte!AF36</f>
        <v/>
      </c>
      <c r="E38" s="10" t="str">
        <f>IF(D38="","",IF($C$42="BE",VLOOKUP(D38+0.5,NB!$V$1424:$Y$1439,4,TRUE),D38))</f>
        <v/>
      </c>
      <c r="F38" s="33"/>
      <c r="G38" s="195" t="str">
        <f t="shared" si="1"/>
        <v/>
      </c>
      <c r="H38" s="195" t="str">
        <f t="shared" ca="1" si="2"/>
        <v/>
      </c>
      <c r="I38" s="196" t="str">
        <f t="shared" ca="1" si="3"/>
        <v/>
      </c>
    </row>
    <row r="39" spans="1:9" x14ac:dyDescent="0.2">
      <c r="A39" s="10">
        <f>I1SA!A37</f>
        <v>34</v>
      </c>
      <c r="B39" s="9" t="str">
        <f ca="1">IF(I1SA!B37=", ","",I1SA!B37)</f>
        <v/>
      </c>
      <c r="C39" s="195" t="str">
        <f t="shared" ca="1" si="0"/>
        <v/>
      </c>
      <c r="D39" s="33" t="str">
        <f>+APRohpunkte!AF37</f>
        <v/>
      </c>
      <c r="E39" s="10" t="str">
        <f>IF(D39="","",IF($C$42="BE",VLOOKUP(D39+0.5,NB!$V$1424:$Y$1439,4,TRUE),D39))</f>
        <v/>
      </c>
      <c r="F39" s="33"/>
      <c r="G39" s="195" t="str">
        <f t="shared" si="1"/>
        <v/>
      </c>
      <c r="H39" s="195" t="str">
        <f t="shared" ca="1" si="2"/>
        <v/>
      </c>
      <c r="I39" s="196" t="str">
        <f t="shared" ca="1" si="3"/>
        <v/>
      </c>
    </row>
    <row r="40" spans="1:9" x14ac:dyDescent="0.2">
      <c r="A40" s="10">
        <f>I1SA!A38</f>
        <v>35</v>
      </c>
      <c r="B40" s="9" t="str">
        <f ca="1">IF(I1SA!B38=", ","",I1SA!B38)</f>
        <v/>
      </c>
      <c r="C40" s="195" t="str">
        <f t="shared" ca="1" si="0"/>
        <v/>
      </c>
      <c r="D40" s="33" t="str">
        <f>+APRohpunkte!AF38</f>
        <v/>
      </c>
      <c r="E40" s="10" t="str">
        <f>IF(D40="","",IF($C$42="BE",VLOOKUP(D40+0.5,NB!$V$1424:$Y$1439,4,TRUE),D40))</f>
        <v/>
      </c>
      <c r="F40" s="33"/>
      <c r="G40" s="195" t="str">
        <f t="shared" si="1"/>
        <v/>
      </c>
      <c r="H40" s="195" t="str">
        <f t="shared" ca="1" si="2"/>
        <v/>
      </c>
      <c r="I40" s="196" t="str">
        <f t="shared" ca="1" si="3"/>
        <v/>
      </c>
    </row>
    <row r="41" spans="1:9" x14ac:dyDescent="0.2">
      <c r="B41" s="8" t="s">
        <v>90</v>
      </c>
      <c r="C41" s="200" t="e">
        <f ca="1">AVERAGE(C6:C40)</f>
        <v>#DIV/0!</v>
      </c>
      <c r="E41" s="200" t="e">
        <f>AVERAGE(E6:E40)</f>
        <v>#DIV/0!</v>
      </c>
      <c r="F41" s="200" t="e">
        <f>AVERAGE(F6:F40)</f>
        <v>#DIV/0!</v>
      </c>
      <c r="G41" s="200" t="e">
        <f>AVERAGE(G6:G40)</f>
        <v>#DIV/0!</v>
      </c>
      <c r="I41" s="200" t="e">
        <f ca="1">AVERAGE(I6:I40)</f>
        <v>#DIV/0!</v>
      </c>
    </row>
    <row r="42" spans="1:9" ht="13.5" thickBot="1" x14ac:dyDescent="0.25">
      <c r="B42" s="8" t="s">
        <v>67</v>
      </c>
      <c r="C42" s="164" t="s">
        <v>33</v>
      </c>
    </row>
    <row r="43" spans="1:9" ht="13.5" thickBot="1" x14ac:dyDescent="0.25">
      <c r="B43" s="8" t="s">
        <v>84</v>
      </c>
      <c r="C43" s="185" t="s">
        <v>57</v>
      </c>
      <c r="E43" s="468" t="s">
        <v>88</v>
      </c>
      <c r="F43" s="468"/>
      <c r="G43" s="468"/>
      <c r="H43" s="15"/>
    </row>
    <row r="44" spans="1:9" x14ac:dyDescent="0.2">
      <c r="B44" s="8" t="s">
        <v>85</v>
      </c>
      <c r="C44" s="186">
        <f>+APRohpunkte!AF2</f>
        <v>100</v>
      </c>
      <c r="D44" s="177" t="s">
        <v>86</v>
      </c>
      <c r="E44" s="45">
        <v>20</v>
      </c>
      <c r="F44" s="177" t="s">
        <v>87</v>
      </c>
      <c r="G44" s="45">
        <v>40</v>
      </c>
      <c r="H44" s="265"/>
    </row>
    <row r="45" spans="1:9" x14ac:dyDescent="0.2">
      <c r="E45" s="184"/>
      <c r="F45" s="167"/>
      <c r="G45" s="184"/>
      <c r="H45" s="184"/>
    </row>
    <row r="46" spans="1:9" x14ac:dyDescent="0.2">
      <c r="E46" s="184"/>
      <c r="G46" s="184"/>
      <c r="H46" s="184"/>
    </row>
    <row r="47" spans="1:9" x14ac:dyDescent="0.2">
      <c r="E47" s="184"/>
      <c r="F47" s="201"/>
    </row>
    <row r="48" spans="1:9" x14ac:dyDescent="0.2">
      <c r="E48" s="184"/>
      <c r="F48" s="201"/>
    </row>
    <row r="49" spans="3:10" x14ac:dyDescent="0.2">
      <c r="C49" s="198" t="s">
        <v>46</v>
      </c>
      <c r="D49" s="198" t="s">
        <v>47</v>
      </c>
      <c r="E49" s="198" t="s">
        <v>32</v>
      </c>
      <c r="F49" s="201" t="s">
        <v>16</v>
      </c>
      <c r="G49" s="8" t="s">
        <v>31</v>
      </c>
      <c r="I49" s="8" t="s">
        <v>16</v>
      </c>
      <c r="J49" s="8" t="s">
        <v>31</v>
      </c>
    </row>
    <row r="50" spans="3:10" x14ac:dyDescent="0.2">
      <c r="C50" s="329">
        <f>+NB!W1406</f>
        <v>100</v>
      </c>
      <c r="D50" s="330">
        <f>+NB!X1406</f>
        <v>96</v>
      </c>
      <c r="E50" s="331">
        <f>+NB!Y1406</f>
        <v>15</v>
      </c>
      <c r="F50" s="333">
        <f>COUNTIF(E$6:E$40,15)</f>
        <v>0</v>
      </c>
      <c r="G50" s="340" t="e">
        <f>+F50/(SUM($F$50:$F$65))</f>
        <v>#DIV/0!</v>
      </c>
      <c r="H50" s="336"/>
      <c r="I50" s="120"/>
      <c r="J50" s="120"/>
    </row>
    <row r="51" spans="3:10" x14ac:dyDescent="0.2">
      <c r="C51" s="80">
        <f>+NB!W1407</f>
        <v>95</v>
      </c>
      <c r="D51" s="79">
        <f>+NB!X1407</f>
        <v>91</v>
      </c>
      <c r="E51" s="326">
        <f>+NB!Y1407</f>
        <v>14</v>
      </c>
      <c r="F51" s="199">
        <f>COUNTIF(E$6:E$40,14)</f>
        <v>0</v>
      </c>
      <c r="G51" s="341" t="e">
        <f t="shared" ref="G51:G65" si="4">+F51/(SUM($F$50:$F$65))</f>
        <v>#DIV/0!</v>
      </c>
      <c r="H51" s="337"/>
      <c r="I51" s="204">
        <f>+F50+F51+F52</f>
        <v>0</v>
      </c>
      <c r="J51" s="206" t="e">
        <f>+G50+G51+G52</f>
        <v>#DIV/0!</v>
      </c>
    </row>
    <row r="52" spans="3:10" x14ac:dyDescent="0.2">
      <c r="C52" s="327">
        <f>+NB!W1408</f>
        <v>90</v>
      </c>
      <c r="D52" s="332">
        <f>+NB!X1408</f>
        <v>86</v>
      </c>
      <c r="E52" s="328">
        <f>+NB!Y1408</f>
        <v>13</v>
      </c>
      <c r="F52" s="334">
        <f>COUNTIF(E$6:E$40,13)</f>
        <v>0</v>
      </c>
      <c r="G52" s="341" t="e">
        <f t="shared" si="4"/>
        <v>#DIV/0!</v>
      </c>
      <c r="H52" s="338"/>
      <c r="I52" s="205"/>
      <c r="J52" s="205"/>
    </row>
    <row r="53" spans="3:10" x14ac:dyDescent="0.2">
      <c r="C53" s="80">
        <f>+NB!W1409</f>
        <v>85</v>
      </c>
      <c r="D53" s="79">
        <f>+NB!X1409</f>
        <v>81</v>
      </c>
      <c r="E53" s="326">
        <f>+NB!Y1409</f>
        <v>12</v>
      </c>
      <c r="F53" s="333">
        <f>COUNTIF(E$6:E$40,12)</f>
        <v>0</v>
      </c>
      <c r="G53" s="340" t="e">
        <f t="shared" si="4"/>
        <v>#DIV/0!</v>
      </c>
      <c r="H53" s="336"/>
      <c r="I53" s="120"/>
      <c r="J53" s="120"/>
    </row>
    <row r="54" spans="3:10" x14ac:dyDescent="0.2">
      <c r="C54" s="80">
        <f>+NB!W1410</f>
        <v>80</v>
      </c>
      <c r="D54" s="79">
        <f>+NB!X1410</f>
        <v>76</v>
      </c>
      <c r="E54" s="326">
        <f>+NB!Y1410</f>
        <v>11</v>
      </c>
      <c r="F54" s="199">
        <f>COUNTIF(E$6:E$40,11)</f>
        <v>0</v>
      </c>
      <c r="G54" s="341" t="e">
        <f t="shared" si="4"/>
        <v>#DIV/0!</v>
      </c>
      <c r="H54" s="337"/>
      <c r="I54" s="204">
        <f>+F53+F54+F55</f>
        <v>0</v>
      </c>
      <c r="J54" s="206" t="e">
        <f>+G53+G54+G55</f>
        <v>#DIV/0!</v>
      </c>
    </row>
    <row r="55" spans="3:10" x14ac:dyDescent="0.2">
      <c r="C55" s="80">
        <f>+NB!W1411</f>
        <v>75</v>
      </c>
      <c r="D55" s="79">
        <f>+NB!X1411</f>
        <v>71</v>
      </c>
      <c r="E55" s="326">
        <f>+NB!Y1411</f>
        <v>10</v>
      </c>
      <c r="F55" s="334">
        <f>COUNTIF(E$6:E$40,10)</f>
        <v>0</v>
      </c>
      <c r="G55" s="342" t="e">
        <f t="shared" si="4"/>
        <v>#DIV/0!</v>
      </c>
      <c r="H55" s="338"/>
      <c r="I55" s="205"/>
      <c r="J55" s="205"/>
    </row>
    <row r="56" spans="3:10" x14ac:dyDescent="0.2">
      <c r="C56" s="329">
        <f>+NB!W1412</f>
        <v>70</v>
      </c>
      <c r="D56" s="330">
        <f>+NB!X1412</f>
        <v>66</v>
      </c>
      <c r="E56" s="331">
        <f>+NB!Y1412</f>
        <v>9</v>
      </c>
      <c r="F56" s="333">
        <f>COUNTIF(E$6:E$40,9)</f>
        <v>0</v>
      </c>
      <c r="G56" s="341" t="e">
        <f t="shared" si="4"/>
        <v>#DIV/0!</v>
      </c>
      <c r="H56" s="336"/>
      <c r="I56" s="120"/>
      <c r="J56" s="120"/>
    </row>
    <row r="57" spans="3:10" x14ac:dyDescent="0.2">
      <c r="C57" s="80">
        <f>+NB!W1413</f>
        <v>65</v>
      </c>
      <c r="D57" s="79">
        <f>+NB!X1413</f>
        <v>61</v>
      </c>
      <c r="E57" s="326">
        <f>+NB!Y1413</f>
        <v>8</v>
      </c>
      <c r="F57" s="199">
        <f>COUNTIF(E$6:E$40,8)</f>
        <v>0</v>
      </c>
      <c r="G57" s="341" t="e">
        <f t="shared" si="4"/>
        <v>#DIV/0!</v>
      </c>
      <c r="H57" s="337"/>
      <c r="I57" s="204">
        <f>+F56+F57+F58</f>
        <v>0</v>
      </c>
      <c r="J57" s="206" t="e">
        <f>+G56+G57+G58</f>
        <v>#DIV/0!</v>
      </c>
    </row>
    <row r="58" spans="3:10" x14ac:dyDescent="0.2">
      <c r="C58" s="327">
        <f>+NB!W1414</f>
        <v>60</v>
      </c>
      <c r="D58" s="332">
        <f>+NB!X1414</f>
        <v>56</v>
      </c>
      <c r="E58" s="328">
        <f>+NB!Y1414</f>
        <v>7</v>
      </c>
      <c r="F58" s="334">
        <f>COUNTIF(E$6:E$40,7)</f>
        <v>0</v>
      </c>
      <c r="G58" s="341" t="e">
        <f t="shared" si="4"/>
        <v>#DIV/0!</v>
      </c>
      <c r="H58" s="338"/>
      <c r="I58" s="205"/>
      <c r="J58" s="205"/>
    </row>
    <row r="59" spans="3:10" x14ac:dyDescent="0.2">
      <c r="C59" s="80">
        <f>+NB!W1415</f>
        <v>55</v>
      </c>
      <c r="D59" s="79">
        <f>+NB!X1415</f>
        <v>51</v>
      </c>
      <c r="E59" s="326">
        <f>+NB!Y1415</f>
        <v>6</v>
      </c>
      <c r="F59" s="333">
        <f>COUNTIF(E$6:E$40,6)</f>
        <v>0</v>
      </c>
      <c r="G59" s="340" t="e">
        <f t="shared" si="4"/>
        <v>#DIV/0!</v>
      </c>
      <c r="H59" s="336"/>
      <c r="I59" s="120"/>
      <c r="J59" s="120"/>
    </row>
    <row r="60" spans="3:10" x14ac:dyDescent="0.2">
      <c r="C60" s="80">
        <f>+NB!W1416</f>
        <v>50</v>
      </c>
      <c r="D60" s="79">
        <f>+NB!X1416</f>
        <v>46</v>
      </c>
      <c r="E60" s="326">
        <f>+NB!Y1416</f>
        <v>5</v>
      </c>
      <c r="F60" s="199">
        <f>COUNTIF(E$6:E$40,5)</f>
        <v>0</v>
      </c>
      <c r="G60" s="341" t="e">
        <f t="shared" si="4"/>
        <v>#DIV/0!</v>
      </c>
      <c r="H60" s="337"/>
      <c r="I60" s="204">
        <f>+F59+F60+F61</f>
        <v>0</v>
      </c>
      <c r="J60" s="206" t="e">
        <f>+G59+G60+G61</f>
        <v>#DIV/0!</v>
      </c>
    </row>
    <row r="61" spans="3:10" x14ac:dyDescent="0.2">
      <c r="C61" s="80">
        <f>+NB!W1417</f>
        <v>45</v>
      </c>
      <c r="D61" s="79">
        <f>+NB!X1417</f>
        <v>41</v>
      </c>
      <c r="E61" s="326">
        <f>+NB!Y1417</f>
        <v>4</v>
      </c>
      <c r="F61" s="334">
        <f>COUNTIF(E$6:E$40,4)</f>
        <v>0</v>
      </c>
      <c r="G61" s="342" t="e">
        <f t="shared" si="4"/>
        <v>#DIV/0!</v>
      </c>
      <c r="H61" s="338"/>
      <c r="I61" s="205"/>
      <c r="J61" s="205"/>
    </row>
    <row r="62" spans="3:10" x14ac:dyDescent="0.2">
      <c r="C62" s="329">
        <f>+NB!W1418</f>
        <v>40</v>
      </c>
      <c r="D62" s="330">
        <f>+NB!X1418</f>
        <v>34</v>
      </c>
      <c r="E62" s="331">
        <f>+NB!Y1418</f>
        <v>3</v>
      </c>
      <c r="F62" s="333">
        <f>COUNTIF(E$6:E$40,3)</f>
        <v>0</v>
      </c>
      <c r="G62" s="341" t="e">
        <f t="shared" si="4"/>
        <v>#DIV/0!</v>
      </c>
      <c r="H62" s="336"/>
      <c r="I62" s="120"/>
      <c r="J62" s="120"/>
    </row>
    <row r="63" spans="3:10" x14ac:dyDescent="0.2">
      <c r="C63" s="80">
        <f>+NB!W1419</f>
        <v>33</v>
      </c>
      <c r="D63" s="79">
        <f>+NB!X1419</f>
        <v>27</v>
      </c>
      <c r="E63" s="326">
        <f>+NB!Y1419</f>
        <v>2</v>
      </c>
      <c r="F63" s="199">
        <f>COUNTIF(E$6:E$40,2)</f>
        <v>0</v>
      </c>
      <c r="G63" s="341" t="e">
        <f t="shared" si="4"/>
        <v>#DIV/0!</v>
      </c>
      <c r="H63" s="337"/>
      <c r="I63" s="204">
        <f>+F62+F63+F64</f>
        <v>0</v>
      </c>
      <c r="J63" s="206" t="e">
        <f>+G62+G63+G64</f>
        <v>#DIV/0!</v>
      </c>
    </row>
    <row r="64" spans="3:10" x14ac:dyDescent="0.2">
      <c r="C64" s="327">
        <f>+NB!W1420</f>
        <v>26</v>
      </c>
      <c r="D64" s="332">
        <f>+NB!X1420</f>
        <v>20</v>
      </c>
      <c r="E64" s="328">
        <f>+NB!Y1420</f>
        <v>1</v>
      </c>
      <c r="F64" s="334">
        <f>COUNTIF(E$6:E$40,1)</f>
        <v>0</v>
      </c>
      <c r="G64" s="341" t="e">
        <f t="shared" si="4"/>
        <v>#DIV/0!</v>
      </c>
      <c r="H64" s="338"/>
      <c r="I64" s="205"/>
      <c r="J64" s="205"/>
    </row>
    <row r="65" spans="3:10" x14ac:dyDescent="0.2">
      <c r="C65" s="327">
        <f>+NB!W1421</f>
        <v>19</v>
      </c>
      <c r="D65" s="332">
        <f>+NB!X1421</f>
        <v>0</v>
      </c>
      <c r="E65" s="328">
        <f>+NB!Y1421</f>
        <v>0</v>
      </c>
      <c r="F65" s="335">
        <f>COUNTIF(E$6:E$40,0)</f>
        <v>0</v>
      </c>
      <c r="G65" s="343" t="e">
        <f t="shared" si="4"/>
        <v>#DIV/0!</v>
      </c>
      <c r="H65" s="339"/>
      <c r="I65" s="10">
        <f>+F65</f>
        <v>0</v>
      </c>
      <c r="J65" s="202" t="e">
        <f>+G65</f>
        <v>#DIV/0!</v>
      </c>
    </row>
  </sheetData>
  <sheetProtection password="CC71" sheet="1" objects="1" scenarios="1"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5353"/>
  </sheetPr>
  <dimension ref="A1:G66"/>
  <sheetViews>
    <sheetView zoomScale="75" zoomScaleNormal="75" workbookViewId="0">
      <selection activeCell="I28" sqref="I28"/>
    </sheetView>
  </sheetViews>
  <sheetFormatPr baseColWidth="10" defaultRowHeight="12.75" x14ac:dyDescent="0.2"/>
  <cols>
    <col min="1" max="1" width="4.7109375" style="391" customWidth="1"/>
    <col min="2" max="2" width="18.28515625" style="391" customWidth="1"/>
    <col min="3" max="3" width="19" style="391" customWidth="1"/>
    <col min="4" max="4" width="19.5703125" style="391" bestFit="1" customWidth="1"/>
    <col min="5" max="5" width="18.28515625" style="391" customWidth="1"/>
    <col min="6" max="6" width="14" style="391" customWidth="1"/>
    <col min="7" max="7" width="17.28515625" style="391" bestFit="1" customWidth="1"/>
    <col min="8" max="16384" width="11.42578125" style="391"/>
  </cols>
  <sheetData>
    <row r="1" spans="1:7" x14ac:dyDescent="0.2">
      <c r="A1" s="518"/>
      <c r="B1" s="518"/>
      <c r="C1" s="518"/>
      <c r="D1" s="518"/>
      <c r="E1" s="518"/>
      <c r="F1" s="518"/>
      <c r="G1" s="518"/>
    </row>
    <row r="2" spans="1:7" x14ac:dyDescent="0.2">
      <c r="A2" s="407" t="s">
        <v>164</v>
      </c>
      <c r="B2" s="522"/>
      <c r="C2" s="522"/>
      <c r="D2" s="522"/>
      <c r="E2" s="522"/>
      <c r="F2" s="522"/>
      <c r="G2" s="523"/>
    </row>
    <row r="3" spans="1:7" x14ac:dyDescent="0.2">
      <c r="A3" s="406" t="s">
        <v>163</v>
      </c>
      <c r="B3" s="521"/>
      <c r="C3" s="521"/>
      <c r="D3" s="521"/>
      <c r="E3" s="521"/>
      <c r="F3" s="521"/>
      <c r="G3" s="524"/>
    </row>
    <row r="4" spans="1:7" ht="13.5" thickBot="1" x14ac:dyDescent="0.25">
      <c r="A4" s="406" t="str">
        <f>"Fach: "&amp;+Notenbogen!F1</f>
        <v xml:space="preserve">Fach: </v>
      </c>
      <c r="B4" s="521"/>
      <c r="C4" s="521"/>
      <c r="D4" s="521"/>
      <c r="E4" s="521"/>
      <c r="F4" s="521"/>
      <c r="G4" s="524"/>
    </row>
    <row r="5" spans="1:7" ht="16.5" thickBot="1" x14ac:dyDescent="0.3">
      <c r="A5" s="405" t="str">
        <f xml:space="preserve"> "Klasse "&amp;Notenbogen!B1 &amp;"Lehrer " &amp;Notenbogen!M1</f>
        <v xml:space="preserve">Klasse Lehrer </v>
      </c>
      <c r="B5" s="525"/>
      <c r="C5" s="404"/>
      <c r="D5" s="525"/>
      <c r="E5" s="525"/>
      <c r="F5" s="525"/>
      <c r="G5" s="526"/>
    </row>
    <row r="6" spans="1:7" x14ac:dyDescent="0.2">
      <c r="A6" s="518"/>
      <c r="B6" s="518"/>
      <c r="C6" s="518"/>
      <c r="D6" s="518"/>
      <c r="E6" s="518"/>
      <c r="F6" s="518"/>
      <c r="G6" s="518"/>
    </row>
    <row r="7" spans="1:7" ht="15.75" x14ac:dyDescent="0.25">
      <c r="A7" s="527" t="s">
        <v>162</v>
      </c>
      <c r="B7" s="528"/>
      <c r="C7" s="528"/>
      <c r="D7" s="528"/>
      <c r="E7" s="528"/>
      <c r="F7" s="528"/>
      <c r="G7" s="529"/>
    </row>
    <row r="8" spans="1:7" x14ac:dyDescent="0.2">
      <c r="A8" s="530"/>
      <c r="B8" s="522"/>
      <c r="C8" s="522"/>
      <c r="D8" s="522"/>
      <c r="E8" s="522"/>
      <c r="F8" s="522"/>
      <c r="G8" s="523"/>
    </row>
    <row r="9" spans="1:7" x14ac:dyDescent="0.2">
      <c r="A9" s="520"/>
      <c r="B9" s="531" t="s">
        <v>161</v>
      </c>
      <c r="C9" s="532" t="s">
        <v>160</v>
      </c>
      <c r="D9" s="532"/>
      <c r="E9" s="521"/>
      <c r="F9" s="521"/>
      <c r="G9" s="524"/>
    </row>
    <row r="10" spans="1:7" ht="25.5" customHeight="1" x14ac:dyDescent="0.2">
      <c r="A10" s="520"/>
      <c r="B10" s="531"/>
      <c r="C10" s="533" t="s">
        <v>159</v>
      </c>
      <c r="D10" s="533" t="s">
        <v>158</v>
      </c>
      <c r="E10" s="533" t="s">
        <v>166</v>
      </c>
      <c r="F10" s="533" t="s">
        <v>167</v>
      </c>
      <c r="G10" s="524"/>
    </row>
    <row r="11" spans="1:7" x14ac:dyDescent="0.2">
      <c r="A11" s="534">
        <v>1</v>
      </c>
      <c r="B11" s="412" t="str">
        <f t="shared" ref="B11:B45" ca="1" si="0">INDIRECT(ADDRESS(3+A11*2,2,,,"Notenbogen"))&amp;", "&amp;TRIM(INDIRECT(ADDRESS(4+A11*2,2,,,"Notenbogen")))</f>
        <v xml:space="preserve">, </v>
      </c>
      <c r="C11" s="535" t="str">
        <f>APRohpunkte!AF4</f>
        <v/>
      </c>
      <c r="D11" s="536" t="str">
        <f>IF(APRohpunkte!AF4="","",APRohpunkte!AF4+APRohpunkte!AE4)</f>
        <v/>
      </c>
      <c r="E11" s="535" t="str">
        <f>AP!E6</f>
        <v/>
      </c>
      <c r="F11" s="537" t="str">
        <f>IF(D11="","",IF(AP!$C$42="BE",VLOOKUP(D11+0.5,NB!$V$1424:$Y$1439,4,TRUE),D11))</f>
        <v/>
      </c>
      <c r="G11" s="534" t="str">
        <f>IF(E11&lt;&gt;F11,"KEINE EINIGUNG","")</f>
        <v/>
      </c>
    </row>
    <row r="12" spans="1:7" x14ac:dyDescent="0.2">
      <c r="A12" s="534">
        <v>2</v>
      </c>
      <c r="B12" s="412" t="str">
        <f t="shared" ca="1" si="0"/>
        <v xml:space="preserve">, </v>
      </c>
      <c r="C12" s="535" t="str">
        <f>APRohpunkte!AF5</f>
        <v/>
      </c>
      <c r="D12" s="536" t="str">
        <f>IF(APRohpunkte!AF5="","",APRohpunkte!AF5+APRohpunkte!AE5)</f>
        <v/>
      </c>
      <c r="E12" s="535" t="str">
        <f>AP!E7</f>
        <v/>
      </c>
      <c r="F12" s="537" t="str">
        <f>IF(D12="","",IF(AP!$C$42="BE",VLOOKUP(D12+0.5,NB!$V$1424:$Y$1439,4,TRUE),D12))</f>
        <v/>
      </c>
      <c r="G12" s="534" t="str">
        <f t="shared" ref="G12:G45" si="1">IF(E12&lt;&gt;F12,"KEINE EINIGUNG","")</f>
        <v/>
      </c>
    </row>
    <row r="13" spans="1:7" x14ac:dyDescent="0.2">
      <c r="A13" s="534">
        <v>3</v>
      </c>
      <c r="B13" s="412" t="str">
        <f t="shared" ca="1" si="0"/>
        <v xml:space="preserve">, </v>
      </c>
      <c r="C13" s="535" t="str">
        <f>APRohpunkte!AF6</f>
        <v/>
      </c>
      <c r="D13" s="536" t="str">
        <f>IF(APRohpunkte!AF6="","",APRohpunkte!AF6+APRohpunkte!AE6)</f>
        <v/>
      </c>
      <c r="E13" s="535" t="str">
        <f>AP!E8</f>
        <v/>
      </c>
      <c r="F13" s="537" t="str">
        <f>IF(D13="","",IF(AP!$C$42="BE",VLOOKUP(D13+0.5,NB!$V$1424:$Y$1439,4,TRUE),D13))</f>
        <v/>
      </c>
      <c r="G13" s="534" t="str">
        <f t="shared" si="1"/>
        <v/>
      </c>
    </row>
    <row r="14" spans="1:7" x14ac:dyDescent="0.2">
      <c r="A14" s="534">
        <v>4</v>
      </c>
      <c r="B14" s="412" t="str">
        <f t="shared" ca="1" si="0"/>
        <v xml:space="preserve">, </v>
      </c>
      <c r="C14" s="535" t="str">
        <f>APRohpunkte!AF7</f>
        <v/>
      </c>
      <c r="D14" s="536" t="str">
        <f>IF(APRohpunkte!AF7="","",APRohpunkte!AF7+APRohpunkte!AE7)</f>
        <v/>
      </c>
      <c r="E14" s="535" t="str">
        <f>AP!E9</f>
        <v/>
      </c>
      <c r="F14" s="537" t="str">
        <f>IF(D14="","",IF(AP!$C$42="BE",VLOOKUP(D14+0.5,NB!$V$1424:$Y$1439,4,TRUE),D14))</f>
        <v/>
      </c>
      <c r="G14" s="534" t="str">
        <f t="shared" si="1"/>
        <v/>
      </c>
    </row>
    <row r="15" spans="1:7" x14ac:dyDescent="0.2">
      <c r="A15" s="534">
        <v>5</v>
      </c>
      <c r="B15" s="412" t="str">
        <f t="shared" ca="1" si="0"/>
        <v xml:space="preserve">, </v>
      </c>
      <c r="C15" s="535" t="str">
        <f>APRohpunkte!AF8</f>
        <v/>
      </c>
      <c r="D15" s="536" t="str">
        <f>IF(APRohpunkte!AF8="","",APRohpunkte!AF8+APRohpunkte!AE8)</f>
        <v/>
      </c>
      <c r="E15" s="535" t="str">
        <f>AP!E10</f>
        <v/>
      </c>
      <c r="F15" s="537" t="str">
        <f>IF(D15="","",IF(AP!$C$42="BE",VLOOKUP(D15+0.5,NB!$V$1424:$Y$1439,4,TRUE),D15))</f>
        <v/>
      </c>
      <c r="G15" s="534" t="str">
        <f t="shared" si="1"/>
        <v/>
      </c>
    </row>
    <row r="16" spans="1:7" x14ac:dyDescent="0.2">
      <c r="A16" s="534">
        <v>6</v>
      </c>
      <c r="B16" s="412" t="str">
        <f t="shared" ca="1" si="0"/>
        <v xml:space="preserve">, </v>
      </c>
      <c r="C16" s="535" t="str">
        <f>APRohpunkte!AF9</f>
        <v/>
      </c>
      <c r="D16" s="536" t="str">
        <f>IF(APRohpunkte!AF9="","",APRohpunkte!AF9+APRohpunkte!AE9)</f>
        <v/>
      </c>
      <c r="E16" s="535" t="str">
        <f>AP!E11</f>
        <v/>
      </c>
      <c r="F16" s="537" t="str">
        <f>IF(D16="","",IF(AP!$C$42="BE",VLOOKUP(D16+0.5,NB!$V$1424:$Y$1439,4,TRUE),D16))</f>
        <v/>
      </c>
      <c r="G16" s="534" t="str">
        <f t="shared" si="1"/>
        <v/>
      </c>
    </row>
    <row r="17" spans="1:7" x14ac:dyDescent="0.2">
      <c r="A17" s="534">
        <v>7</v>
      </c>
      <c r="B17" s="412" t="str">
        <f t="shared" ca="1" si="0"/>
        <v xml:space="preserve">, </v>
      </c>
      <c r="C17" s="535" t="str">
        <f>APRohpunkte!AF10</f>
        <v/>
      </c>
      <c r="D17" s="536" t="str">
        <f>IF(APRohpunkte!AF10="","",APRohpunkte!AF10+APRohpunkte!AE10)</f>
        <v/>
      </c>
      <c r="E17" s="535" t="str">
        <f>AP!E12</f>
        <v/>
      </c>
      <c r="F17" s="537" t="str">
        <f>IF(D17="","",IF(AP!$C$42="BE",VLOOKUP(D17+0.5,NB!$V$1424:$Y$1439,4,TRUE),D17))</f>
        <v/>
      </c>
      <c r="G17" s="534" t="str">
        <f t="shared" si="1"/>
        <v/>
      </c>
    </row>
    <row r="18" spans="1:7" x14ac:dyDescent="0.2">
      <c r="A18" s="534">
        <v>8</v>
      </c>
      <c r="B18" s="412" t="str">
        <f t="shared" ca="1" si="0"/>
        <v xml:space="preserve">, </v>
      </c>
      <c r="C18" s="535" t="str">
        <f>APRohpunkte!AF11</f>
        <v/>
      </c>
      <c r="D18" s="536" t="str">
        <f>IF(APRohpunkte!AF11="","",APRohpunkte!AF11+APRohpunkte!AE11)</f>
        <v/>
      </c>
      <c r="E18" s="535" t="str">
        <f>AP!E13</f>
        <v/>
      </c>
      <c r="F18" s="537" t="str">
        <f>IF(D18="","",IF(AP!$C$42="BE",VLOOKUP(D18+0.5,NB!$V$1424:$Y$1439,4,TRUE),D18))</f>
        <v/>
      </c>
      <c r="G18" s="534" t="str">
        <f t="shared" si="1"/>
        <v/>
      </c>
    </row>
    <row r="19" spans="1:7" x14ac:dyDescent="0.2">
      <c r="A19" s="534">
        <v>9</v>
      </c>
      <c r="B19" s="412" t="str">
        <f t="shared" ca="1" si="0"/>
        <v xml:space="preserve">, </v>
      </c>
      <c r="C19" s="535" t="str">
        <f>APRohpunkte!AF12</f>
        <v/>
      </c>
      <c r="D19" s="536" t="str">
        <f>IF(APRohpunkte!AF12="","",APRohpunkte!AF12+APRohpunkte!AE12)</f>
        <v/>
      </c>
      <c r="E19" s="535" t="str">
        <f>AP!E14</f>
        <v/>
      </c>
      <c r="F19" s="537" t="str">
        <f>IF(D19="","",IF(AP!$C$42="BE",VLOOKUP(D19+0.5,NB!$V$1424:$Y$1439,4,TRUE),D19))</f>
        <v/>
      </c>
      <c r="G19" s="534" t="str">
        <f t="shared" si="1"/>
        <v/>
      </c>
    </row>
    <row r="20" spans="1:7" x14ac:dyDescent="0.2">
      <c r="A20" s="534">
        <v>10</v>
      </c>
      <c r="B20" s="412" t="str">
        <f t="shared" ca="1" si="0"/>
        <v xml:space="preserve">, </v>
      </c>
      <c r="C20" s="535" t="str">
        <f>APRohpunkte!AF13</f>
        <v/>
      </c>
      <c r="D20" s="536" t="str">
        <f>IF(APRohpunkte!AF13="","",APRohpunkte!AF13+APRohpunkte!AE13)</f>
        <v/>
      </c>
      <c r="E20" s="535" t="str">
        <f>AP!E15</f>
        <v/>
      </c>
      <c r="F20" s="537" t="str">
        <f>IF(D20="","",IF(AP!$C$42="BE",VLOOKUP(D20+0.5,NB!$V$1424:$Y$1439,4,TRUE),D20))</f>
        <v/>
      </c>
      <c r="G20" s="534" t="str">
        <f t="shared" si="1"/>
        <v/>
      </c>
    </row>
    <row r="21" spans="1:7" x14ac:dyDescent="0.2">
      <c r="A21" s="534">
        <v>11</v>
      </c>
      <c r="B21" s="412" t="str">
        <f t="shared" ca="1" si="0"/>
        <v xml:space="preserve">, </v>
      </c>
      <c r="C21" s="535" t="str">
        <f>APRohpunkte!AF14</f>
        <v/>
      </c>
      <c r="D21" s="536" t="str">
        <f>IF(APRohpunkte!AF14="","",APRohpunkte!AF14+APRohpunkte!AE14)</f>
        <v/>
      </c>
      <c r="E21" s="535" t="str">
        <f>AP!E16</f>
        <v/>
      </c>
      <c r="F21" s="537" t="str">
        <f>IF(D21="","",IF(AP!$C$42="BE",VLOOKUP(D21+0.5,NB!$V$1424:$Y$1439,4,TRUE),D21))</f>
        <v/>
      </c>
      <c r="G21" s="534" t="str">
        <f t="shared" si="1"/>
        <v/>
      </c>
    </row>
    <row r="22" spans="1:7" x14ac:dyDescent="0.2">
      <c r="A22" s="534">
        <v>12</v>
      </c>
      <c r="B22" s="412" t="str">
        <f t="shared" ca="1" si="0"/>
        <v xml:space="preserve">, </v>
      </c>
      <c r="C22" s="535" t="str">
        <f>APRohpunkte!AF15</f>
        <v/>
      </c>
      <c r="D22" s="536" t="str">
        <f>IF(APRohpunkte!AF15="","",APRohpunkte!AF15+APRohpunkte!AE15)</f>
        <v/>
      </c>
      <c r="E22" s="535" t="str">
        <f>AP!E17</f>
        <v/>
      </c>
      <c r="F22" s="537" t="str">
        <f>IF(D22="","",IF(AP!$C$42="BE",VLOOKUP(D22+0.5,NB!$V$1424:$Y$1439,4,TRUE),D22))</f>
        <v/>
      </c>
      <c r="G22" s="534" t="str">
        <f t="shared" si="1"/>
        <v/>
      </c>
    </row>
    <row r="23" spans="1:7" x14ac:dyDescent="0.2">
      <c r="A23" s="534">
        <v>13</v>
      </c>
      <c r="B23" s="412" t="str">
        <f t="shared" ca="1" si="0"/>
        <v xml:space="preserve">, </v>
      </c>
      <c r="C23" s="535" t="str">
        <f>APRohpunkte!AF16</f>
        <v/>
      </c>
      <c r="D23" s="536" t="str">
        <f>IF(APRohpunkte!AF16="","",APRohpunkte!AF16+APRohpunkte!AE16)</f>
        <v/>
      </c>
      <c r="E23" s="535" t="str">
        <f>AP!E18</f>
        <v/>
      </c>
      <c r="F23" s="537" t="str">
        <f>IF(D23="","",IF(AP!$C$42="BE",VLOOKUP(D23+0.5,NB!$V$1424:$Y$1439,4,TRUE),D23))</f>
        <v/>
      </c>
      <c r="G23" s="534" t="str">
        <f t="shared" si="1"/>
        <v/>
      </c>
    </row>
    <row r="24" spans="1:7" x14ac:dyDescent="0.2">
      <c r="A24" s="534">
        <v>14</v>
      </c>
      <c r="B24" s="412" t="str">
        <f t="shared" ca="1" si="0"/>
        <v xml:space="preserve">, </v>
      </c>
      <c r="C24" s="535" t="str">
        <f>APRohpunkte!AF17</f>
        <v/>
      </c>
      <c r="D24" s="536" t="str">
        <f>IF(APRohpunkte!AF17="","",APRohpunkte!AF17+APRohpunkte!AE17)</f>
        <v/>
      </c>
      <c r="E24" s="535" t="str">
        <f>AP!E19</f>
        <v/>
      </c>
      <c r="F24" s="537" t="str">
        <f>IF(D24="","",IF(AP!$C$42="BE",VLOOKUP(D24+0.5,NB!$V$1424:$Y$1439,4,TRUE),D24))</f>
        <v/>
      </c>
      <c r="G24" s="534" t="str">
        <f t="shared" si="1"/>
        <v/>
      </c>
    </row>
    <row r="25" spans="1:7" x14ac:dyDescent="0.2">
      <c r="A25" s="534">
        <v>15</v>
      </c>
      <c r="B25" s="412" t="str">
        <f t="shared" ca="1" si="0"/>
        <v xml:space="preserve">, </v>
      </c>
      <c r="C25" s="535" t="str">
        <f>APRohpunkte!AF18</f>
        <v/>
      </c>
      <c r="D25" s="536" t="str">
        <f>IF(APRohpunkte!AF18="","",APRohpunkte!AF18+APRohpunkte!AE18)</f>
        <v/>
      </c>
      <c r="E25" s="535" t="str">
        <f>AP!E20</f>
        <v/>
      </c>
      <c r="F25" s="537" t="str">
        <f>IF(D25="","",IF(AP!$C$42="BE",VLOOKUP(D25+0.5,NB!$V$1424:$Y$1439,4,TRUE),D25))</f>
        <v/>
      </c>
      <c r="G25" s="534" t="str">
        <f t="shared" si="1"/>
        <v/>
      </c>
    </row>
    <row r="26" spans="1:7" x14ac:dyDescent="0.2">
      <c r="A26" s="534">
        <v>16</v>
      </c>
      <c r="B26" s="412" t="str">
        <f t="shared" ca="1" si="0"/>
        <v xml:space="preserve">, </v>
      </c>
      <c r="C26" s="535" t="str">
        <f>APRohpunkte!AF19</f>
        <v/>
      </c>
      <c r="D26" s="536" t="str">
        <f>IF(APRohpunkte!AF19="","",APRohpunkte!AF19+APRohpunkte!AE19)</f>
        <v/>
      </c>
      <c r="E26" s="535" t="str">
        <f>AP!E21</f>
        <v/>
      </c>
      <c r="F26" s="537" t="str">
        <f>IF(D26="","",IF(AP!$C$42="BE",VLOOKUP(D26+0.5,NB!$V$1424:$Y$1439,4,TRUE),D26))</f>
        <v/>
      </c>
      <c r="G26" s="534" t="str">
        <f t="shared" si="1"/>
        <v/>
      </c>
    </row>
    <row r="27" spans="1:7" x14ac:dyDescent="0.2">
      <c r="A27" s="534">
        <v>17</v>
      </c>
      <c r="B27" s="412" t="str">
        <f t="shared" ca="1" si="0"/>
        <v xml:space="preserve">, </v>
      </c>
      <c r="C27" s="535" t="str">
        <f>APRohpunkte!AF20</f>
        <v/>
      </c>
      <c r="D27" s="536" t="str">
        <f>IF(APRohpunkte!AF20="","",APRohpunkte!AF20+APRohpunkte!AE20)</f>
        <v/>
      </c>
      <c r="E27" s="535" t="str">
        <f>AP!E22</f>
        <v/>
      </c>
      <c r="F27" s="537" t="str">
        <f>IF(D27="","",IF(AP!$C$42="BE",VLOOKUP(D27+0.5,NB!$V$1424:$Y$1439,4,TRUE),D27))</f>
        <v/>
      </c>
      <c r="G27" s="534" t="str">
        <f t="shared" si="1"/>
        <v/>
      </c>
    </row>
    <row r="28" spans="1:7" x14ac:dyDescent="0.2">
      <c r="A28" s="534">
        <v>18</v>
      </c>
      <c r="B28" s="412" t="str">
        <f t="shared" ca="1" si="0"/>
        <v xml:space="preserve">, </v>
      </c>
      <c r="C28" s="535" t="str">
        <f>APRohpunkte!AF21</f>
        <v/>
      </c>
      <c r="D28" s="536" t="str">
        <f>IF(APRohpunkte!AF21="","",APRohpunkte!AF21+APRohpunkte!AE21)</f>
        <v/>
      </c>
      <c r="E28" s="535" t="str">
        <f>AP!E23</f>
        <v/>
      </c>
      <c r="F28" s="537" t="str">
        <f>IF(D28="","",IF(AP!$C$42="BE",VLOOKUP(D28+0.5,NB!$V$1424:$Y$1439,4,TRUE),D28))</f>
        <v/>
      </c>
      <c r="G28" s="534" t="str">
        <f t="shared" si="1"/>
        <v/>
      </c>
    </row>
    <row r="29" spans="1:7" x14ac:dyDescent="0.2">
      <c r="A29" s="534">
        <v>19</v>
      </c>
      <c r="B29" s="412" t="str">
        <f t="shared" ca="1" si="0"/>
        <v xml:space="preserve">, </v>
      </c>
      <c r="C29" s="535" t="str">
        <f>APRohpunkte!AF22</f>
        <v/>
      </c>
      <c r="D29" s="536" t="str">
        <f>IF(APRohpunkte!AF22="","",APRohpunkte!AF22+APRohpunkte!AE22)</f>
        <v/>
      </c>
      <c r="E29" s="535" t="str">
        <f>AP!E24</f>
        <v/>
      </c>
      <c r="F29" s="537" t="str">
        <f>IF(D29="","",IF(AP!$C$42="BE",VLOOKUP(D29+0.5,NB!$V$1424:$Y$1439,4,TRUE),D29))</f>
        <v/>
      </c>
      <c r="G29" s="534" t="str">
        <f t="shared" si="1"/>
        <v/>
      </c>
    </row>
    <row r="30" spans="1:7" x14ac:dyDescent="0.2">
      <c r="A30" s="534">
        <v>20</v>
      </c>
      <c r="B30" s="412" t="str">
        <f t="shared" ca="1" si="0"/>
        <v xml:space="preserve">, </v>
      </c>
      <c r="C30" s="535" t="str">
        <f>APRohpunkte!AF23</f>
        <v/>
      </c>
      <c r="D30" s="536" t="str">
        <f>IF(APRohpunkte!AF23="","",APRohpunkte!AF23+APRohpunkte!AE23)</f>
        <v/>
      </c>
      <c r="E30" s="535" t="str">
        <f>AP!E25</f>
        <v/>
      </c>
      <c r="F30" s="537" t="str">
        <f>IF(D30="","",IF(AP!$C$42="BE",VLOOKUP(D30+0.5,NB!$V$1424:$Y$1439,4,TRUE),D30))</f>
        <v/>
      </c>
      <c r="G30" s="534" t="str">
        <f t="shared" si="1"/>
        <v/>
      </c>
    </row>
    <row r="31" spans="1:7" x14ac:dyDescent="0.2">
      <c r="A31" s="534">
        <v>21</v>
      </c>
      <c r="B31" s="412" t="str">
        <f t="shared" ca="1" si="0"/>
        <v xml:space="preserve">, </v>
      </c>
      <c r="C31" s="535" t="str">
        <f>APRohpunkte!AF24</f>
        <v/>
      </c>
      <c r="D31" s="536" t="str">
        <f>IF(APRohpunkte!AF24="","",APRohpunkte!AF24+APRohpunkte!AE24)</f>
        <v/>
      </c>
      <c r="E31" s="535" t="str">
        <f>AP!E26</f>
        <v/>
      </c>
      <c r="F31" s="537" t="str">
        <f>IF(D31="","",IF(AP!$C$42="BE",VLOOKUP(D31+0.5,NB!$V$1424:$Y$1439,4,TRUE),D31))</f>
        <v/>
      </c>
      <c r="G31" s="534" t="str">
        <f t="shared" si="1"/>
        <v/>
      </c>
    </row>
    <row r="32" spans="1:7" x14ac:dyDescent="0.2">
      <c r="A32" s="534">
        <v>22</v>
      </c>
      <c r="B32" s="412" t="str">
        <f t="shared" ca="1" si="0"/>
        <v xml:space="preserve">, </v>
      </c>
      <c r="C32" s="535" t="str">
        <f>APRohpunkte!AF25</f>
        <v/>
      </c>
      <c r="D32" s="536" t="str">
        <f>IF(APRohpunkte!AF25="","",APRohpunkte!AF25+APRohpunkte!AE25)</f>
        <v/>
      </c>
      <c r="E32" s="535" t="str">
        <f>AP!E27</f>
        <v/>
      </c>
      <c r="F32" s="537" t="str">
        <f>IF(D32="","",IF(AP!$C$42="BE",VLOOKUP(D32+0.5,NB!$V$1424:$Y$1439,4,TRUE),D32))</f>
        <v/>
      </c>
      <c r="G32" s="534" t="str">
        <f t="shared" si="1"/>
        <v/>
      </c>
    </row>
    <row r="33" spans="1:7" x14ac:dyDescent="0.2">
      <c r="A33" s="534">
        <v>23</v>
      </c>
      <c r="B33" s="412" t="str">
        <f t="shared" ca="1" si="0"/>
        <v xml:space="preserve">, </v>
      </c>
      <c r="C33" s="535" t="str">
        <f>APRohpunkte!AF26</f>
        <v/>
      </c>
      <c r="D33" s="536" t="str">
        <f>IF(APRohpunkte!AF26="","",APRohpunkte!AF26+APRohpunkte!AE26)</f>
        <v/>
      </c>
      <c r="E33" s="535" t="str">
        <f>AP!E28</f>
        <v/>
      </c>
      <c r="F33" s="537" t="str">
        <f>IF(D33="","",IF(AP!$C$42="BE",VLOOKUP(D33+0.5,NB!$V$1424:$Y$1439,4,TRUE),D33))</f>
        <v/>
      </c>
      <c r="G33" s="534" t="str">
        <f t="shared" si="1"/>
        <v/>
      </c>
    </row>
    <row r="34" spans="1:7" x14ac:dyDescent="0.2">
      <c r="A34" s="534">
        <v>24</v>
      </c>
      <c r="B34" s="412" t="str">
        <f t="shared" ca="1" si="0"/>
        <v xml:space="preserve">, </v>
      </c>
      <c r="C34" s="535" t="str">
        <f>APRohpunkte!AF27</f>
        <v/>
      </c>
      <c r="D34" s="536" t="str">
        <f>IF(APRohpunkte!AF27="","",APRohpunkte!AF27+APRohpunkte!AE27)</f>
        <v/>
      </c>
      <c r="E34" s="535" t="str">
        <f>AP!E29</f>
        <v/>
      </c>
      <c r="F34" s="537" t="str">
        <f>IF(D34="","",IF(AP!$C$42="BE",VLOOKUP(D34+0.5,NB!$V$1424:$Y$1439,4,TRUE),D34))</f>
        <v/>
      </c>
      <c r="G34" s="534" t="str">
        <f t="shared" si="1"/>
        <v/>
      </c>
    </row>
    <row r="35" spans="1:7" x14ac:dyDescent="0.2">
      <c r="A35" s="534">
        <v>25</v>
      </c>
      <c r="B35" s="412" t="str">
        <f t="shared" ca="1" si="0"/>
        <v xml:space="preserve">, </v>
      </c>
      <c r="C35" s="535" t="str">
        <f>APRohpunkte!AF28</f>
        <v/>
      </c>
      <c r="D35" s="536" t="str">
        <f>IF(APRohpunkte!AF28="","",APRohpunkte!AF28+APRohpunkte!AE28)</f>
        <v/>
      </c>
      <c r="E35" s="535" t="str">
        <f>AP!E30</f>
        <v/>
      </c>
      <c r="F35" s="537" t="str">
        <f>IF(D35="","",IF(AP!$C$42="BE",VLOOKUP(D35+0.5,NB!$V$1424:$Y$1439,4,TRUE),D35))</f>
        <v/>
      </c>
      <c r="G35" s="534" t="str">
        <f t="shared" si="1"/>
        <v/>
      </c>
    </row>
    <row r="36" spans="1:7" x14ac:dyDescent="0.2">
      <c r="A36" s="534">
        <v>26</v>
      </c>
      <c r="B36" s="412" t="str">
        <f t="shared" ca="1" si="0"/>
        <v xml:space="preserve">, </v>
      </c>
      <c r="C36" s="535" t="str">
        <f>APRohpunkte!AF29</f>
        <v/>
      </c>
      <c r="D36" s="536" t="str">
        <f>IF(APRohpunkte!AF29="","",APRohpunkte!AF29+APRohpunkte!AE29)</f>
        <v/>
      </c>
      <c r="E36" s="535" t="str">
        <f>AP!E31</f>
        <v/>
      </c>
      <c r="F36" s="537" t="str">
        <f>IF(D36="","",IF(AP!$C$42="BE",VLOOKUP(D36+0.5,NB!$V$1424:$Y$1439,4,TRUE),D36))</f>
        <v/>
      </c>
      <c r="G36" s="534" t="str">
        <f t="shared" si="1"/>
        <v/>
      </c>
    </row>
    <row r="37" spans="1:7" x14ac:dyDescent="0.2">
      <c r="A37" s="534">
        <v>27</v>
      </c>
      <c r="B37" s="412" t="str">
        <f t="shared" ca="1" si="0"/>
        <v xml:space="preserve">, </v>
      </c>
      <c r="C37" s="535" t="str">
        <f>APRohpunkte!AF30</f>
        <v/>
      </c>
      <c r="D37" s="536" t="str">
        <f>IF(APRohpunkte!AF30="","",APRohpunkte!AF30+APRohpunkte!AE30)</f>
        <v/>
      </c>
      <c r="E37" s="535" t="str">
        <f>AP!E32</f>
        <v/>
      </c>
      <c r="F37" s="537" t="str">
        <f>IF(D37="","",IF(AP!$C$42="BE",VLOOKUP(D37+0.5,NB!$V$1424:$Y$1439,4,TRUE),D37))</f>
        <v/>
      </c>
      <c r="G37" s="534" t="str">
        <f t="shared" si="1"/>
        <v/>
      </c>
    </row>
    <row r="38" spans="1:7" x14ac:dyDescent="0.2">
      <c r="A38" s="534">
        <v>28</v>
      </c>
      <c r="B38" s="412" t="str">
        <f t="shared" ca="1" si="0"/>
        <v xml:space="preserve">, </v>
      </c>
      <c r="C38" s="535" t="str">
        <f>APRohpunkte!AF31</f>
        <v/>
      </c>
      <c r="D38" s="536" t="str">
        <f>IF(APRohpunkte!AF31="","",APRohpunkte!AF31+APRohpunkte!AE31)</f>
        <v/>
      </c>
      <c r="E38" s="535" t="str">
        <f>AP!E33</f>
        <v/>
      </c>
      <c r="F38" s="537" t="str">
        <f>IF(D38="","",IF(AP!$C$42="BE",VLOOKUP(D38+0.5,NB!$V$1424:$Y$1439,4,TRUE),D38))</f>
        <v/>
      </c>
      <c r="G38" s="534" t="str">
        <f t="shared" si="1"/>
        <v/>
      </c>
    </row>
    <row r="39" spans="1:7" x14ac:dyDescent="0.2">
      <c r="A39" s="534">
        <v>29</v>
      </c>
      <c r="B39" s="412" t="str">
        <f t="shared" ca="1" si="0"/>
        <v xml:space="preserve">, </v>
      </c>
      <c r="C39" s="535" t="str">
        <f>APRohpunkte!AF32</f>
        <v/>
      </c>
      <c r="D39" s="536" t="str">
        <f>IF(APRohpunkte!AF32="","",APRohpunkte!AF32+APRohpunkte!AE32)</f>
        <v/>
      </c>
      <c r="E39" s="535" t="str">
        <f>AP!E34</f>
        <v/>
      </c>
      <c r="F39" s="537" t="str">
        <f>IF(D39="","",IF(AP!$C$42="BE",VLOOKUP(D39+0.5,NB!$V$1424:$Y$1439,4,TRUE),D39))</f>
        <v/>
      </c>
      <c r="G39" s="534" t="str">
        <f t="shared" si="1"/>
        <v/>
      </c>
    </row>
    <row r="40" spans="1:7" x14ac:dyDescent="0.2">
      <c r="A40" s="534">
        <v>30</v>
      </c>
      <c r="B40" s="412" t="str">
        <f t="shared" ca="1" si="0"/>
        <v xml:space="preserve">, </v>
      </c>
      <c r="C40" s="535" t="str">
        <f>APRohpunkte!AF33</f>
        <v/>
      </c>
      <c r="D40" s="536" t="str">
        <f>IF(APRohpunkte!AF33="","",APRohpunkte!AF33+APRohpunkte!AE33)</f>
        <v/>
      </c>
      <c r="E40" s="535" t="str">
        <f>AP!E35</f>
        <v/>
      </c>
      <c r="F40" s="537" t="str">
        <f>IF(D40="","",IF(AP!$C$42="BE",VLOOKUP(D40+0.5,NB!$V$1424:$Y$1439,4,TRUE),D40))</f>
        <v/>
      </c>
      <c r="G40" s="534" t="str">
        <f t="shared" si="1"/>
        <v/>
      </c>
    </row>
    <row r="41" spans="1:7" x14ac:dyDescent="0.2">
      <c r="A41" s="534">
        <v>31</v>
      </c>
      <c r="B41" s="412" t="str">
        <f t="shared" ca="1" si="0"/>
        <v xml:space="preserve">, </v>
      </c>
      <c r="C41" s="535" t="str">
        <f>APRohpunkte!AF34</f>
        <v/>
      </c>
      <c r="D41" s="536" t="str">
        <f>IF(APRohpunkte!AF34="","",APRohpunkte!AF34+APRohpunkte!AE34)</f>
        <v/>
      </c>
      <c r="E41" s="535" t="str">
        <f>AP!E36</f>
        <v/>
      </c>
      <c r="F41" s="537" t="str">
        <f>IF(D41="","",IF(AP!$C$42="BE",VLOOKUP(D41+0.5,NB!$V$1424:$Y$1439,4,TRUE),D41))</f>
        <v/>
      </c>
      <c r="G41" s="534" t="str">
        <f t="shared" si="1"/>
        <v/>
      </c>
    </row>
    <row r="42" spans="1:7" x14ac:dyDescent="0.2">
      <c r="A42" s="534">
        <v>32</v>
      </c>
      <c r="B42" s="412" t="str">
        <f t="shared" ca="1" si="0"/>
        <v xml:space="preserve">, </v>
      </c>
      <c r="C42" s="535" t="str">
        <f>APRohpunkte!AF35</f>
        <v/>
      </c>
      <c r="D42" s="536" t="str">
        <f>IF(APRohpunkte!AF35="","",APRohpunkte!AF35+APRohpunkte!AE35)</f>
        <v/>
      </c>
      <c r="E42" s="535" t="str">
        <f>AP!E37</f>
        <v/>
      </c>
      <c r="F42" s="537" t="str">
        <f>IF(D42="","",IF(AP!$C$42="BE",VLOOKUP(D42+0.5,NB!$V$1424:$Y$1439,4,TRUE),D42))</f>
        <v/>
      </c>
      <c r="G42" s="534" t="str">
        <f t="shared" si="1"/>
        <v/>
      </c>
    </row>
    <row r="43" spans="1:7" x14ac:dyDescent="0.2">
      <c r="A43" s="534">
        <v>33</v>
      </c>
      <c r="B43" s="412" t="str">
        <f t="shared" ca="1" si="0"/>
        <v xml:space="preserve">, </v>
      </c>
      <c r="C43" s="535" t="str">
        <f>APRohpunkte!AF36</f>
        <v/>
      </c>
      <c r="D43" s="536" t="str">
        <f>IF(APRohpunkte!AF36="","",APRohpunkte!AF36+APRohpunkte!AE36)</f>
        <v/>
      </c>
      <c r="E43" s="535" t="str">
        <f>AP!E38</f>
        <v/>
      </c>
      <c r="F43" s="537" t="str">
        <f>IF(D43="","",IF(AP!$C$42="BE",VLOOKUP(D43+0.5,NB!$V$1424:$Y$1439,4,TRUE),D43))</f>
        <v/>
      </c>
      <c r="G43" s="534" t="str">
        <f t="shared" si="1"/>
        <v/>
      </c>
    </row>
    <row r="44" spans="1:7" x14ac:dyDescent="0.2">
      <c r="A44" s="534">
        <v>34</v>
      </c>
      <c r="B44" s="412" t="str">
        <f t="shared" ca="1" si="0"/>
        <v xml:space="preserve">, </v>
      </c>
      <c r="C44" s="535" t="str">
        <f>APRohpunkte!AF37</f>
        <v/>
      </c>
      <c r="D44" s="536" t="str">
        <f>IF(APRohpunkte!AF37="","",APRohpunkte!AF37+APRohpunkte!AE37)</f>
        <v/>
      </c>
      <c r="E44" s="535" t="str">
        <f>AP!E39</f>
        <v/>
      </c>
      <c r="F44" s="537" t="str">
        <f>IF(D44="","",IF(AP!$C$42="BE",VLOOKUP(D44+0.5,NB!$V$1424:$Y$1439,4,TRUE),D44))</f>
        <v/>
      </c>
      <c r="G44" s="534" t="str">
        <f t="shared" si="1"/>
        <v/>
      </c>
    </row>
    <row r="45" spans="1:7" x14ac:dyDescent="0.2">
      <c r="A45" s="534">
        <v>35</v>
      </c>
      <c r="B45" s="412" t="str">
        <f t="shared" ca="1" si="0"/>
        <v xml:space="preserve">, </v>
      </c>
      <c r="C45" s="535" t="str">
        <f>APRohpunkte!AF38</f>
        <v/>
      </c>
      <c r="D45" s="536" t="str">
        <f>IF(APRohpunkte!AF38="","",APRohpunkte!AF38+APRohpunkte!AE38)</f>
        <v/>
      </c>
      <c r="E45" s="535" t="str">
        <f>AP!E40</f>
        <v/>
      </c>
      <c r="F45" s="537" t="str">
        <f>IF(D45="","",IF(AP!$C$42="BE",VLOOKUP(D45+0.5,NB!$V$1424:$Y$1439,4,TRUE),D45))</f>
        <v/>
      </c>
      <c r="G45" s="534" t="str">
        <f t="shared" si="1"/>
        <v/>
      </c>
    </row>
    <row r="46" spans="1:7" x14ac:dyDescent="0.2">
      <c r="A46" s="518"/>
      <c r="B46" s="518"/>
      <c r="C46" s="538"/>
      <c r="D46" s="518"/>
      <c r="E46" s="518"/>
      <c r="F46" s="518"/>
      <c r="G46" s="518"/>
    </row>
    <row r="47" spans="1:7" ht="25.5" x14ac:dyDescent="0.2">
      <c r="A47" s="539"/>
      <c r="B47" s="539"/>
      <c r="C47" s="540" t="s">
        <v>157</v>
      </c>
      <c r="D47" s="541" t="s">
        <v>156</v>
      </c>
      <c r="E47" s="540"/>
      <c r="F47" s="540" t="s">
        <v>157</v>
      </c>
      <c r="G47" s="541" t="s">
        <v>156</v>
      </c>
    </row>
    <row r="48" spans="1:7" x14ac:dyDescent="0.2">
      <c r="A48" s="542">
        <v>15</v>
      </c>
      <c r="B48" s="543"/>
      <c r="C48" s="544" t="str">
        <f>AP!C50 &amp;"-"&amp; AP!D50</f>
        <v>100-96</v>
      </c>
      <c r="D48" s="544">
        <f t="shared" ref="D48:D55" si="2">COUNTIF($E$11:$E$45,A48)</f>
        <v>0</v>
      </c>
      <c r="E48" s="544">
        <v>7</v>
      </c>
      <c r="F48" s="544" t="str">
        <f>AP!C58 &amp;"-"&amp; AP!D58</f>
        <v>60-56</v>
      </c>
      <c r="G48" s="544">
        <f t="shared" ref="G48:G55" si="3">COUNTIF($E$11:$E$45,E48)</f>
        <v>0</v>
      </c>
    </row>
    <row r="49" spans="1:7" x14ac:dyDescent="0.2">
      <c r="A49" s="542">
        <v>14</v>
      </c>
      <c r="B49" s="543"/>
      <c r="C49" s="544" t="str">
        <f>AP!C51 &amp;"-"&amp; AP!D51</f>
        <v>95-91</v>
      </c>
      <c r="D49" s="544">
        <f t="shared" si="2"/>
        <v>0</v>
      </c>
      <c r="E49" s="544">
        <v>6</v>
      </c>
      <c r="F49" s="544" t="str">
        <f>AP!C59 &amp;"-"&amp; AP!D59</f>
        <v>55-51</v>
      </c>
      <c r="G49" s="544">
        <f t="shared" si="3"/>
        <v>0</v>
      </c>
    </row>
    <row r="50" spans="1:7" x14ac:dyDescent="0.2">
      <c r="A50" s="542">
        <v>13</v>
      </c>
      <c r="B50" s="543"/>
      <c r="C50" s="544" t="str">
        <f>AP!C52 &amp;"-"&amp; AP!D52</f>
        <v>90-86</v>
      </c>
      <c r="D50" s="544">
        <f t="shared" si="2"/>
        <v>0</v>
      </c>
      <c r="E50" s="544">
        <v>5</v>
      </c>
      <c r="F50" s="544" t="str">
        <f>AP!C60 &amp;"-"&amp; AP!D60</f>
        <v>50-46</v>
      </c>
      <c r="G50" s="544">
        <f t="shared" si="3"/>
        <v>0</v>
      </c>
    </row>
    <row r="51" spans="1:7" x14ac:dyDescent="0.2">
      <c r="A51" s="542">
        <v>12</v>
      </c>
      <c r="B51" s="543"/>
      <c r="C51" s="544" t="str">
        <f>AP!C53 &amp;"-"&amp; AP!D53</f>
        <v>85-81</v>
      </c>
      <c r="D51" s="544">
        <f t="shared" si="2"/>
        <v>0</v>
      </c>
      <c r="E51" s="544">
        <v>4</v>
      </c>
      <c r="F51" s="544" t="str">
        <f>AP!C61 &amp;"-"&amp; AP!D61</f>
        <v>45-41</v>
      </c>
      <c r="G51" s="544">
        <f t="shared" si="3"/>
        <v>0</v>
      </c>
    </row>
    <row r="52" spans="1:7" x14ac:dyDescent="0.2">
      <c r="A52" s="542">
        <v>11</v>
      </c>
      <c r="B52" s="543"/>
      <c r="C52" s="544" t="str">
        <f>AP!C54 &amp;"-"&amp; AP!D54</f>
        <v>80-76</v>
      </c>
      <c r="D52" s="544">
        <f t="shared" si="2"/>
        <v>0</v>
      </c>
      <c r="E52" s="544">
        <v>3</v>
      </c>
      <c r="F52" s="544" t="str">
        <f>AP!C62 &amp;"-"&amp; AP!D62</f>
        <v>40-34</v>
      </c>
      <c r="G52" s="544">
        <f t="shared" si="3"/>
        <v>0</v>
      </c>
    </row>
    <row r="53" spans="1:7" x14ac:dyDescent="0.2">
      <c r="A53" s="542">
        <v>10</v>
      </c>
      <c r="B53" s="543"/>
      <c r="C53" s="544" t="str">
        <f>AP!C55 &amp;"-"&amp; AP!D55</f>
        <v>75-71</v>
      </c>
      <c r="D53" s="544">
        <f t="shared" si="2"/>
        <v>0</v>
      </c>
      <c r="E53" s="544">
        <v>2</v>
      </c>
      <c r="F53" s="544" t="str">
        <f>AP!C63 &amp;"-"&amp; AP!D63</f>
        <v>33-27</v>
      </c>
      <c r="G53" s="544">
        <f t="shared" si="3"/>
        <v>0</v>
      </c>
    </row>
    <row r="54" spans="1:7" x14ac:dyDescent="0.2">
      <c r="A54" s="542">
        <v>9</v>
      </c>
      <c r="B54" s="543"/>
      <c r="C54" s="544" t="str">
        <f>AP!C56 &amp;"-"&amp; AP!D56</f>
        <v>70-66</v>
      </c>
      <c r="D54" s="544">
        <f t="shared" si="2"/>
        <v>0</v>
      </c>
      <c r="E54" s="544">
        <v>1</v>
      </c>
      <c r="F54" s="544" t="str">
        <f>AP!C64 &amp;"-"&amp; AP!D64</f>
        <v>26-20</v>
      </c>
      <c r="G54" s="544">
        <f t="shared" si="3"/>
        <v>0</v>
      </c>
    </row>
    <row r="55" spans="1:7" x14ac:dyDescent="0.2">
      <c r="A55" s="542">
        <v>8</v>
      </c>
      <c r="B55" s="543"/>
      <c r="C55" s="544" t="str">
        <f>AP!C57 &amp;"-"&amp; AP!D57</f>
        <v>65-61</v>
      </c>
      <c r="D55" s="544">
        <f t="shared" si="2"/>
        <v>0</v>
      </c>
      <c r="E55" s="544">
        <v>0</v>
      </c>
      <c r="F55" s="544" t="str">
        <f>AP!C65 &amp;"-"&amp; AP!D65</f>
        <v>19-0</v>
      </c>
      <c r="G55" s="544">
        <f t="shared" si="3"/>
        <v>0</v>
      </c>
    </row>
    <row r="56" spans="1:7" x14ac:dyDescent="0.2">
      <c r="A56" s="398"/>
      <c r="B56" s="399"/>
      <c r="C56" s="399"/>
      <c r="D56" s="399"/>
      <c r="E56" s="399"/>
      <c r="F56" s="399"/>
      <c r="G56" s="403"/>
    </row>
    <row r="57" spans="1:7" x14ac:dyDescent="0.2">
      <c r="A57" s="509" t="s">
        <v>155</v>
      </c>
      <c r="B57" s="510"/>
      <c r="C57" s="510"/>
      <c r="D57" s="510"/>
      <c r="E57" s="510"/>
      <c r="F57" s="510"/>
      <c r="G57" s="511"/>
    </row>
    <row r="58" spans="1:7" x14ac:dyDescent="0.2">
      <c r="A58" s="500" t="e">
        <f>AVERAGE(E11:E45)</f>
        <v>#DIV/0!</v>
      </c>
      <c r="B58" s="501"/>
      <c r="C58" s="501"/>
      <c r="D58" s="501"/>
      <c r="E58" s="501"/>
      <c r="F58" s="501"/>
      <c r="G58" s="502"/>
    </row>
    <row r="60" spans="1:7" ht="26.25" customHeight="1" x14ac:dyDescent="0.2">
      <c r="A60" s="506" t="s">
        <v>154</v>
      </c>
      <c r="B60" s="507"/>
      <c r="C60" s="507"/>
      <c r="D60" s="507"/>
      <c r="E60" s="507"/>
      <c r="F60" s="507"/>
      <c r="G60" s="508"/>
    </row>
    <row r="65" spans="1:7" x14ac:dyDescent="0.2">
      <c r="A65" s="402"/>
      <c r="B65" s="505"/>
      <c r="C65" s="505"/>
      <c r="D65" s="399"/>
      <c r="E65" s="399"/>
      <c r="F65" s="504"/>
      <c r="G65" s="504"/>
    </row>
    <row r="66" spans="1:7" x14ac:dyDescent="0.2">
      <c r="A66" s="399"/>
      <c r="B66" s="503" t="s">
        <v>153</v>
      </c>
      <c r="C66" s="503"/>
      <c r="D66" s="399"/>
      <c r="E66" s="401"/>
      <c r="F66" s="503" t="s">
        <v>152</v>
      </c>
      <c r="G66" s="503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82"/>
  <sheetViews>
    <sheetView showGridLines="0" tabSelected="1" zoomScaleNormal="92" workbookViewId="0">
      <pane ySplit="4" topLeftCell="A5" activePane="bottomLeft" state="frozen"/>
      <selection activeCell="H44" sqref="H44"/>
      <selection pane="bottomLeft" activeCell="B84" sqref="B84"/>
    </sheetView>
  </sheetViews>
  <sheetFormatPr baseColWidth="10" defaultRowHeight="12.75" x14ac:dyDescent="0.2"/>
  <cols>
    <col min="1" max="1" width="4" style="1" bestFit="1" customWidth="1"/>
    <col min="2" max="2" width="14.42578125" style="1" customWidth="1"/>
    <col min="3" max="3" width="2.28515625" style="1" customWidth="1"/>
    <col min="4" max="11" width="3" style="1" customWidth="1"/>
    <col min="12" max="12" width="2.85546875" style="1" customWidth="1"/>
    <col min="13" max="15" width="5.140625" style="1" customWidth="1"/>
    <col min="16" max="23" width="3" style="1" customWidth="1"/>
    <col min="24" max="24" width="3.28515625" style="1" customWidth="1"/>
    <col min="25" max="26" width="4.7109375" style="1" customWidth="1"/>
    <col min="27" max="27" width="5.5703125" style="1" customWidth="1"/>
    <col min="28" max="28" width="11" style="1" customWidth="1"/>
    <col min="29" max="29" width="11.5703125" style="1" customWidth="1"/>
    <col min="30" max="32" width="4.28515625" style="1" customWidth="1"/>
    <col min="33" max="36" width="4" style="1" customWidth="1"/>
    <col min="37" max="37" width="0" style="1" hidden="1" customWidth="1"/>
    <col min="38" max="38" width="5.28515625" style="1" hidden="1" customWidth="1"/>
    <col min="39" max="16384" width="11.42578125" style="1"/>
  </cols>
  <sheetData>
    <row r="1" spans="1:38" s="17" customFormat="1" x14ac:dyDescent="0.2">
      <c r="A1" s="3" t="s">
        <v>20</v>
      </c>
      <c r="B1" s="284"/>
      <c r="C1" s="437" t="s">
        <v>142</v>
      </c>
      <c r="D1" s="438"/>
      <c r="E1" s="438"/>
      <c r="F1" s="439"/>
      <c r="G1" s="439"/>
      <c r="H1" s="439"/>
      <c r="I1" s="439"/>
      <c r="J1" s="439"/>
      <c r="K1" s="436" t="s">
        <v>0</v>
      </c>
      <c r="L1" s="436"/>
      <c r="M1" s="449"/>
      <c r="N1" s="449"/>
      <c r="O1" s="449"/>
      <c r="P1" s="416" t="s">
        <v>18</v>
      </c>
      <c r="Q1" s="416"/>
      <c r="R1" s="416"/>
      <c r="S1" s="422"/>
      <c r="T1" s="422"/>
      <c r="U1" s="422"/>
      <c r="V1" s="422"/>
      <c r="W1" s="415" t="s">
        <v>23</v>
      </c>
      <c r="X1" s="415"/>
      <c r="Y1" s="415"/>
      <c r="Z1" s="430">
        <f ca="1">TODAY()</f>
        <v>42188</v>
      </c>
      <c r="AA1" s="431"/>
      <c r="AB1" s="2"/>
      <c r="AL1" s="17">
        <v>15</v>
      </c>
    </row>
    <row r="2" spans="1:38" ht="15.75" customHeight="1" thickBot="1" x14ac:dyDescent="0.3">
      <c r="A2" s="441" t="s">
        <v>143</v>
      </c>
      <c r="B2" s="442"/>
      <c r="C2" s="443"/>
      <c r="D2" s="426" t="s">
        <v>1</v>
      </c>
      <c r="E2" s="427"/>
      <c r="F2" s="427"/>
      <c r="G2" s="427"/>
      <c r="H2" s="427"/>
      <c r="I2" s="427"/>
      <c r="J2" s="427"/>
      <c r="K2" s="427"/>
      <c r="L2" s="427"/>
      <c r="M2" s="428"/>
      <c r="N2" s="428"/>
      <c r="O2" s="429"/>
      <c r="P2" s="426" t="s">
        <v>2</v>
      </c>
      <c r="Q2" s="427"/>
      <c r="R2" s="427"/>
      <c r="S2" s="427"/>
      <c r="T2" s="427"/>
      <c r="U2" s="427"/>
      <c r="V2" s="427"/>
      <c r="W2" s="427"/>
      <c r="X2" s="427"/>
      <c r="Y2" s="428"/>
      <c r="Z2" s="428"/>
      <c r="AA2" s="429"/>
      <c r="AL2" s="1">
        <v>14</v>
      </c>
    </row>
    <row r="3" spans="1:38" x14ac:dyDescent="0.2">
      <c r="A3" s="444" t="s">
        <v>3</v>
      </c>
      <c r="B3" s="4" t="s">
        <v>4</v>
      </c>
      <c r="C3" s="5"/>
      <c r="D3" s="19" t="s">
        <v>13</v>
      </c>
      <c r="E3" s="20"/>
      <c r="F3" s="20"/>
      <c r="G3" s="20"/>
      <c r="H3" s="20"/>
      <c r="I3" s="20"/>
      <c r="J3" s="20"/>
      <c r="K3" s="21"/>
      <c r="L3" s="28" t="s">
        <v>14</v>
      </c>
      <c r="M3" s="446"/>
      <c r="N3" s="447"/>
      <c r="O3" s="448"/>
      <c r="P3" s="34" t="s">
        <v>13</v>
      </c>
      <c r="Q3" s="34"/>
      <c r="R3" s="34"/>
      <c r="S3" s="34"/>
      <c r="T3" s="34"/>
      <c r="U3" s="34"/>
      <c r="V3" s="34"/>
      <c r="W3" s="35"/>
      <c r="X3" s="274" t="s">
        <v>14</v>
      </c>
      <c r="Y3" s="423"/>
      <c r="Z3" s="424"/>
      <c r="AA3" s="425"/>
      <c r="AL3" s="1">
        <v>13</v>
      </c>
    </row>
    <row r="4" spans="1:38" x14ac:dyDescent="0.2">
      <c r="A4" s="445"/>
      <c r="B4" s="6" t="s">
        <v>5</v>
      </c>
      <c r="C4" s="7"/>
      <c r="D4" s="440" t="s">
        <v>21</v>
      </c>
      <c r="E4" s="417"/>
      <c r="F4" s="417"/>
      <c r="G4" s="418"/>
      <c r="H4" s="419" t="s">
        <v>93</v>
      </c>
      <c r="I4" s="420"/>
      <c r="J4" s="421"/>
      <c r="K4" s="30" t="s">
        <v>19</v>
      </c>
      <c r="L4" s="29" t="s">
        <v>12</v>
      </c>
      <c r="M4" s="13" t="s">
        <v>102</v>
      </c>
      <c r="N4" s="12" t="s">
        <v>103</v>
      </c>
      <c r="O4" s="14" t="s">
        <v>91</v>
      </c>
      <c r="P4" s="417" t="s">
        <v>21</v>
      </c>
      <c r="Q4" s="417"/>
      <c r="R4" s="417"/>
      <c r="S4" s="418"/>
      <c r="T4" s="419" t="s">
        <v>93</v>
      </c>
      <c r="U4" s="420"/>
      <c r="V4" s="421"/>
      <c r="W4" s="30" t="s">
        <v>19</v>
      </c>
      <c r="X4" s="275" t="s">
        <v>12</v>
      </c>
      <c r="Y4" s="13" t="s">
        <v>102</v>
      </c>
      <c r="Z4" s="12" t="s">
        <v>103</v>
      </c>
      <c r="AA4" s="16" t="s">
        <v>92</v>
      </c>
      <c r="AB4" s="273"/>
      <c r="AL4" s="1">
        <v>12</v>
      </c>
    </row>
    <row r="5" spans="1:38" x14ac:dyDescent="0.2">
      <c r="A5" s="434">
        <v>1</v>
      </c>
      <c r="B5" s="174"/>
      <c r="C5" s="208" t="s">
        <v>102</v>
      </c>
      <c r="D5" s="277" t="str">
        <f ca="1">INDIRECT(IF(ADDRESS($A5+3,3,4,,"I1SA")="","",ADDRESS($A5+3,3,4,,"I1SA")))</f>
        <v/>
      </c>
      <c r="E5" s="278" t="str">
        <f ca="1">INDIRECT(IF(ADDRESS($A5+3,3,4,,"I2SA")="","",ADDRESS($A5+3,3,4,,"I2SA")))</f>
        <v/>
      </c>
      <c r="F5" s="278" t="str">
        <f ca="1">INDIRECT(IF(ADDRESS($A5+3,3,4,,"I3SA")="","",ADDRESS($A5+3,3,4,,"I3SA")))</f>
        <v/>
      </c>
      <c r="G5" s="279"/>
      <c r="H5" s="280"/>
      <c r="I5" s="281"/>
      <c r="J5" s="282"/>
      <c r="K5" s="280"/>
      <c r="L5" s="283"/>
      <c r="M5" s="102"/>
      <c r="N5" s="103" t="str">
        <f ca="1">IF(N6="","","")</f>
        <v/>
      </c>
      <c r="O5" s="287" t="str">
        <f ca="1">IF(OR(COUNT(D5:G5)*COUNT(D6:K6)&gt;0,AND($C$1="KA / mdl.",COUNT(D6:L6)&gt;0)),IF(O6&lt;1,0,ROUND(O6,0)),"")</f>
        <v/>
      </c>
      <c r="P5" s="285" t="str">
        <f ca="1">INDIRECT(IF(ADDRESS($A5+3,3,4,,"II1SA")="","",ADDRESS($A5+3,3,4,,"II1SA")))</f>
        <v/>
      </c>
      <c r="Q5" s="278" t="str">
        <f ca="1">INDIRECT(IF(ADDRESS($A5+3,3,4,,"II2SA")="","",ADDRESS($A5+3,3,4,,"II2SA")))</f>
        <v/>
      </c>
      <c r="R5" s="278" t="str">
        <f ca="1">INDIRECT(IF(ADDRESS($A5+3,3,4,,"II3SA")="","",ADDRESS($A5+3,3,4,,"II3SA")))</f>
        <v/>
      </c>
      <c r="S5" s="279"/>
      <c r="T5" s="278"/>
      <c r="U5" s="278"/>
      <c r="V5" s="278"/>
      <c r="W5" s="280"/>
      <c r="X5" s="283"/>
      <c r="Y5" s="413"/>
      <c r="Z5" s="414"/>
      <c r="AA5" s="27" t="str">
        <f ca="1">IF(OR(COUNT(P5:S5)*COUNT(P6:X6)&gt;0,AND($C$1="KA / mdl.",COUNT(P6:X6)&gt;0)),IF(AA6&lt;1,0,ROUND(AA6,0)),"")</f>
        <v/>
      </c>
      <c r="AB5" s="169"/>
      <c r="AL5" s="11">
        <v>11</v>
      </c>
    </row>
    <row r="6" spans="1:38" ht="12" customHeight="1" x14ac:dyDescent="0.2">
      <c r="A6" s="435"/>
      <c r="B6" s="175"/>
      <c r="C6" s="209" t="s">
        <v>103</v>
      </c>
      <c r="D6" s="31" t="str">
        <f ca="1">INDIRECT(IF(ADDRESS($A5+3,3,4,,"I1Ext")="","",ADDRESS($A5+3,3,4,,"I1Ext")))</f>
        <v/>
      </c>
      <c r="E6" s="31" t="str">
        <f ca="1">INDIRECT(IF(ADDRESS($A5+3,3,4,,"I2Ext")="","",ADDRESS($A5+3,3,4,,"I2Ext")))</f>
        <v/>
      </c>
      <c r="F6" s="31" t="str">
        <f ca="1">INDIRECT(IF(ADDRESS($A5+3,3,4,,"I3Ext")="","",ADDRESS($A5+3,3,4,,"I3Ext")))</f>
        <v/>
      </c>
      <c r="G6" s="31" t="str">
        <f ca="1">INDIRECT(IF(ADDRESS($A5+3,3,4,,"I4Ext")="","",ADDRESS($A5+3,3,4,,"I4Ext")))</f>
        <v/>
      </c>
      <c r="H6" s="22"/>
      <c r="I6" s="23"/>
      <c r="J6" s="24"/>
      <c r="K6" s="25"/>
      <c r="L6" s="25"/>
      <c r="M6" s="305" t="str">
        <f ca="1">IF(COUNT(D5:F5)=0,"",ROUND(NB!E5,2))</f>
        <v/>
      </c>
      <c r="N6" s="306" t="str">
        <f ca="1">IF(COUNT(D6:K6)=0,"",ROUND(NB!I5,2))</f>
        <v/>
      </c>
      <c r="O6" s="288" t="str">
        <f ca="1">IF(OR(COUNT(D5:G5)*COUNT(D6:K6)&gt;0,AND($C$1="KA / mdl.",COUNT(D6:L6)&gt;0)),ROUNDUP(NB!J5,2),"")</f>
        <v/>
      </c>
      <c r="P6" s="286" t="str">
        <f ca="1">INDIRECT(IF(ADDRESS($A5+3,3,4,,"II1Ext")="","",ADDRESS($A5+3,3,4,,"II1Ext")))</f>
        <v/>
      </c>
      <c r="Q6" s="31" t="str">
        <f ca="1">INDIRECT(IF(ADDRESS($A5+3,3,4,,"II2Ext")="","",ADDRESS($A5+3,3,4,,"II2Ext")))</f>
        <v/>
      </c>
      <c r="R6" s="31" t="str">
        <f ca="1">INDIRECT(IF(ADDRESS($A5+3,3,4,,"II3Ext")="","",ADDRESS($A5+3,3,4,,"II3Ext")))</f>
        <v/>
      </c>
      <c r="S6" s="31" t="str">
        <f ca="1">INDIRECT(IF(ADDRESS($A5+3,3,4,,"II4Ext")="","",ADDRESS($A5+3,3,4,,"II4Ext")))</f>
        <v/>
      </c>
      <c r="T6" s="22"/>
      <c r="U6" s="23"/>
      <c r="V6" s="24"/>
      <c r="W6" s="25"/>
      <c r="X6" s="276"/>
      <c r="Y6" s="303" t="str">
        <f ca="1">IF(COUNT(P5:R5)=0,"",ROUND(NB!M5,2))</f>
        <v/>
      </c>
      <c r="Z6" s="304" t="str">
        <f ca="1">IF(COUNT(P6:X6)=0,"",ROUND(NB!Q5,2))</f>
        <v/>
      </c>
      <c r="AA6" s="207" t="str">
        <f ca="1">IF(OR(COUNT(P5:S5)*COUNT(P6:X6)&gt;0,AND($C$1="KA / mdl.",COUNT(P6:X6)&gt;0)),ROUNDUP(NB!R5,2),"")</f>
        <v/>
      </c>
      <c r="AB6" s="2" t="str">
        <f>IF(AND(L6&lt;&gt;"",X6&lt;&gt;""),"2 Referate ?","")</f>
        <v/>
      </c>
      <c r="AL6" s="11">
        <v>10</v>
      </c>
    </row>
    <row r="7" spans="1:38" ht="12" customHeight="1" x14ac:dyDescent="0.2">
      <c r="A7" s="434">
        <f>A5+1</f>
        <v>2</v>
      </c>
      <c r="B7" s="174"/>
      <c r="C7" s="208" t="s">
        <v>102</v>
      </c>
      <c r="D7" s="277" t="str">
        <f ca="1">INDIRECT(IF(ADDRESS($A7+3,3,4,,"I1SA")="","",ADDRESS($A7+3,3,4,,"I1SA")))</f>
        <v/>
      </c>
      <c r="E7" s="278" t="str">
        <f ca="1">INDIRECT(IF(ADDRESS($A7+3,3,4,,"I2SA")="","",ADDRESS($A7+3,3,4,,"I2SA")))</f>
        <v/>
      </c>
      <c r="F7" s="278" t="str">
        <f ca="1">INDIRECT(IF(ADDRESS($A7+3,3,4,,"I3SA")="","",ADDRESS($A7+3,3,4,,"I3SA")))</f>
        <v/>
      </c>
      <c r="G7" s="279"/>
      <c r="H7" s="280"/>
      <c r="I7" s="281"/>
      <c r="J7" s="282"/>
      <c r="K7" s="280"/>
      <c r="L7" s="283"/>
      <c r="M7" s="102"/>
      <c r="N7" s="103" t="str">
        <f ca="1">IF(N8="","","")</f>
        <v/>
      </c>
      <c r="O7" s="287" t="str">
        <f ca="1">IF(OR(COUNT(D7:G7)*COUNT(D8:K8)&gt;0,AND($C$1="KA / mdl.",COUNT(D8:L8)&gt;0)),IF(O8&lt;1,0,ROUND(O8,0)),"")</f>
        <v/>
      </c>
      <c r="P7" s="285" t="str">
        <f ca="1">INDIRECT(IF(ADDRESS($A7+3,3,4,,"II1SA")="","",ADDRESS($A7+3,3,4,,"II1SA")))</f>
        <v/>
      </c>
      <c r="Q7" s="278" t="str">
        <f ca="1">INDIRECT(IF(ADDRESS($A7+3,3,4,,"II2SA")="","",ADDRESS($A7+3,3,4,,"II2SA")))</f>
        <v/>
      </c>
      <c r="R7" s="278" t="str">
        <f ca="1">INDIRECT(IF(ADDRESS($A7+3,3,4,,"II3SA")="","",ADDRESS($A7+3,3,4,,"II3SA")))</f>
        <v/>
      </c>
      <c r="S7" s="279"/>
      <c r="T7" s="278"/>
      <c r="U7" s="278"/>
      <c r="V7" s="278"/>
      <c r="W7" s="280"/>
      <c r="X7" s="283"/>
      <c r="Y7" s="413"/>
      <c r="Z7" s="414"/>
      <c r="AA7" s="27" t="str">
        <f ca="1">IF(OR(COUNT(P7:S7)*COUNT(P8:X8)&gt;0,AND($C$1="KA / mdl.",COUNT(P8:X8)&gt;0)),IF(AA8&lt;1,0,ROUND(AA8,0)),"")</f>
        <v/>
      </c>
      <c r="AB7" s="169"/>
      <c r="AC7" s="165"/>
      <c r="AD7" s="166"/>
      <c r="AE7" s="166"/>
      <c r="AF7" s="166"/>
      <c r="AG7" s="166"/>
      <c r="AH7" s="166"/>
      <c r="AI7" s="167"/>
      <c r="AL7" s="11">
        <v>9</v>
      </c>
    </row>
    <row r="8" spans="1:38" ht="12" customHeight="1" x14ac:dyDescent="0.2">
      <c r="A8" s="435"/>
      <c r="B8" s="175"/>
      <c r="C8" s="209" t="s">
        <v>103</v>
      </c>
      <c r="D8" s="31" t="str">
        <f ca="1">INDIRECT(IF(ADDRESS($A7+3,3,4,,"I1Ext")="","",ADDRESS($A7+3,3,4,,"I1Ext")))</f>
        <v/>
      </c>
      <c r="E8" s="31" t="str">
        <f ca="1">INDIRECT(IF(ADDRESS($A7+3,3,4,,"I2Ext")="","",ADDRESS($A7+3,3,4,,"I2Ext")))</f>
        <v/>
      </c>
      <c r="F8" s="31" t="str">
        <f ca="1">INDIRECT(IF(ADDRESS($A7+3,3,4,,"I3Ext")="","",ADDRESS($A7+3,3,4,,"I3Ext")))</f>
        <v/>
      </c>
      <c r="G8" s="31" t="str">
        <f ca="1">INDIRECT(IF(ADDRESS($A7+3,3,4,,"I4Ext")="","",ADDRESS($A7+3,3,4,,"I4Ext")))</f>
        <v/>
      </c>
      <c r="H8" s="22"/>
      <c r="I8" s="23"/>
      <c r="J8" s="24"/>
      <c r="K8" s="25"/>
      <c r="L8" s="25"/>
      <c r="M8" s="305" t="str">
        <f ca="1">IF(COUNT(D7:F7)=0,"",ROUND(NB!E7,2))</f>
        <v/>
      </c>
      <c r="N8" s="306" t="str">
        <f ca="1">IF(COUNT(D8:K8)=0,"",ROUND(NB!I7,2))</f>
        <v/>
      </c>
      <c r="O8" s="288" t="str">
        <f ca="1">IF(OR(COUNT(D7:G7)*COUNT(D8:K8)&gt;0,AND($C$1="KA / mdl.",COUNT(D8:L8)&gt;0)),ROUNDUP(NB!J7,2),"")</f>
        <v/>
      </c>
      <c r="P8" s="286" t="str">
        <f ca="1">INDIRECT(IF(ADDRESS($A7+3,3,4,,"II1Ext")="","",ADDRESS($A7+3,3,4,,"II1Ext")))</f>
        <v/>
      </c>
      <c r="Q8" s="31" t="str">
        <f ca="1">INDIRECT(IF(ADDRESS($A7+3,3,4,,"II2Ext")="","",ADDRESS($A7+3,3,4,,"II2Ext")))</f>
        <v/>
      </c>
      <c r="R8" s="31" t="str">
        <f ca="1">INDIRECT(IF(ADDRESS($A7+3,3,4,,"II3Ext")="","",ADDRESS($A7+3,3,4,,"II3Ext")))</f>
        <v/>
      </c>
      <c r="S8" s="31" t="str">
        <f ca="1">INDIRECT(IF(ADDRESS($A7+3,3,4,,"II4Ext")="","",ADDRESS($A7+3,3,4,,"II4Ext")))</f>
        <v/>
      </c>
      <c r="T8" s="22"/>
      <c r="U8" s="23"/>
      <c r="V8" s="24"/>
      <c r="W8" s="25"/>
      <c r="X8" s="276"/>
      <c r="Y8" s="303" t="str">
        <f ca="1">IF(COUNT(P7:R7)=0,"",ROUND(NB!M7,2))</f>
        <v/>
      </c>
      <c r="Z8" s="304" t="str">
        <f ca="1">IF(COUNT(P8:X8)=0,"",ROUND(NB!Q7,2))</f>
        <v/>
      </c>
      <c r="AA8" s="207" t="str">
        <f ca="1">IF(OR(COUNT(P7:S7)*COUNT(P8:X8)&gt;0,AND($C$1="KA / mdl.",COUNT(P8:X8)&gt;0)),ROUNDUP(NB!R7,2),"")</f>
        <v/>
      </c>
      <c r="AB8" s="2" t="str">
        <f>IF(AND(L8&lt;&gt;"",X8&lt;&gt;""),"2 Referate ?","")</f>
        <v/>
      </c>
      <c r="AC8" s="168"/>
      <c r="AD8" s="451"/>
      <c r="AE8" s="451"/>
      <c r="AF8" s="451"/>
      <c r="AG8" s="451"/>
      <c r="AH8" s="451"/>
      <c r="AI8" s="167"/>
      <c r="AL8" s="11">
        <v>8</v>
      </c>
    </row>
    <row r="9" spans="1:38" ht="12" customHeight="1" x14ac:dyDescent="0.2">
      <c r="A9" s="434">
        <f>A7+1</f>
        <v>3</v>
      </c>
      <c r="B9" s="174"/>
      <c r="C9" s="208" t="s">
        <v>102</v>
      </c>
      <c r="D9" s="277" t="str">
        <f ca="1">INDIRECT(IF(ADDRESS($A9+3,3,4,,"I1SA")="","",ADDRESS($A9+3,3,4,,"I1SA")))</f>
        <v/>
      </c>
      <c r="E9" s="278" t="str">
        <f ca="1">INDIRECT(IF(ADDRESS($A9+3,3,4,,"I2SA")="","",ADDRESS($A9+3,3,4,,"I2SA")))</f>
        <v/>
      </c>
      <c r="F9" s="278" t="str">
        <f ca="1">INDIRECT(IF(ADDRESS($A9+3,3,4,,"I3SA")="","",ADDRESS($A9+3,3,4,,"I3SA")))</f>
        <v/>
      </c>
      <c r="G9" s="279"/>
      <c r="H9" s="280"/>
      <c r="I9" s="281"/>
      <c r="J9" s="282"/>
      <c r="K9" s="280"/>
      <c r="L9" s="283"/>
      <c r="M9" s="102"/>
      <c r="N9" s="103" t="str">
        <f ca="1">IF(N10="","","")</f>
        <v/>
      </c>
      <c r="O9" s="287" t="str">
        <f ca="1">IF(OR(COUNT(D9:G9)*COUNT(D10:K10)&gt;0,AND($C$1="KA / mdl.",COUNT(D10:L10)&gt;0)),IF(O10&lt;1,0,ROUND(O10,0)),"")</f>
        <v/>
      </c>
      <c r="P9" s="285" t="str">
        <f ca="1">INDIRECT(IF(ADDRESS($A9+3,3,4,,"II1SA")="","",ADDRESS($A9+3,3,4,,"II1SA")))</f>
        <v/>
      </c>
      <c r="Q9" s="278" t="str">
        <f ca="1">INDIRECT(IF(ADDRESS($A9+3,3,4,,"II2SA")="","",ADDRESS($A9+3,3,4,,"II2SA")))</f>
        <v/>
      </c>
      <c r="R9" s="278" t="str">
        <f ca="1">INDIRECT(IF(ADDRESS($A9+3,3,4,,"II3SA")="","",ADDRESS($A9+3,3,4,,"II3SA")))</f>
        <v/>
      </c>
      <c r="S9" s="279"/>
      <c r="T9" s="278"/>
      <c r="U9" s="278"/>
      <c r="V9" s="278"/>
      <c r="W9" s="280"/>
      <c r="X9" s="283"/>
      <c r="Y9" s="413"/>
      <c r="Z9" s="414"/>
      <c r="AA9" s="27" t="str">
        <f ca="1">IF(OR(COUNT(P9:S9)*COUNT(P10:X10)&gt;0,AND($C$1="KA / mdl.",COUNT(P10:X10)&gt;0)),IF(AA10&lt;1,0,ROUND(AA10,0)),"")</f>
        <v/>
      </c>
      <c r="AB9" s="169"/>
      <c r="AC9" s="169"/>
      <c r="AD9" s="168"/>
      <c r="AE9" s="168"/>
      <c r="AF9" s="168"/>
      <c r="AG9" s="168"/>
      <c r="AH9" s="168"/>
      <c r="AI9" s="167"/>
      <c r="AL9" s="11">
        <v>7</v>
      </c>
    </row>
    <row r="10" spans="1:38" ht="12" customHeight="1" x14ac:dyDescent="0.2">
      <c r="A10" s="435"/>
      <c r="B10" s="175"/>
      <c r="C10" s="209" t="s">
        <v>103</v>
      </c>
      <c r="D10" s="31" t="str">
        <f ca="1">INDIRECT(IF(ADDRESS($A9+3,3,4,,"I1Ext")="","",ADDRESS($A9+3,3,4,,"I1Ext")))</f>
        <v/>
      </c>
      <c r="E10" s="31" t="str">
        <f ca="1">INDIRECT(IF(ADDRESS($A9+3,3,4,,"I2Ext")="","",ADDRESS($A9+3,3,4,,"I2Ext")))</f>
        <v/>
      </c>
      <c r="F10" s="31" t="str">
        <f ca="1">INDIRECT(IF(ADDRESS($A9+3,3,4,,"I3Ext")="","",ADDRESS($A9+3,3,4,,"I3Ext")))</f>
        <v/>
      </c>
      <c r="G10" s="31" t="str">
        <f ca="1">INDIRECT(IF(ADDRESS($A9+3,3,4,,"I4Ext")="","",ADDRESS($A9+3,3,4,,"I4Ext")))</f>
        <v/>
      </c>
      <c r="H10" s="22"/>
      <c r="I10" s="23"/>
      <c r="J10" s="24"/>
      <c r="K10" s="25"/>
      <c r="L10" s="25"/>
      <c r="M10" s="305" t="str">
        <f ca="1">IF(COUNT(D9:F9)=0,"",ROUND(NB!E9,2))</f>
        <v/>
      </c>
      <c r="N10" s="306" t="str">
        <f ca="1">IF(COUNT(D10:K10)=0,"",ROUND(NB!I9,2))</f>
        <v/>
      </c>
      <c r="O10" s="288" t="str">
        <f ca="1">IF(OR(COUNT(D9:G9)*COUNT(D10:K10)&gt;0,AND($C$1="KA / mdl.",COUNT(D10:L10)&gt;0)),ROUNDUP(NB!J9,2),"")</f>
        <v/>
      </c>
      <c r="P10" s="286" t="str">
        <f ca="1">INDIRECT(IF(ADDRESS($A9+3,3,4,,"II1Ext")="","",ADDRESS($A9+3,3,4,,"II1Ext")))</f>
        <v/>
      </c>
      <c r="Q10" s="31" t="str">
        <f ca="1">INDIRECT(IF(ADDRESS($A9+3,3,4,,"II2Ext")="","",ADDRESS($A9+3,3,4,,"II2Ext")))</f>
        <v/>
      </c>
      <c r="R10" s="31" t="str">
        <f ca="1">INDIRECT(IF(ADDRESS($A9+3,3,4,,"II3Ext")="","",ADDRESS($A9+3,3,4,,"II3Ext")))</f>
        <v/>
      </c>
      <c r="S10" s="31" t="str">
        <f ca="1">INDIRECT(IF(ADDRESS($A9+3,3,4,,"II4Ext")="","",ADDRESS($A9+3,3,4,,"II4Ext")))</f>
        <v/>
      </c>
      <c r="T10" s="22"/>
      <c r="U10" s="23"/>
      <c r="V10" s="24"/>
      <c r="W10" s="25"/>
      <c r="X10" s="276"/>
      <c r="Y10" s="303" t="str">
        <f ca="1">IF(COUNT(P9:R9)=0,"",ROUND(NB!M9,2))</f>
        <v/>
      </c>
      <c r="Z10" s="304" t="str">
        <f ca="1">IF(COUNT(P10:X10)=0,"",ROUND(NB!Q9,2))</f>
        <v/>
      </c>
      <c r="AA10" s="207" t="str">
        <f ca="1">IF(OR(COUNT(P9:S9)*COUNT(P10:X10)&gt;0,AND($C$1="KA / mdl.",COUNT(P10:X10)&gt;0)),ROUNDUP(NB!R9,2),"")</f>
        <v/>
      </c>
      <c r="AB10" s="2" t="str">
        <f>IF(AND(L10&lt;&gt;"",X10&lt;&gt;""),"2 Referate ?","")</f>
        <v/>
      </c>
      <c r="AC10" s="169"/>
      <c r="AD10" s="169"/>
      <c r="AE10" s="169"/>
      <c r="AF10" s="169"/>
      <c r="AG10" s="169"/>
      <c r="AH10" s="169"/>
      <c r="AI10" s="167"/>
      <c r="AL10" s="11">
        <v>6</v>
      </c>
    </row>
    <row r="11" spans="1:38" ht="12" customHeight="1" x14ac:dyDescent="0.2">
      <c r="A11" s="434">
        <f>A9+1</f>
        <v>4</v>
      </c>
      <c r="B11" s="174"/>
      <c r="C11" s="208" t="s">
        <v>102</v>
      </c>
      <c r="D11" s="277" t="str">
        <f ca="1">INDIRECT(IF(ADDRESS($A11+3,3,4,,"I1SA")="","",ADDRESS($A11+3,3,4,,"I1SA")))</f>
        <v/>
      </c>
      <c r="E11" s="278" t="str">
        <f ca="1">INDIRECT(IF(ADDRESS($A11+3,3,4,,"I2SA")="","",ADDRESS($A11+3,3,4,,"I2SA")))</f>
        <v/>
      </c>
      <c r="F11" s="278" t="str">
        <f ca="1">INDIRECT(IF(ADDRESS($A11+3,3,4,,"I3SA")="","",ADDRESS($A11+3,3,4,,"I3SA")))</f>
        <v/>
      </c>
      <c r="G11" s="279"/>
      <c r="H11" s="280"/>
      <c r="I11" s="281"/>
      <c r="J11" s="282"/>
      <c r="K11" s="280"/>
      <c r="L11" s="283"/>
      <c r="M11" s="102"/>
      <c r="N11" s="103" t="str">
        <f ca="1">IF(N12="","","")</f>
        <v/>
      </c>
      <c r="O11" s="287" t="str">
        <f ca="1">IF(OR(COUNT(D11:G11)*COUNT(D12:K12)&gt;0,AND($C$1="KA / mdl.",COUNT(D12:L12)&gt;0)),IF(O12&lt;1,0,ROUND(O12,0)),"")</f>
        <v/>
      </c>
      <c r="P11" s="285" t="str">
        <f ca="1">INDIRECT(IF(ADDRESS($A11+3,3,4,,"II1SA")="","",ADDRESS($A11+3,3,4,,"II1SA")))</f>
        <v/>
      </c>
      <c r="Q11" s="278" t="str">
        <f ca="1">INDIRECT(IF(ADDRESS($A11+3,3,4,,"II2SA")="","",ADDRESS($A11+3,3,4,,"II2SA")))</f>
        <v/>
      </c>
      <c r="R11" s="278" t="str">
        <f ca="1">INDIRECT(IF(ADDRESS($A11+3,3,4,,"II3SA")="","",ADDRESS($A11+3,3,4,,"II3SA")))</f>
        <v/>
      </c>
      <c r="S11" s="279"/>
      <c r="T11" s="278"/>
      <c r="U11" s="278"/>
      <c r="V11" s="278"/>
      <c r="W11" s="280"/>
      <c r="X11" s="283"/>
      <c r="Y11" s="413"/>
      <c r="Z11" s="414"/>
      <c r="AA11" s="27" t="str">
        <f ca="1">IF(OR(COUNT(P11:S11)*COUNT(P12:X12)&gt;0,AND($C$1="KA / mdl.",COUNT(P12:X12)&gt;0)),IF(AA12&lt;1,0,ROUND(AA12,0)),"")</f>
        <v/>
      </c>
      <c r="AB11" s="169"/>
      <c r="AC11" s="169"/>
      <c r="AD11" s="169"/>
      <c r="AE11" s="169"/>
      <c r="AF11" s="169"/>
      <c r="AG11" s="169"/>
      <c r="AH11" s="169"/>
      <c r="AI11" s="167"/>
      <c r="AL11" s="11">
        <v>5</v>
      </c>
    </row>
    <row r="12" spans="1:38" ht="12" customHeight="1" x14ac:dyDescent="0.2">
      <c r="A12" s="435"/>
      <c r="B12" s="175"/>
      <c r="C12" s="209" t="s">
        <v>103</v>
      </c>
      <c r="D12" s="31" t="str">
        <f ca="1">INDIRECT(IF(ADDRESS($A11+3,3,4,,"I1Ext")="","",ADDRESS($A11+3,3,4,,"I1Ext")))</f>
        <v/>
      </c>
      <c r="E12" s="31" t="str">
        <f ca="1">INDIRECT(IF(ADDRESS($A11+3,3,4,,"I2Ext")="","",ADDRESS($A11+3,3,4,,"I2Ext")))</f>
        <v/>
      </c>
      <c r="F12" s="31" t="str">
        <f ca="1">INDIRECT(IF(ADDRESS($A11+3,3,4,,"I3Ext")="","",ADDRESS($A11+3,3,4,,"I3Ext")))</f>
        <v/>
      </c>
      <c r="G12" s="31" t="str">
        <f ca="1">INDIRECT(IF(ADDRESS($A11+3,3,4,,"I4Ext")="","",ADDRESS($A11+3,3,4,,"I4Ext")))</f>
        <v/>
      </c>
      <c r="H12" s="22"/>
      <c r="I12" s="23"/>
      <c r="J12" s="24"/>
      <c r="K12" s="25"/>
      <c r="L12" s="25"/>
      <c r="M12" s="305" t="str">
        <f ca="1">IF(COUNT(D11:F11)=0,"",ROUND(NB!E11,2))</f>
        <v/>
      </c>
      <c r="N12" s="306" t="str">
        <f ca="1">IF(COUNT(D12:K12)=0,"",ROUND(NB!I11,2))</f>
        <v/>
      </c>
      <c r="O12" s="288" t="str">
        <f ca="1">IF(OR(COUNT(D11:G11)*COUNT(D12:K12)&gt;0,AND($C$1="KA / mdl.",COUNT(D12:L12)&gt;0)),ROUNDUP(NB!J11,2),"")</f>
        <v/>
      </c>
      <c r="P12" s="286" t="str">
        <f ca="1">INDIRECT(IF(ADDRESS($A11+3,3,4,,"II1Ext")="","",ADDRESS($A11+3,3,4,,"II1Ext")))</f>
        <v/>
      </c>
      <c r="Q12" s="31" t="str">
        <f ca="1">INDIRECT(IF(ADDRESS($A11+3,3,4,,"II2Ext")="","",ADDRESS($A11+3,3,4,,"II2Ext")))</f>
        <v/>
      </c>
      <c r="R12" s="31" t="str">
        <f ca="1">INDIRECT(IF(ADDRESS($A11+3,3,4,,"II3Ext")="","",ADDRESS($A11+3,3,4,,"II3Ext")))</f>
        <v/>
      </c>
      <c r="S12" s="31" t="str">
        <f ca="1">INDIRECT(IF(ADDRESS($A11+3,3,4,,"II4Ext")="","",ADDRESS($A11+3,3,4,,"II4Ext")))</f>
        <v/>
      </c>
      <c r="T12" s="22"/>
      <c r="U12" s="23"/>
      <c r="V12" s="24"/>
      <c r="W12" s="25"/>
      <c r="X12" s="276"/>
      <c r="Y12" s="303" t="str">
        <f ca="1">IF(COUNT(P11:R11)=0,"",ROUND(NB!M11,2))</f>
        <v/>
      </c>
      <c r="Z12" s="304" t="str">
        <f ca="1">IF(COUNT(P12:X12)=0,"",ROUND(NB!Q11,2))</f>
        <v/>
      </c>
      <c r="AA12" s="207" t="str">
        <f ca="1">IF(OR(COUNT(P11:S11)*COUNT(P12:X12)&gt;0,AND($C$1="KA / mdl.",COUNT(P12:X12)&gt;0)),ROUNDUP(NB!R11,2),"")</f>
        <v/>
      </c>
      <c r="AB12" s="2" t="str">
        <f t="shared" ref="AB12:AB74" si="0">IF(AND(L12&lt;&gt;"",X12&lt;&gt;""),"2 Referate ?","")</f>
        <v/>
      </c>
      <c r="AC12" s="169"/>
      <c r="AD12" s="169"/>
      <c r="AE12" s="169"/>
      <c r="AF12" s="169"/>
      <c r="AG12" s="169"/>
      <c r="AH12" s="169"/>
      <c r="AI12" s="167"/>
      <c r="AK12" s="11">
        <v>3</v>
      </c>
      <c r="AL12" s="11">
        <v>4</v>
      </c>
    </row>
    <row r="13" spans="1:38" ht="12" customHeight="1" x14ac:dyDescent="0.2">
      <c r="A13" s="434">
        <f>A11+1</f>
        <v>5</v>
      </c>
      <c r="B13" s="174"/>
      <c r="C13" s="208" t="s">
        <v>102</v>
      </c>
      <c r="D13" s="277" t="str">
        <f ca="1">INDIRECT(IF(ADDRESS($A13+3,3,4,,"I1SA")="","",ADDRESS($A13+3,3,4,,"I1SA")))</f>
        <v/>
      </c>
      <c r="E13" s="278" t="str">
        <f ca="1">INDIRECT(IF(ADDRESS($A13+3,3,4,,"I2SA")="","",ADDRESS($A13+3,3,4,,"I2SA")))</f>
        <v/>
      </c>
      <c r="F13" s="278" t="str">
        <f ca="1">INDIRECT(IF(ADDRESS($A13+3,3,4,,"I3SA")="","",ADDRESS($A13+3,3,4,,"I3SA")))</f>
        <v/>
      </c>
      <c r="G13" s="279"/>
      <c r="H13" s="280"/>
      <c r="I13" s="281"/>
      <c r="J13" s="282"/>
      <c r="K13" s="280"/>
      <c r="L13" s="283"/>
      <c r="M13" s="102"/>
      <c r="N13" s="103" t="str">
        <f ca="1">IF(N14="","","")</f>
        <v/>
      </c>
      <c r="O13" s="287" t="str">
        <f ca="1">IF(OR(COUNT(D13:G13)*COUNT(D14:K14)&gt;0,AND($C$1="KA / mdl.",COUNT(D14:L14)&gt;0)),IF(O14&lt;1,0,ROUND(O14,0)),"")</f>
        <v/>
      </c>
      <c r="P13" s="285" t="str">
        <f ca="1">INDIRECT(IF(ADDRESS($A13+3,3,4,,"II1SA")="","",ADDRESS($A13+3,3,4,,"II1SA")))</f>
        <v/>
      </c>
      <c r="Q13" s="278" t="str">
        <f ca="1">INDIRECT(IF(ADDRESS($A13+3,3,4,,"II2SA")="","",ADDRESS($A13+3,3,4,,"II2SA")))</f>
        <v/>
      </c>
      <c r="R13" s="278" t="str">
        <f ca="1">INDIRECT(IF(ADDRESS($A13+3,3,4,,"II3SA")="","",ADDRESS($A13+3,3,4,,"II3SA")))</f>
        <v/>
      </c>
      <c r="S13" s="279"/>
      <c r="T13" s="278"/>
      <c r="U13" s="278"/>
      <c r="V13" s="278"/>
      <c r="W13" s="280"/>
      <c r="X13" s="283"/>
      <c r="Y13" s="413"/>
      <c r="Z13" s="414"/>
      <c r="AA13" s="27" t="str">
        <f ca="1">IF(OR(COUNT(P13:S13)*COUNT(P14:X14)&gt;0,AND($C$1="KA / mdl.",COUNT(P14:X14)&gt;0)),IF(AA14&lt;1,0,ROUND(AA14,0)),"")</f>
        <v/>
      </c>
      <c r="AB13" s="169"/>
      <c r="AC13" s="169"/>
      <c r="AD13" s="169"/>
      <c r="AE13" s="169"/>
      <c r="AF13" s="169"/>
      <c r="AG13" s="169"/>
      <c r="AH13" s="169"/>
      <c r="AI13" s="167"/>
      <c r="AK13" s="11" t="s">
        <v>7</v>
      </c>
      <c r="AL13" s="11">
        <v>3</v>
      </c>
    </row>
    <row r="14" spans="1:38" ht="12" customHeight="1" x14ac:dyDescent="0.2">
      <c r="A14" s="435"/>
      <c r="B14" s="175"/>
      <c r="C14" s="209" t="s">
        <v>103</v>
      </c>
      <c r="D14" s="31" t="str">
        <f ca="1">INDIRECT(IF(ADDRESS($A13+3,3,4,,"I1Ext")="","",ADDRESS($A13+3,3,4,,"I1Ext")))</f>
        <v/>
      </c>
      <c r="E14" s="31" t="str">
        <f ca="1">INDIRECT(IF(ADDRESS($A13+3,3,4,,"I2Ext")="","",ADDRESS($A13+3,3,4,,"I2Ext")))</f>
        <v/>
      </c>
      <c r="F14" s="31" t="str">
        <f ca="1">INDIRECT(IF(ADDRESS($A13+3,3,4,,"I3Ext")="","",ADDRESS($A13+3,3,4,,"I3Ext")))</f>
        <v/>
      </c>
      <c r="G14" s="31" t="str">
        <f ca="1">INDIRECT(IF(ADDRESS($A13+3,3,4,,"I4Ext")="","",ADDRESS($A13+3,3,4,,"I4Ext")))</f>
        <v/>
      </c>
      <c r="H14" s="22"/>
      <c r="I14" s="23"/>
      <c r="J14" s="24"/>
      <c r="K14" s="25"/>
      <c r="L14" s="25"/>
      <c r="M14" s="305" t="str">
        <f ca="1">IF(COUNT(D13:F13)=0,"",ROUND(NB!E13,2))</f>
        <v/>
      </c>
      <c r="N14" s="306" t="str">
        <f ca="1">IF(COUNT(D14:K14)=0,"",ROUND(NB!I13,2))</f>
        <v/>
      </c>
      <c r="O14" s="288" t="str">
        <f ca="1">IF(OR(COUNT(D13:G13)*COUNT(D14:K14)&gt;0,AND($C$1="KA / mdl.",COUNT(D14:L14)&gt;0)),ROUNDUP(NB!J13,2),"")</f>
        <v/>
      </c>
      <c r="P14" s="286" t="str">
        <f ca="1">INDIRECT(IF(ADDRESS($A13+3,3,4,,"II1Ext")="","",ADDRESS($A13+3,3,4,,"II1Ext")))</f>
        <v/>
      </c>
      <c r="Q14" s="31" t="str">
        <f ca="1">INDIRECT(IF(ADDRESS($A13+3,3,4,,"II2Ext")="","",ADDRESS($A13+3,3,4,,"II2Ext")))</f>
        <v/>
      </c>
      <c r="R14" s="31" t="str">
        <f ca="1">INDIRECT(IF(ADDRESS($A13+3,3,4,,"II3Ext")="","",ADDRESS($A13+3,3,4,,"II3Ext")))</f>
        <v/>
      </c>
      <c r="S14" s="31" t="str">
        <f ca="1">INDIRECT(IF(ADDRESS($A13+3,3,4,,"II4Ext")="","",ADDRESS($A13+3,3,4,,"II4Ext")))</f>
        <v/>
      </c>
      <c r="T14" s="22"/>
      <c r="U14" s="23"/>
      <c r="V14" s="24"/>
      <c r="W14" s="25"/>
      <c r="X14" s="276"/>
      <c r="Y14" s="303" t="str">
        <f ca="1">IF(COUNT(P13:R13)=0,"",ROUND(NB!M13,2))</f>
        <v/>
      </c>
      <c r="Z14" s="304" t="str">
        <f ca="1">IF(COUNT(P14:X14)=0,"",ROUND(NB!Q13,2))</f>
        <v/>
      </c>
      <c r="AA14" s="207" t="str">
        <f ca="1">IF(OR(COUNT(P13:S13)*COUNT(P14:X14)&gt;0,AND($C$1="KA / mdl.",COUNT(P14:X14)&gt;0)),ROUNDUP(NB!R13,2),"")</f>
        <v/>
      </c>
      <c r="AB14" s="2" t="str">
        <f t="shared" si="0"/>
        <v/>
      </c>
      <c r="AC14" s="169"/>
      <c r="AD14" s="169"/>
      <c r="AE14" s="169"/>
      <c r="AF14" s="169"/>
      <c r="AG14" s="169"/>
      <c r="AH14" s="169"/>
      <c r="AI14" s="167"/>
      <c r="AK14" s="11" t="s">
        <v>8</v>
      </c>
      <c r="AL14" s="11">
        <v>2</v>
      </c>
    </row>
    <row r="15" spans="1:38" ht="12" customHeight="1" x14ac:dyDescent="0.2">
      <c r="A15" s="434">
        <f>A13+1</f>
        <v>6</v>
      </c>
      <c r="B15" s="174"/>
      <c r="C15" s="208" t="s">
        <v>102</v>
      </c>
      <c r="D15" s="277" t="str">
        <f ca="1">INDIRECT(IF(ADDRESS($A15+3,3,4,,"I1SA")="","",ADDRESS($A15+3,3,4,,"I1SA")))</f>
        <v/>
      </c>
      <c r="E15" s="278" t="str">
        <f ca="1">INDIRECT(IF(ADDRESS($A15+3,3,4,,"I2SA")="","",ADDRESS($A15+3,3,4,,"I2SA")))</f>
        <v/>
      </c>
      <c r="F15" s="278" t="str">
        <f ca="1">INDIRECT(IF(ADDRESS($A15+3,3,4,,"I3SA")="","",ADDRESS($A15+3,3,4,,"I3SA")))</f>
        <v/>
      </c>
      <c r="G15" s="279"/>
      <c r="H15" s="280"/>
      <c r="I15" s="281"/>
      <c r="J15" s="282"/>
      <c r="K15" s="280"/>
      <c r="L15" s="283"/>
      <c r="M15" s="102"/>
      <c r="N15" s="103" t="str">
        <f ca="1">IF(N16="","","")</f>
        <v/>
      </c>
      <c r="O15" s="287" t="str">
        <f ca="1">IF(OR(COUNT(D15:G15)*COUNT(D16:K16)&gt;0,AND($C$1="KA / mdl.",COUNT(D16:L16)&gt;0)),IF(O16&lt;1,0,ROUND(O16,0)),"")</f>
        <v/>
      </c>
      <c r="P15" s="285" t="str">
        <f ca="1">INDIRECT(IF(ADDRESS($A15+3,3,4,,"II1SA")="","",ADDRESS($A15+3,3,4,,"II1SA")))</f>
        <v/>
      </c>
      <c r="Q15" s="278" t="str">
        <f ca="1">INDIRECT(IF(ADDRESS($A15+3,3,4,,"II2SA")="","",ADDRESS($A15+3,3,4,,"II2SA")))</f>
        <v/>
      </c>
      <c r="R15" s="278" t="str">
        <f ca="1">INDIRECT(IF(ADDRESS($A15+3,3,4,,"II3SA")="","",ADDRESS($A15+3,3,4,,"II3SA")))</f>
        <v/>
      </c>
      <c r="S15" s="279"/>
      <c r="T15" s="278"/>
      <c r="U15" s="278"/>
      <c r="V15" s="278"/>
      <c r="W15" s="280"/>
      <c r="X15" s="283"/>
      <c r="Y15" s="413"/>
      <c r="Z15" s="414"/>
      <c r="AA15" s="27" t="str">
        <f ca="1">IF(OR(COUNT(P15:S15)*COUNT(P16:X16)&gt;0,AND($C$1="KA / mdl.",COUNT(P16:X16)&gt;0)),IF(AA16&lt;1,0,ROUND(AA16,0)),"")</f>
        <v/>
      </c>
      <c r="AB15" s="169"/>
      <c r="AC15" s="169"/>
      <c r="AD15" s="169"/>
      <c r="AE15" s="169"/>
      <c r="AF15" s="169"/>
      <c r="AG15" s="169"/>
      <c r="AH15" s="169"/>
      <c r="AI15" s="167"/>
      <c r="AK15" s="11">
        <v>4</v>
      </c>
      <c r="AL15" s="11">
        <v>1</v>
      </c>
    </row>
    <row r="16" spans="1:38" ht="12" customHeight="1" x14ac:dyDescent="0.2">
      <c r="A16" s="435"/>
      <c r="B16" s="175"/>
      <c r="C16" s="209" t="s">
        <v>103</v>
      </c>
      <c r="D16" s="31" t="str">
        <f ca="1">INDIRECT(IF(ADDRESS($A15+3,3,4,,"I1Ext")="","",ADDRESS($A15+3,3,4,,"I1Ext")))</f>
        <v/>
      </c>
      <c r="E16" s="31" t="str">
        <f ca="1">INDIRECT(IF(ADDRESS($A15+3,3,4,,"I2Ext")="","",ADDRESS($A15+3,3,4,,"I2Ext")))</f>
        <v/>
      </c>
      <c r="F16" s="31" t="str">
        <f ca="1">INDIRECT(IF(ADDRESS($A15+3,3,4,,"I3Ext")="","",ADDRESS($A15+3,3,4,,"I3Ext")))</f>
        <v/>
      </c>
      <c r="G16" s="31" t="str">
        <f ca="1">INDIRECT(IF(ADDRESS($A15+3,3,4,,"I4Ext")="","",ADDRESS($A15+3,3,4,,"I4Ext")))</f>
        <v/>
      </c>
      <c r="H16" s="22"/>
      <c r="I16" s="23"/>
      <c r="J16" s="24"/>
      <c r="K16" s="25"/>
      <c r="L16" s="25"/>
      <c r="M16" s="305" t="str">
        <f ca="1">IF(COUNT(D15:F15)=0,"",ROUND(NB!E15,2))</f>
        <v/>
      </c>
      <c r="N16" s="306" t="str">
        <f ca="1">IF(COUNT(D16:K16)=0,"",ROUND(NB!I15,2))</f>
        <v/>
      </c>
      <c r="O16" s="288" t="str">
        <f ca="1">IF(OR(COUNT(D15:G15)*COUNT(D16:K16)&gt;0,AND($C$1="KA / mdl.",COUNT(D16:L16)&gt;0)),ROUNDUP(NB!J15,2),"")</f>
        <v/>
      </c>
      <c r="P16" s="286" t="str">
        <f ca="1">INDIRECT(IF(ADDRESS($A15+3,3,4,,"II1Ext")="","",ADDRESS($A15+3,3,4,,"II1Ext")))</f>
        <v/>
      </c>
      <c r="Q16" s="31" t="str">
        <f ca="1">INDIRECT(IF(ADDRESS($A15+3,3,4,,"II2Ext")="","",ADDRESS($A15+3,3,4,,"II2Ext")))</f>
        <v/>
      </c>
      <c r="R16" s="31" t="str">
        <f ca="1">INDIRECT(IF(ADDRESS($A15+3,3,4,,"II3Ext")="","",ADDRESS($A15+3,3,4,,"II3Ext")))</f>
        <v/>
      </c>
      <c r="S16" s="31" t="str">
        <f ca="1">INDIRECT(IF(ADDRESS($A15+3,3,4,,"II4Ext")="","",ADDRESS($A15+3,3,4,,"II4Ext")))</f>
        <v/>
      </c>
      <c r="T16" s="22"/>
      <c r="U16" s="23"/>
      <c r="V16" s="24"/>
      <c r="W16" s="25"/>
      <c r="X16" s="276"/>
      <c r="Y16" s="303" t="str">
        <f ca="1">IF(COUNT(P15:R15)=0,"",ROUND(NB!M15,2))</f>
        <v/>
      </c>
      <c r="Z16" s="304" t="str">
        <f ca="1">IF(COUNT(P16:X16)=0,"",ROUND(NB!Q15,2))</f>
        <v/>
      </c>
      <c r="AA16" s="207" t="str">
        <f ca="1">IF(OR(COUNT(P15:S15)*COUNT(P16:X16)&gt;0,AND($C$1="KA / mdl.",COUNT(P16:X16)&gt;0)),ROUNDUP(NB!R15,2),"")</f>
        <v/>
      </c>
      <c r="AB16" s="2" t="str">
        <f t="shared" si="0"/>
        <v/>
      </c>
      <c r="AC16" s="169"/>
      <c r="AD16" s="170"/>
      <c r="AE16" s="170"/>
      <c r="AF16" s="170"/>
      <c r="AG16" s="170"/>
      <c r="AH16" s="170"/>
      <c r="AI16" s="167"/>
      <c r="AK16" s="11" t="s">
        <v>10</v>
      </c>
      <c r="AL16" s="11">
        <v>0</v>
      </c>
    </row>
    <row r="17" spans="1:38" ht="12" customHeight="1" x14ac:dyDescent="0.2">
      <c r="A17" s="434">
        <f>A15+1</f>
        <v>7</v>
      </c>
      <c r="B17" s="174"/>
      <c r="C17" s="208" t="s">
        <v>102</v>
      </c>
      <c r="D17" s="277" t="str">
        <f ca="1">INDIRECT(IF(ADDRESS($A17+3,3,4,,"I1SA")="","",ADDRESS($A17+3,3,4,,"I1SA")))</f>
        <v/>
      </c>
      <c r="E17" s="278" t="str">
        <f ca="1">INDIRECT(IF(ADDRESS($A17+3,3,4,,"I2SA")="","",ADDRESS($A17+3,3,4,,"I2SA")))</f>
        <v/>
      </c>
      <c r="F17" s="278" t="str">
        <f ca="1">INDIRECT(IF(ADDRESS($A17+3,3,4,,"I3SA")="","",ADDRESS($A17+3,3,4,,"I3SA")))</f>
        <v/>
      </c>
      <c r="G17" s="279"/>
      <c r="H17" s="280"/>
      <c r="I17" s="281"/>
      <c r="J17" s="282"/>
      <c r="K17" s="280"/>
      <c r="L17" s="283"/>
      <c r="M17" s="102"/>
      <c r="N17" s="103" t="str">
        <f ca="1">IF(N18="","","")</f>
        <v/>
      </c>
      <c r="O17" s="287" t="str">
        <f ca="1">IF(OR(COUNT(D17:G17)*COUNT(D18:K18)&gt;0,AND($C$1="KA / mdl.",COUNT(D18:L18)&gt;0)),IF(O18&lt;1,0,ROUND(O18,0)),"")</f>
        <v/>
      </c>
      <c r="P17" s="285" t="str">
        <f ca="1">INDIRECT(IF(ADDRESS($A17+3,3,4,,"II1SA")="","",ADDRESS($A17+3,3,4,,"II1SA")))</f>
        <v/>
      </c>
      <c r="Q17" s="278" t="str">
        <f ca="1">INDIRECT(IF(ADDRESS($A17+3,3,4,,"II2SA")="","",ADDRESS($A17+3,3,4,,"II2SA")))</f>
        <v/>
      </c>
      <c r="R17" s="278" t="str">
        <f ca="1">INDIRECT(IF(ADDRESS($A17+3,3,4,,"II3SA")="","",ADDRESS($A17+3,3,4,,"II3SA")))</f>
        <v/>
      </c>
      <c r="S17" s="279"/>
      <c r="T17" s="278"/>
      <c r="U17" s="278"/>
      <c r="V17" s="278"/>
      <c r="W17" s="280"/>
      <c r="X17" s="283"/>
      <c r="Y17" s="413"/>
      <c r="Z17" s="414"/>
      <c r="AA17" s="27" t="str">
        <f ca="1">IF(OR(COUNT(P17:S17)*COUNT(P18:X18)&gt;0,AND($C$1="KA / mdl.",COUNT(P18:X18)&gt;0)),IF(AA18&lt;1,0,ROUND(AA18,0)),"")</f>
        <v/>
      </c>
      <c r="AB17" s="169"/>
      <c r="AC17" s="169"/>
      <c r="AD17" s="171"/>
      <c r="AE17" s="171"/>
      <c r="AF17" s="171"/>
      <c r="AG17" s="171"/>
      <c r="AH17" s="171"/>
      <c r="AI17" s="167"/>
      <c r="AK17" s="11" t="s">
        <v>6</v>
      </c>
      <c r="AL17" s="11"/>
    </row>
    <row r="18" spans="1:38" ht="12" customHeight="1" x14ac:dyDescent="0.2">
      <c r="A18" s="435"/>
      <c r="B18" s="175"/>
      <c r="C18" s="209" t="s">
        <v>103</v>
      </c>
      <c r="D18" s="31" t="str">
        <f ca="1">INDIRECT(IF(ADDRESS($A17+3,3,4,,"I1Ext")="","",ADDRESS($A17+3,3,4,,"I1Ext")))</f>
        <v/>
      </c>
      <c r="E18" s="31" t="str">
        <f ca="1">INDIRECT(IF(ADDRESS($A17+3,3,4,,"I2Ext")="","",ADDRESS($A17+3,3,4,,"I2Ext")))</f>
        <v/>
      </c>
      <c r="F18" s="31" t="str">
        <f ca="1">INDIRECT(IF(ADDRESS($A17+3,3,4,,"I3Ext")="","",ADDRESS($A17+3,3,4,,"I3Ext")))</f>
        <v/>
      </c>
      <c r="G18" s="31" t="str">
        <f ca="1">INDIRECT(IF(ADDRESS($A17+3,3,4,,"I4Ext")="","",ADDRESS($A17+3,3,4,,"I4Ext")))</f>
        <v/>
      </c>
      <c r="H18" s="22"/>
      <c r="I18" s="23"/>
      <c r="J18" s="24"/>
      <c r="K18" s="25"/>
      <c r="L18" s="25"/>
      <c r="M18" s="305" t="str">
        <f ca="1">IF(COUNT(D17:F17)=0,"",ROUND(NB!E17,2))</f>
        <v/>
      </c>
      <c r="N18" s="306" t="str">
        <f ca="1">IF(COUNT(D18:K18)=0,"",ROUND(NB!I17,2))</f>
        <v/>
      </c>
      <c r="O18" s="288" t="str">
        <f ca="1">IF(OR(COUNT(D17:G17)*COUNT(D18:K18)&gt;0,AND($C$1="KA / mdl.",COUNT(D18:L18)&gt;0)),ROUNDUP(NB!J17,2),"")</f>
        <v/>
      </c>
      <c r="P18" s="286" t="str">
        <f ca="1">INDIRECT(IF(ADDRESS($A17+3,3,4,,"II1Ext")="","",ADDRESS($A17+3,3,4,,"II1Ext")))</f>
        <v/>
      </c>
      <c r="Q18" s="31" t="str">
        <f ca="1">INDIRECT(IF(ADDRESS($A17+3,3,4,,"II2Ext")="","",ADDRESS($A17+3,3,4,,"II2Ext")))</f>
        <v/>
      </c>
      <c r="R18" s="31" t="str">
        <f ca="1">INDIRECT(IF(ADDRESS($A17+3,3,4,,"II3Ext")="","",ADDRESS($A17+3,3,4,,"II3Ext")))</f>
        <v/>
      </c>
      <c r="S18" s="31" t="str">
        <f ca="1">INDIRECT(IF(ADDRESS($A17+3,3,4,,"II4Ext")="","",ADDRESS($A17+3,3,4,,"II4Ext")))</f>
        <v/>
      </c>
      <c r="T18" s="22"/>
      <c r="U18" s="23"/>
      <c r="V18" s="24"/>
      <c r="W18" s="25"/>
      <c r="X18" s="276"/>
      <c r="Y18" s="303" t="str">
        <f ca="1">IF(COUNT(P17:R17)=0,"",ROUND(NB!M17,2))</f>
        <v/>
      </c>
      <c r="Z18" s="304" t="str">
        <f ca="1">IF(COUNT(P18:X18)=0,"",ROUND(NB!Q17,2))</f>
        <v/>
      </c>
      <c r="AA18" s="207" t="str">
        <f ca="1">IF(OR(COUNT(P17:S17)*COUNT(P18:X18)&gt;0,AND($C$1="KA / mdl.",COUNT(P18:X18)&gt;0)),ROUNDUP(NB!R17,2),"")</f>
        <v/>
      </c>
      <c r="AB18" s="2" t="str">
        <f t="shared" si="0"/>
        <v/>
      </c>
      <c r="AC18" s="169"/>
      <c r="AD18" s="171"/>
      <c r="AE18" s="171"/>
      <c r="AF18" s="171"/>
      <c r="AG18" s="171"/>
      <c r="AH18" s="171"/>
      <c r="AI18" s="167"/>
      <c r="AK18" s="11">
        <v>5</v>
      </c>
      <c r="AL18" s="11"/>
    </row>
    <row r="19" spans="1:38" ht="12" customHeight="1" x14ac:dyDescent="0.2">
      <c r="A19" s="434">
        <f>A17+1</f>
        <v>8</v>
      </c>
      <c r="B19" s="174"/>
      <c r="C19" s="208" t="s">
        <v>102</v>
      </c>
      <c r="D19" s="277" t="str">
        <f ca="1">INDIRECT(IF(ADDRESS($A19+3,3,4,,"I1SA")="","",ADDRESS($A19+3,3,4,,"I1SA")))</f>
        <v/>
      </c>
      <c r="E19" s="278" t="str">
        <f ca="1">INDIRECT(IF(ADDRESS($A19+3,3,4,,"I2SA")="","",ADDRESS($A19+3,3,4,,"I2SA")))</f>
        <v/>
      </c>
      <c r="F19" s="278" t="str">
        <f ca="1">INDIRECT(IF(ADDRESS($A19+3,3,4,,"I3SA")="","",ADDRESS($A19+3,3,4,,"I3SA")))</f>
        <v/>
      </c>
      <c r="G19" s="279"/>
      <c r="H19" s="280"/>
      <c r="I19" s="281"/>
      <c r="J19" s="282"/>
      <c r="K19" s="280"/>
      <c r="L19" s="283"/>
      <c r="M19" s="102"/>
      <c r="N19" s="103" t="str">
        <f ca="1">IF(N20="","","")</f>
        <v/>
      </c>
      <c r="O19" s="287" t="str">
        <f ca="1">IF(OR(COUNT(D19:G19)*COUNT(D20:K20)&gt;0,AND($C$1="KA / mdl.",COUNT(D20:L20)&gt;0)),IF(O20&lt;1,0,ROUND(O20,0)),"")</f>
        <v/>
      </c>
      <c r="P19" s="285" t="str">
        <f ca="1">INDIRECT(IF(ADDRESS($A19+3,3,4,,"II1SA")="","",ADDRESS($A19+3,3,4,,"II1SA")))</f>
        <v/>
      </c>
      <c r="Q19" s="278" t="str">
        <f ca="1">INDIRECT(IF(ADDRESS($A19+3,3,4,,"II2SA")="","",ADDRESS($A19+3,3,4,,"II2SA")))</f>
        <v/>
      </c>
      <c r="R19" s="278" t="str">
        <f ca="1">INDIRECT(IF(ADDRESS($A19+3,3,4,,"II3SA")="","",ADDRESS($A19+3,3,4,,"II3SA")))</f>
        <v/>
      </c>
      <c r="S19" s="279"/>
      <c r="T19" s="278"/>
      <c r="U19" s="278"/>
      <c r="V19" s="278"/>
      <c r="W19" s="280"/>
      <c r="X19" s="283"/>
      <c r="Y19" s="413"/>
      <c r="Z19" s="414"/>
      <c r="AA19" s="27" t="str">
        <f ca="1">IF(OR(COUNT(P19:S19)*COUNT(P20:X20)&gt;0,AND($C$1="KA / mdl.",COUNT(P20:X20)&gt;0)),IF(AA20&lt;1,0,ROUND(AA20,0)),"")</f>
        <v/>
      </c>
      <c r="AB19" s="169"/>
      <c r="AC19" s="169"/>
      <c r="AD19" s="171"/>
      <c r="AE19" s="171"/>
      <c r="AF19" s="171"/>
      <c r="AG19" s="171"/>
      <c r="AH19" s="171"/>
      <c r="AI19" s="167"/>
      <c r="AK19" s="11" t="s">
        <v>11</v>
      </c>
      <c r="AL19" s="11"/>
    </row>
    <row r="20" spans="1:38" ht="12" customHeight="1" x14ac:dyDescent="0.2">
      <c r="A20" s="435"/>
      <c r="B20" s="175"/>
      <c r="C20" s="209" t="s">
        <v>103</v>
      </c>
      <c r="D20" s="31" t="str">
        <f ca="1">INDIRECT(IF(ADDRESS($A19+3,3,4,,"I1Ext")="","",ADDRESS($A19+3,3,4,,"I1Ext")))</f>
        <v/>
      </c>
      <c r="E20" s="31" t="str">
        <f ca="1">INDIRECT(IF(ADDRESS($A19+3,3,4,,"I2Ext")="","",ADDRESS($A19+3,3,4,,"I2Ext")))</f>
        <v/>
      </c>
      <c r="F20" s="31" t="str">
        <f ca="1">INDIRECT(IF(ADDRESS($A19+3,3,4,,"I3Ext")="","",ADDRESS($A19+3,3,4,,"I3Ext")))</f>
        <v/>
      </c>
      <c r="G20" s="31" t="str">
        <f ca="1">INDIRECT(IF(ADDRESS($A19+3,3,4,,"I4Ext")="","",ADDRESS($A19+3,3,4,,"I4Ext")))</f>
        <v/>
      </c>
      <c r="H20" s="22"/>
      <c r="I20" s="23"/>
      <c r="J20" s="24"/>
      <c r="K20" s="25"/>
      <c r="L20" s="25"/>
      <c r="M20" s="305" t="str">
        <f ca="1">IF(COUNT(D19:F19)=0,"",ROUND(NB!E19,2))</f>
        <v/>
      </c>
      <c r="N20" s="306" t="str">
        <f ca="1">IF(COUNT(D20:K20)=0,"",ROUND(NB!I19,2))</f>
        <v/>
      </c>
      <c r="O20" s="288" t="str">
        <f ca="1">IF(OR(COUNT(D19:G19)*COUNT(D20:K20)&gt;0,AND($C$1="KA / mdl.",COUNT(D20:L20)&gt;0)),ROUNDUP(NB!J19,2),"")</f>
        <v/>
      </c>
      <c r="P20" s="286" t="str">
        <f ca="1">INDIRECT(IF(ADDRESS($A19+3,3,4,,"II1Ext")="","",ADDRESS($A19+3,3,4,,"II1Ext")))</f>
        <v/>
      </c>
      <c r="Q20" s="31" t="str">
        <f ca="1">INDIRECT(IF(ADDRESS($A19+3,3,4,,"II2Ext")="","",ADDRESS($A19+3,3,4,,"II2Ext")))</f>
        <v/>
      </c>
      <c r="R20" s="31" t="str">
        <f ca="1">INDIRECT(IF(ADDRESS($A19+3,3,4,,"II3Ext")="","",ADDRESS($A19+3,3,4,,"II3Ext")))</f>
        <v/>
      </c>
      <c r="S20" s="31" t="str">
        <f ca="1">INDIRECT(IF(ADDRESS($A19+3,3,4,,"II4Ext")="","",ADDRESS($A19+3,3,4,,"II4Ext")))</f>
        <v/>
      </c>
      <c r="T20" s="22"/>
      <c r="U20" s="23"/>
      <c r="V20" s="24"/>
      <c r="W20" s="25"/>
      <c r="X20" s="276"/>
      <c r="Y20" s="303" t="str">
        <f ca="1">IF(COUNT(P19:R19)=0,"",ROUND(NB!M19,2))</f>
        <v/>
      </c>
      <c r="Z20" s="304" t="str">
        <f ca="1">IF(COUNT(P20:X20)=0,"",ROUND(NB!Q19,2))</f>
        <v/>
      </c>
      <c r="AA20" s="207" t="str">
        <f ca="1">IF(OR(COUNT(P19:S19)*COUNT(P20:X20)&gt;0,AND($C$1="KA / mdl.",COUNT(P20:X20)&gt;0)),ROUNDUP(NB!R19,2),"")</f>
        <v/>
      </c>
      <c r="AB20" s="2" t="str">
        <f t="shared" si="0"/>
        <v/>
      </c>
      <c r="AC20" s="167"/>
      <c r="AD20" s="167"/>
      <c r="AE20" s="167"/>
      <c r="AF20" s="167"/>
      <c r="AG20" s="167"/>
      <c r="AH20" s="167"/>
      <c r="AI20" s="167"/>
      <c r="AK20" s="11" t="s">
        <v>9</v>
      </c>
      <c r="AL20" s="11"/>
    </row>
    <row r="21" spans="1:38" ht="12" customHeight="1" x14ac:dyDescent="0.2">
      <c r="A21" s="434">
        <f>A19+1</f>
        <v>9</v>
      </c>
      <c r="B21" s="174"/>
      <c r="C21" s="208" t="s">
        <v>102</v>
      </c>
      <c r="D21" s="277" t="str">
        <f ca="1">INDIRECT(IF(ADDRESS($A21+3,3,4,,"I1SA")="","",ADDRESS($A21+3,3,4,,"I1SA")))</f>
        <v/>
      </c>
      <c r="E21" s="278" t="str">
        <f ca="1">INDIRECT(IF(ADDRESS($A21+3,3,4,,"I2SA")="","",ADDRESS($A21+3,3,4,,"I2SA")))</f>
        <v/>
      </c>
      <c r="F21" s="278" t="str">
        <f ca="1">INDIRECT(IF(ADDRESS($A21+3,3,4,,"I3SA")="","",ADDRESS($A21+3,3,4,,"I3SA")))</f>
        <v/>
      </c>
      <c r="G21" s="279"/>
      <c r="H21" s="280"/>
      <c r="I21" s="281"/>
      <c r="J21" s="282"/>
      <c r="K21" s="280"/>
      <c r="L21" s="283"/>
      <c r="M21" s="102"/>
      <c r="N21" s="103" t="str">
        <f ca="1">IF(N22="","","")</f>
        <v/>
      </c>
      <c r="O21" s="287" t="str">
        <f ca="1">IF(OR(COUNT(D21:G21)*COUNT(D22:K22)&gt;0,AND($C$1="KA / mdl.",COUNT(D22:L22)&gt;0)),IF(O22&lt;1,0,ROUND(O22,0)),"")</f>
        <v/>
      </c>
      <c r="P21" s="285" t="str">
        <f ca="1">INDIRECT(IF(ADDRESS($A21+3,3,4,,"II1SA")="","",ADDRESS($A21+3,3,4,,"II1SA")))</f>
        <v/>
      </c>
      <c r="Q21" s="278" t="str">
        <f ca="1">INDIRECT(IF(ADDRESS($A21+3,3,4,,"II2SA")="","",ADDRESS($A21+3,3,4,,"II2SA")))</f>
        <v/>
      </c>
      <c r="R21" s="278" t="str">
        <f ca="1">INDIRECT(IF(ADDRESS($A21+3,3,4,,"II3SA")="","",ADDRESS($A21+3,3,4,,"II3SA")))</f>
        <v/>
      </c>
      <c r="S21" s="279"/>
      <c r="T21" s="278"/>
      <c r="U21" s="278"/>
      <c r="V21" s="278"/>
      <c r="W21" s="280"/>
      <c r="X21" s="283"/>
      <c r="Y21" s="413"/>
      <c r="Z21" s="414"/>
      <c r="AA21" s="27" t="str">
        <f ca="1">IF(OR(COUNT(P21:S21)*COUNT(P22:X22)&gt;0,AND($C$1="KA / mdl.",COUNT(P22:X22)&gt;0)),IF(AA22&lt;1,0,ROUND(AA22,0)),"")</f>
        <v/>
      </c>
      <c r="AB21" s="169"/>
      <c r="AC21" s="167"/>
      <c r="AD21" s="167"/>
      <c r="AE21" s="167"/>
      <c r="AF21" s="167"/>
      <c r="AG21" s="167"/>
      <c r="AH21" s="167"/>
      <c r="AI21" s="167"/>
      <c r="AL21" s="11"/>
    </row>
    <row r="22" spans="1:38" ht="12" customHeight="1" x14ac:dyDescent="0.2">
      <c r="A22" s="435"/>
      <c r="B22" s="175"/>
      <c r="C22" s="209" t="s">
        <v>103</v>
      </c>
      <c r="D22" s="31" t="str">
        <f ca="1">INDIRECT(IF(ADDRESS($A21+3,3,4,,"I1Ext")="","",ADDRESS($A21+3,3,4,,"I1Ext")))</f>
        <v/>
      </c>
      <c r="E22" s="31" t="str">
        <f ca="1">INDIRECT(IF(ADDRESS($A21+3,3,4,,"I2Ext")="","",ADDRESS($A21+3,3,4,,"I2Ext")))</f>
        <v/>
      </c>
      <c r="F22" s="31" t="str">
        <f ca="1">INDIRECT(IF(ADDRESS($A21+3,3,4,,"I3Ext")="","",ADDRESS($A21+3,3,4,,"I3Ext")))</f>
        <v/>
      </c>
      <c r="G22" s="31" t="str">
        <f ca="1">INDIRECT(IF(ADDRESS($A21+3,3,4,,"I4Ext")="","",ADDRESS($A21+3,3,4,,"I4Ext")))</f>
        <v/>
      </c>
      <c r="H22" s="22"/>
      <c r="I22" s="23"/>
      <c r="J22" s="24"/>
      <c r="K22" s="25"/>
      <c r="L22" s="25"/>
      <c r="M22" s="305" t="str">
        <f ca="1">IF(COUNT(D21:F21)=0,"",ROUND(NB!E21,2))</f>
        <v/>
      </c>
      <c r="N22" s="306" t="str">
        <f ca="1">IF(COUNT(D22:K22)=0,"",ROUND(NB!I21,2))</f>
        <v/>
      </c>
      <c r="O22" s="288" t="str">
        <f ca="1">IF(OR(COUNT(D21:G21)*COUNT(D22:K22)&gt;0,AND($C$1="KA / mdl.",COUNT(D22:L22)&gt;0)),ROUNDUP(NB!J21,2),"")</f>
        <v/>
      </c>
      <c r="P22" s="286" t="str">
        <f ca="1">INDIRECT(IF(ADDRESS($A21+3,3,4,,"II1Ext")="","",ADDRESS($A21+3,3,4,,"II1Ext")))</f>
        <v/>
      </c>
      <c r="Q22" s="31" t="str">
        <f ca="1">INDIRECT(IF(ADDRESS($A21+3,3,4,,"II2Ext")="","",ADDRESS($A21+3,3,4,,"II2Ext")))</f>
        <v/>
      </c>
      <c r="R22" s="31" t="str">
        <f ca="1">INDIRECT(IF(ADDRESS($A21+3,3,4,,"II3Ext")="","",ADDRESS($A21+3,3,4,,"II3Ext")))</f>
        <v/>
      </c>
      <c r="S22" s="31" t="str">
        <f ca="1">INDIRECT(IF(ADDRESS($A21+3,3,4,,"II4Ext")="","",ADDRESS($A21+3,3,4,,"II4Ext")))</f>
        <v/>
      </c>
      <c r="T22" s="22"/>
      <c r="U22" s="23"/>
      <c r="V22" s="24"/>
      <c r="W22" s="25"/>
      <c r="X22" s="276"/>
      <c r="Y22" s="303" t="str">
        <f ca="1">IF(COUNT(P21:R21)=0,"",ROUND(NB!M21,2))</f>
        <v/>
      </c>
      <c r="Z22" s="304" t="str">
        <f ca="1">IF(COUNT(P22:X22)=0,"",ROUND(NB!Q21,2))</f>
        <v/>
      </c>
      <c r="AA22" s="207" t="str">
        <f ca="1">IF(OR(COUNT(P21:S21)*COUNT(P22:X22)&gt;0,AND($C$1="KA / mdl.",COUNT(P22:X22)&gt;0)),ROUNDUP(NB!R21,2),"")</f>
        <v/>
      </c>
      <c r="AB22" s="2" t="str">
        <f t="shared" si="0"/>
        <v/>
      </c>
      <c r="AC22" s="167"/>
      <c r="AD22" s="167"/>
      <c r="AE22" s="167"/>
      <c r="AF22" s="167"/>
      <c r="AG22" s="167"/>
      <c r="AH22" s="167"/>
      <c r="AI22" s="167"/>
    </row>
    <row r="23" spans="1:38" ht="12" customHeight="1" x14ac:dyDescent="0.2">
      <c r="A23" s="434">
        <f>A21+1</f>
        <v>10</v>
      </c>
      <c r="B23" s="174"/>
      <c r="C23" s="208" t="s">
        <v>102</v>
      </c>
      <c r="D23" s="277" t="str">
        <f ca="1">INDIRECT(IF(ADDRESS($A23+3,3,4,,"I1SA")="","",ADDRESS($A23+3,3,4,,"I1SA")))</f>
        <v/>
      </c>
      <c r="E23" s="278" t="str">
        <f ca="1">INDIRECT(IF(ADDRESS($A23+3,3,4,,"I2SA")="","",ADDRESS($A23+3,3,4,,"I2SA")))</f>
        <v/>
      </c>
      <c r="F23" s="278" t="str">
        <f ca="1">INDIRECT(IF(ADDRESS($A23+3,3,4,,"I3SA")="","",ADDRESS($A23+3,3,4,,"I3SA")))</f>
        <v/>
      </c>
      <c r="G23" s="279"/>
      <c r="H23" s="280"/>
      <c r="I23" s="281"/>
      <c r="J23" s="282"/>
      <c r="K23" s="280"/>
      <c r="L23" s="283"/>
      <c r="M23" s="102"/>
      <c r="N23" s="103" t="str">
        <f ca="1">IF(N24="","","")</f>
        <v/>
      </c>
      <c r="O23" s="287" t="str">
        <f ca="1">IF(OR(COUNT(D23:G23)*COUNT(D24:K24)&gt;0,AND($C$1="KA / mdl.",COUNT(D24:L24)&gt;0)),IF(O24&lt;1,0,ROUND(O24,0)),"")</f>
        <v/>
      </c>
      <c r="P23" s="285" t="str">
        <f ca="1">INDIRECT(IF(ADDRESS($A23+3,3,4,,"II1SA")="","",ADDRESS($A23+3,3,4,,"II1SA")))</f>
        <v/>
      </c>
      <c r="Q23" s="278" t="str">
        <f ca="1">INDIRECT(IF(ADDRESS($A23+3,3,4,,"II2SA")="","",ADDRESS($A23+3,3,4,,"II2SA")))</f>
        <v/>
      </c>
      <c r="R23" s="278" t="str">
        <f ca="1">INDIRECT(IF(ADDRESS($A23+3,3,4,,"II3SA")="","",ADDRESS($A23+3,3,4,,"II3SA")))</f>
        <v/>
      </c>
      <c r="S23" s="279"/>
      <c r="T23" s="278"/>
      <c r="U23" s="278"/>
      <c r="V23" s="278"/>
      <c r="W23" s="280"/>
      <c r="X23" s="283"/>
      <c r="Y23" s="413"/>
      <c r="Z23" s="414"/>
      <c r="AA23" s="27" t="str">
        <f ca="1">IF(OR(COUNT(P23:S23)*COUNT(P24:X24)&gt;0,AND($C$1="KA / mdl.",COUNT(P24:X24)&gt;0)),IF(AA24&lt;1,0,ROUND(AA24,0)),"")</f>
        <v/>
      </c>
      <c r="AB23" s="169"/>
      <c r="AC23" s="165"/>
      <c r="AD23" s="166"/>
      <c r="AE23" s="166"/>
      <c r="AF23" s="166"/>
      <c r="AG23" s="166"/>
      <c r="AH23" s="166"/>
      <c r="AI23" s="167"/>
    </row>
    <row r="24" spans="1:38" ht="12" customHeight="1" x14ac:dyDescent="0.2">
      <c r="A24" s="435"/>
      <c r="B24" s="175"/>
      <c r="C24" s="209" t="s">
        <v>103</v>
      </c>
      <c r="D24" s="31" t="str">
        <f ca="1">INDIRECT(IF(ADDRESS($A23+3,3,4,,"I1Ext")="","",ADDRESS($A23+3,3,4,,"I1Ext")))</f>
        <v/>
      </c>
      <c r="E24" s="31" t="str">
        <f ca="1">INDIRECT(IF(ADDRESS($A23+3,3,4,,"I2Ext")="","",ADDRESS($A23+3,3,4,,"I2Ext")))</f>
        <v/>
      </c>
      <c r="F24" s="31" t="str">
        <f ca="1">INDIRECT(IF(ADDRESS($A23+3,3,4,,"I3Ext")="","",ADDRESS($A23+3,3,4,,"I3Ext")))</f>
        <v/>
      </c>
      <c r="G24" s="31" t="str">
        <f ca="1">INDIRECT(IF(ADDRESS($A23+3,3,4,,"I4Ext")="","",ADDRESS($A23+3,3,4,,"I4Ext")))</f>
        <v/>
      </c>
      <c r="H24" s="22"/>
      <c r="I24" s="23"/>
      <c r="J24" s="24"/>
      <c r="K24" s="25"/>
      <c r="L24" s="25"/>
      <c r="M24" s="305" t="str">
        <f ca="1">IF(COUNT(D23:F23)=0,"",ROUND(NB!E23,2))</f>
        <v/>
      </c>
      <c r="N24" s="306" t="str">
        <f ca="1">IF(COUNT(D24:K24)=0,"",ROUND(NB!I23,2))</f>
        <v/>
      </c>
      <c r="O24" s="288" t="str">
        <f ca="1">IF(OR(COUNT(D23:G23)*COUNT(D24:K24)&gt;0,AND($C$1="KA / mdl.",COUNT(D24:L24)&gt;0)),ROUNDUP(NB!J23,2),"")</f>
        <v/>
      </c>
      <c r="P24" s="286" t="str">
        <f ca="1">INDIRECT(IF(ADDRESS($A23+3,3,4,,"II1Ext")="","",ADDRESS($A23+3,3,4,,"II1Ext")))</f>
        <v/>
      </c>
      <c r="Q24" s="31" t="str">
        <f ca="1">INDIRECT(IF(ADDRESS($A23+3,3,4,,"II2Ext")="","",ADDRESS($A23+3,3,4,,"II2Ext")))</f>
        <v/>
      </c>
      <c r="R24" s="31" t="str">
        <f ca="1">INDIRECT(IF(ADDRESS($A23+3,3,4,,"II3Ext")="","",ADDRESS($A23+3,3,4,,"II3Ext")))</f>
        <v/>
      </c>
      <c r="S24" s="31" t="str">
        <f ca="1">INDIRECT(IF(ADDRESS($A23+3,3,4,,"II4Ext")="","",ADDRESS($A23+3,3,4,,"II4Ext")))</f>
        <v/>
      </c>
      <c r="T24" s="22"/>
      <c r="U24" s="23"/>
      <c r="V24" s="24"/>
      <c r="W24" s="25"/>
      <c r="X24" s="276"/>
      <c r="Y24" s="303" t="str">
        <f ca="1">IF(COUNT(P23:R23)=0,"",ROUND(NB!M23,2))</f>
        <v/>
      </c>
      <c r="Z24" s="304" t="str">
        <f ca="1">IF(COUNT(P24:X24)=0,"",ROUND(NB!Q23,2))</f>
        <v/>
      </c>
      <c r="AA24" s="207" t="str">
        <f ca="1">IF(OR(COUNT(P23:S23)*COUNT(P24:X24)&gt;0,AND($C$1="KA / mdl.",COUNT(P24:X24)&gt;0)),ROUNDUP(NB!R23,2),"")</f>
        <v/>
      </c>
      <c r="AB24" s="2" t="str">
        <f t="shared" si="0"/>
        <v/>
      </c>
      <c r="AC24" s="168"/>
      <c r="AD24" s="451"/>
      <c r="AE24" s="451"/>
      <c r="AF24" s="451"/>
      <c r="AG24" s="451"/>
      <c r="AH24" s="451"/>
      <c r="AI24" s="451"/>
    </row>
    <row r="25" spans="1:38" ht="12" customHeight="1" x14ac:dyDescent="0.2">
      <c r="A25" s="434">
        <f>A23+1</f>
        <v>11</v>
      </c>
      <c r="B25" s="174"/>
      <c r="C25" s="208" t="s">
        <v>102</v>
      </c>
      <c r="D25" s="277" t="str">
        <f ca="1">INDIRECT(IF(ADDRESS($A25+3,3,4,,"I1SA")="","",ADDRESS($A25+3,3,4,,"I1SA")))</f>
        <v/>
      </c>
      <c r="E25" s="278" t="str">
        <f ca="1">INDIRECT(IF(ADDRESS($A25+3,3,4,,"I2SA")="","",ADDRESS($A25+3,3,4,,"I2SA")))</f>
        <v/>
      </c>
      <c r="F25" s="278" t="str">
        <f ca="1">INDIRECT(IF(ADDRESS($A25+3,3,4,,"I3SA")="","",ADDRESS($A25+3,3,4,,"I3SA")))</f>
        <v/>
      </c>
      <c r="G25" s="279"/>
      <c r="H25" s="280"/>
      <c r="I25" s="281"/>
      <c r="J25" s="282"/>
      <c r="K25" s="280"/>
      <c r="L25" s="283"/>
      <c r="M25" s="102"/>
      <c r="N25" s="103" t="str">
        <f ca="1">IF(N26="","","")</f>
        <v/>
      </c>
      <c r="O25" s="287" t="str">
        <f ca="1">IF(OR(COUNT(D25:G25)*COUNT(D26:K26)&gt;0,AND($C$1="KA / mdl.",COUNT(D26:L26)&gt;0)),IF(O26&lt;1,0,ROUND(O26,0)),"")</f>
        <v/>
      </c>
      <c r="P25" s="285" t="str">
        <f ca="1">INDIRECT(IF(ADDRESS($A25+3,3,4,,"II1SA")="","",ADDRESS($A25+3,3,4,,"II1SA")))</f>
        <v/>
      </c>
      <c r="Q25" s="278" t="str">
        <f ca="1">INDIRECT(IF(ADDRESS($A25+3,3,4,,"II2SA")="","",ADDRESS($A25+3,3,4,,"II2SA")))</f>
        <v/>
      </c>
      <c r="R25" s="278" t="str">
        <f ca="1">INDIRECT(IF(ADDRESS($A25+3,3,4,,"II3SA")="","",ADDRESS($A25+3,3,4,,"II3SA")))</f>
        <v/>
      </c>
      <c r="S25" s="279"/>
      <c r="T25" s="278"/>
      <c r="U25" s="278"/>
      <c r="V25" s="278"/>
      <c r="W25" s="280"/>
      <c r="X25" s="283"/>
      <c r="Y25" s="413"/>
      <c r="Z25" s="414"/>
      <c r="AA25" s="27" t="str">
        <f ca="1">IF(OR(COUNT(P25:S25)*COUNT(P26:X26)&gt;0,AND($C$1="KA / mdl.",COUNT(P26:X26)&gt;0)),IF(AA26&lt;1,0,ROUND(AA26,0)),"")</f>
        <v/>
      </c>
      <c r="AB25" s="169"/>
      <c r="AC25" s="169"/>
      <c r="AD25" s="168"/>
      <c r="AE25" s="168"/>
      <c r="AF25" s="168"/>
      <c r="AG25" s="168"/>
      <c r="AH25" s="168"/>
      <c r="AI25" s="168"/>
    </row>
    <row r="26" spans="1:38" ht="12" customHeight="1" x14ac:dyDescent="0.2">
      <c r="A26" s="435"/>
      <c r="B26" s="175"/>
      <c r="C26" s="209" t="s">
        <v>103</v>
      </c>
      <c r="D26" s="31" t="str">
        <f ca="1">INDIRECT(IF(ADDRESS($A25+3,3,4,,"I1Ext")="","",ADDRESS($A25+3,3,4,,"I1Ext")))</f>
        <v/>
      </c>
      <c r="E26" s="31" t="str">
        <f ca="1">INDIRECT(IF(ADDRESS($A25+3,3,4,,"I2Ext")="","",ADDRESS($A25+3,3,4,,"I2Ext")))</f>
        <v/>
      </c>
      <c r="F26" s="31" t="str">
        <f ca="1">INDIRECT(IF(ADDRESS($A25+3,3,4,,"I3Ext")="","",ADDRESS($A25+3,3,4,,"I3Ext")))</f>
        <v/>
      </c>
      <c r="G26" s="31" t="str">
        <f ca="1">INDIRECT(IF(ADDRESS($A25+3,3,4,,"I4Ext")="","",ADDRESS($A25+3,3,4,,"I4Ext")))</f>
        <v/>
      </c>
      <c r="H26" s="22"/>
      <c r="I26" s="23"/>
      <c r="J26" s="24"/>
      <c r="K26" s="25"/>
      <c r="L26" s="25"/>
      <c r="M26" s="305" t="str">
        <f ca="1">IF(COUNT(D25:F25)=0,"",ROUND(NB!E25,2))</f>
        <v/>
      </c>
      <c r="N26" s="306" t="str">
        <f ca="1">IF(COUNT(D26:K26)=0,"",ROUND(NB!I25,2))</f>
        <v/>
      </c>
      <c r="O26" s="288" t="str">
        <f ca="1">IF(OR(COUNT(D25:G25)*COUNT(D26:K26)&gt;0,AND($C$1="KA / mdl.",COUNT(D26:L26)&gt;0)),ROUNDUP(NB!J25,2),"")</f>
        <v/>
      </c>
      <c r="P26" s="286" t="str">
        <f ca="1">INDIRECT(IF(ADDRESS($A25+3,3,4,,"II1Ext")="","",ADDRESS($A25+3,3,4,,"II1Ext")))</f>
        <v/>
      </c>
      <c r="Q26" s="31" t="str">
        <f ca="1">INDIRECT(IF(ADDRESS($A25+3,3,4,,"II2Ext")="","",ADDRESS($A25+3,3,4,,"II2Ext")))</f>
        <v/>
      </c>
      <c r="R26" s="31" t="str">
        <f ca="1">INDIRECT(IF(ADDRESS($A25+3,3,4,,"II3Ext")="","",ADDRESS($A25+3,3,4,,"II3Ext")))</f>
        <v/>
      </c>
      <c r="S26" s="31" t="str">
        <f ca="1">INDIRECT(IF(ADDRESS($A25+3,3,4,,"II4Ext")="","",ADDRESS($A25+3,3,4,,"II4Ext")))</f>
        <v/>
      </c>
      <c r="T26" s="22"/>
      <c r="U26" s="23"/>
      <c r="V26" s="24"/>
      <c r="W26" s="25"/>
      <c r="X26" s="276"/>
      <c r="Y26" s="303" t="str">
        <f ca="1">IF(COUNT(P25:R25)=0,"",ROUND(NB!M25,2))</f>
        <v/>
      </c>
      <c r="Z26" s="304" t="str">
        <f ca="1">IF(COUNT(P26:X26)=0,"",ROUND(NB!Q25,2))</f>
        <v/>
      </c>
      <c r="AA26" s="207" t="str">
        <f ca="1">IF(OR(COUNT(P25:S25)*COUNT(P26:X26)&gt;0,AND($C$1="KA / mdl.",COUNT(P26:X26)&gt;0)),ROUNDUP(NB!R25,2),"")</f>
        <v/>
      </c>
      <c r="AB26" s="2" t="str">
        <f t="shared" si="0"/>
        <v/>
      </c>
      <c r="AC26" s="169"/>
      <c r="AD26" s="171"/>
      <c r="AE26" s="171"/>
      <c r="AF26" s="171"/>
      <c r="AG26" s="171"/>
      <c r="AH26" s="171"/>
      <c r="AI26" s="171"/>
    </row>
    <row r="27" spans="1:38" ht="12" customHeight="1" x14ac:dyDescent="0.2">
      <c r="A27" s="434">
        <f>A25+1</f>
        <v>12</v>
      </c>
      <c r="B27" s="174"/>
      <c r="C27" s="208" t="s">
        <v>102</v>
      </c>
      <c r="D27" s="277" t="str">
        <f ca="1">INDIRECT(IF(ADDRESS($A27+3,3,4,,"I1SA")="","",ADDRESS($A27+3,3,4,,"I1SA")))</f>
        <v/>
      </c>
      <c r="E27" s="278" t="str">
        <f ca="1">INDIRECT(IF(ADDRESS($A27+3,3,4,,"I2SA")="","",ADDRESS($A27+3,3,4,,"I2SA")))</f>
        <v/>
      </c>
      <c r="F27" s="278" t="str">
        <f ca="1">INDIRECT(IF(ADDRESS($A27+3,3,4,,"I3SA")="","",ADDRESS($A27+3,3,4,,"I3SA")))</f>
        <v/>
      </c>
      <c r="G27" s="279"/>
      <c r="H27" s="280"/>
      <c r="I27" s="281"/>
      <c r="J27" s="282"/>
      <c r="K27" s="280"/>
      <c r="L27" s="283"/>
      <c r="M27" s="102"/>
      <c r="N27" s="103" t="str">
        <f ca="1">IF(N28="","","")</f>
        <v/>
      </c>
      <c r="O27" s="287" t="str">
        <f ca="1">IF(OR(COUNT(D27:G27)*COUNT(D28:K28)&gt;0,AND($C$1="KA / mdl.",COUNT(D28:L28)&gt;0)),IF(O28&lt;1,0,ROUND(O28,0)),"")</f>
        <v/>
      </c>
      <c r="P27" s="285" t="str">
        <f ca="1">INDIRECT(IF(ADDRESS($A27+3,3,4,,"II1SA")="","",ADDRESS($A27+3,3,4,,"II1SA")))</f>
        <v/>
      </c>
      <c r="Q27" s="278" t="str">
        <f ca="1">INDIRECT(IF(ADDRESS($A27+3,3,4,,"II2SA")="","",ADDRESS($A27+3,3,4,,"II2SA")))</f>
        <v/>
      </c>
      <c r="R27" s="278" t="str">
        <f ca="1">INDIRECT(IF(ADDRESS($A27+3,3,4,,"II3SA")="","",ADDRESS($A27+3,3,4,,"II3SA")))</f>
        <v/>
      </c>
      <c r="S27" s="279"/>
      <c r="T27" s="278"/>
      <c r="U27" s="278"/>
      <c r="V27" s="278"/>
      <c r="W27" s="280"/>
      <c r="X27" s="283"/>
      <c r="Y27" s="413"/>
      <c r="Z27" s="414"/>
      <c r="AA27" s="27" t="str">
        <f ca="1">IF(OR(COUNT(P27:S27)*COUNT(P28:X28)&gt;0,AND($C$1="KA / mdl.",COUNT(P28:X28)&gt;0)),IF(AA28&lt;1,0,ROUND(AA28,0)),"")</f>
        <v/>
      </c>
      <c r="AB27" s="169"/>
      <c r="AC27" s="169"/>
      <c r="AD27" s="171"/>
      <c r="AE27" s="171"/>
      <c r="AF27" s="171"/>
      <c r="AG27" s="171"/>
      <c r="AH27" s="171"/>
      <c r="AI27" s="171"/>
    </row>
    <row r="28" spans="1:38" ht="12" customHeight="1" x14ac:dyDescent="0.2">
      <c r="A28" s="435"/>
      <c r="B28" s="175"/>
      <c r="C28" s="209" t="s">
        <v>103</v>
      </c>
      <c r="D28" s="31" t="str">
        <f ca="1">INDIRECT(IF(ADDRESS($A27+3,3,4,,"I1Ext")="","",ADDRESS($A27+3,3,4,,"I1Ext")))</f>
        <v/>
      </c>
      <c r="E28" s="31" t="str">
        <f ca="1">INDIRECT(IF(ADDRESS($A27+3,3,4,,"I2Ext")="","",ADDRESS($A27+3,3,4,,"I2Ext")))</f>
        <v/>
      </c>
      <c r="F28" s="31" t="str">
        <f ca="1">INDIRECT(IF(ADDRESS($A27+3,3,4,,"I3Ext")="","",ADDRESS($A27+3,3,4,,"I3Ext")))</f>
        <v/>
      </c>
      <c r="G28" s="31" t="str">
        <f ca="1">INDIRECT(IF(ADDRESS($A27+3,3,4,,"I4Ext")="","",ADDRESS($A27+3,3,4,,"I4Ext")))</f>
        <v/>
      </c>
      <c r="H28" s="22"/>
      <c r="I28" s="23"/>
      <c r="J28" s="24"/>
      <c r="K28" s="25"/>
      <c r="L28" s="25"/>
      <c r="M28" s="305" t="str">
        <f ca="1">IF(COUNT(D27:F27)=0,"",ROUND(NB!E27,2))</f>
        <v/>
      </c>
      <c r="N28" s="306" t="str">
        <f ca="1">IF(COUNT(D28:K28)=0,"",ROUND(NB!I27,2))</f>
        <v/>
      </c>
      <c r="O28" s="288" t="str">
        <f ca="1">IF(OR(COUNT(D27:G27)*COUNT(D28:K28)&gt;0,AND($C$1="KA / mdl.",COUNT(D28:L28)&gt;0)),ROUNDUP(NB!J27,2),"")</f>
        <v/>
      </c>
      <c r="P28" s="286" t="str">
        <f ca="1">INDIRECT(IF(ADDRESS($A27+3,3,4,,"II1Ext")="","",ADDRESS($A27+3,3,4,,"II1Ext")))</f>
        <v/>
      </c>
      <c r="Q28" s="31" t="str">
        <f ca="1">INDIRECT(IF(ADDRESS($A27+3,3,4,,"II2Ext")="","",ADDRESS($A27+3,3,4,,"II2Ext")))</f>
        <v/>
      </c>
      <c r="R28" s="31" t="str">
        <f ca="1">INDIRECT(IF(ADDRESS($A27+3,3,4,,"II3Ext")="","",ADDRESS($A27+3,3,4,,"II3Ext")))</f>
        <v/>
      </c>
      <c r="S28" s="31" t="str">
        <f ca="1">INDIRECT(IF(ADDRESS($A27+3,3,4,,"II4Ext")="","",ADDRESS($A27+3,3,4,,"II4Ext")))</f>
        <v/>
      </c>
      <c r="T28" s="22"/>
      <c r="U28" s="23"/>
      <c r="V28" s="24"/>
      <c r="W28" s="25"/>
      <c r="X28" s="276"/>
      <c r="Y28" s="303" t="str">
        <f ca="1">IF(COUNT(P27:R27)=0,"",ROUND(NB!M27,2))</f>
        <v/>
      </c>
      <c r="Z28" s="304" t="str">
        <f ca="1">IF(COUNT(P28:X28)=0,"",ROUND(NB!Q27,2))</f>
        <v/>
      </c>
      <c r="AA28" s="207" t="str">
        <f ca="1">IF(OR(COUNT(P27:S27)*COUNT(P28:X28)&gt;0,AND($C$1="KA / mdl.",COUNT(P28:X28)&gt;0)),ROUNDUP(NB!R27,2),"")</f>
        <v/>
      </c>
      <c r="AB28" s="2" t="str">
        <f t="shared" si="0"/>
        <v/>
      </c>
      <c r="AC28" s="169"/>
      <c r="AD28" s="171"/>
      <c r="AE28" s="171"/>
      <c r="AF28" s="171"/>
      <c r="AG28" s="171"/>
      <c r="AH28" s="171"/>
      <c r="AI28" s="171"/>
    </row>
    <row r="29" spans="1:38" ht="12" customHeight="1" x14ac:dyDescent="0.2">
      <c r="A29" s="434">
        <f>A27+1</f>
        <v>13</v>
      </c>
      <c r="B29" s="174"/>
      <c r="C29" s="208" t="s">
        <v>102</v>
      </c>
      <c r="D29" s="277" t="str">
        <f ca="1">INDIRECT(IF(ADDRESS($A29+3,3,4,,"I1SA")="","",ADDRESS($A29+3,3,4,,"I1SA")))</f>
        <v/>
      </c>
      <c r="E29" s="278" t="str">
        <f ca="1">INDIRECT(IF(ADDRESS($A29+3,3,4,,"I2SA")="","",ADDRESS($A29+3,3,4,,"I2SA")))</f>
        <v/>
      </c>
      <c r="F29" s="278" t="str">
        <f ca="1">INDIRECT(IF(ADDRESS($A29+3,3,4,,"I3SA")="","",ADDRESS($A29+3,3,4,,"I3SA")))</f>
        <v/>
      </c>
      <c r="G29" s="279"/>
      <c r="H29" s="280"/>
      <c r="I29" s="281"/>
      <c r="J29" s="282"/>
      <c r="K29" s="280"/>
      <c r="L29" s="283"/>
      <c r="M29" s="102"/>
      <c r="N29" s="103" t="str">
        <f ca="1">IF(N30="","","")</f>
        <v/>
      </c>
      <c r="O29" s="287" t="str">
        <f ca="1">IF(OR(COUNT(D29:G29)*COUNT(D30:K30)&gt;0,AND($C$1="KA / mdl.",COUNT(D30:L30)&gt;0)),IF(O30&lt;1,0,ROUND(O30,0)),"")</f>
        <v/>
      </c>
      <c r="P29" s="285" t="str">
        <f ca="1">INDIRECT(IF(ADDRESS($A29+3,3,4,,"II1SA")="","",ADDRESS($A29+3,3,4,,"II1SA")))</f>
        <v/>
      </c>
      <c r="Q29" s="278" t="str">
        <f ca="1">INDIRECT(IF(ADDRESS($A29+3,3,4,,"II2SA")="","",ADDRESS($A29+3,3,4,,"II2SA")))</f>
        <v/>
      </c>
      <c r="R29" s="278" t="str">
        <f ca="1">INDIRECT(IF(ADDRESS($A29+3,3,4,,"II3SA")="","",ADDRESS($A29+3,3,4,,"II3SA")))</f>
        <v/>
      </c>
      <c r="S29" s="279"/>
      <c r="T29" s="278"/>
      <c r="U29" s="278"/>
      <c r="V29" s="278"/>
      <c r="W29" s="280"/>
      <c r="X29" s="283"/>
      <c r="Y29" s="413"/>
      <c r="Z29" s="414"/>
      <c r="AA29" s="27" t="str">
        <f ca="1">IF(OR(COUNT(P29:S29)*COUNT(P30:X30)&gt;0,AND($C$1="KA / mdl.",COUNT(P30:X30)&gt;0)),IF(AA30&lt;1,0,ROUND(AA30,0)),"")</f>
        <v/>
      </c>
      <c r="AB29" s="169"/>
      <c r="AC29" s="169"/>
      <c r="AD29" s="171"/>
      <c r="AE29" s="171"/>
      <c r="AF29" s="171"/>
      <c r="AG29" s="171"/>
      <c r="AH29" s="171"/>
      <c r="AI29" s="171"/>
    </row>
    <row r="30" spans="1:38" ht="12" customHeight="1" x14ac:dyDescent="0.2">
      <c r="A30" s="435"/>
      <c r="B30" s="175"/>
      <c r="C30" s="209" t="s">
        <v>103</v>
      </c>
      <c r="D30" s="31" t="str">
        <f ca="1">INDIRECT(IF(ADDRESS($A29+3,3,4,,"I1Ext")="","",ADDRESS($A29+3,3,4,,"I1Ext")))</f>
        <v/>
      </c>
      <c r="E30" s="31" t="str">
        <f ca="1">INDIRECT(IF(ADDRESS($A29+3,3,4,,"I2Ext")="","",ADDRESS($A29+3,3,4,,"I2Ext")))</f>
        <v/>
      </c>
      <c r="F30" s="31" t="str">
        <f ca="1">INDIRECT(IF(ADDRESS($A29+3,3,4,,"I3Ext")="","",ADDRESS($A29+3,3,4,,"I3Ext")))</f>
        <v/>
      </c>
      <c r="G30" s="31" t="str">
        <f ca="1">INDIRECT(IF(ADDRESS($A29+3,3,4,,"I4Ext")="","",ADDRESS($A29+3,3,4,,"I4Ext")))</f>
        <v/>
      </c>
      <c r="H30" s="22"/>
      <c r="I30" s="23"/>
      <c r="J30" s="24"/>
      <c r="K30" s="25"/>
      <c r="L30" s="25"/>
      <c r="M30" s="305" t="str">
        <f ca="1">IF(COUNT(D29:F29)=0,"",ROUND(NB!E29,2))</f>
        <v/>
      </c>
      <c r="N30" s="306" t="str">
        <f ca="1">IF(COUNT(D30:K30)=0,"",ROUND(NB!I29,2))</f>
        <v/>
      </c>
      <c r="O30" s="288" t="str">
        <f ca="1">IF(OR(COUNT(D29:G29)*COUNT(D30:K30)&gt;0,AND($C$1="KA / mdl.",COUNT(D30:L30)&gt;0)),ROUNDUP(NB!J29,2),"")</f>
        <v/>
      </c>
      <c r="P30" s="286" t="str">
        <f ca="1">INDIRECT(IF(ADDRESS($A29+3,3,4,,"II1Ext")="","",ADDRESS($A29+3,3,4,,"II1Ext")))</f>
        <v/>
      </c>
      <c r="Q30" s="31" t="str">
        <f ca="1">INDIRECT(IF(ADDRESS($A29+3,3,4,,"II2Ext")="","",ADDRESS($A29+3,3,4,,"II2Ext")))</f>
        <v/>
      </c>
      <c r="R30" s="31" t="str">
        <f ca="1">INDIRECT(IF(ADDRESS($A29+3,3,4,,"II3Ext")="","",ADDRESS($A29+3,3,4,,"II3Ext")))</f>
        <v/>
      </c>
      <c r="S30" s="31" t="str">
        <f ca="1">INDIRECT(IF(ADDRESS($A29+3,3,4,,"II4Ext")="","",ADDRESS($A29+3,3,4,,"II4Ext")))</f>
        <v/>
      </c>
      <c r="T30" s="22"/>
      <c r="U30" s="23"/>
      <c r="V30" s="24"/>
      <c r="W30" s="25"/>
      <c r="X30" s="276"/>
      <c r="Y30" s="303" t="str">
        <f ca="1">IF(COUNT(P29:R29)=0,"",ROUND(NB!M29,2))</f>
        <v/>
      </c>
      <c r="Z30" s="304" t="str">
        <f ca="1">IF(COUNT(P30:X30)=0,"",ROUND(NB!Q29,2))</f>
        <v/>
      </c>
      <c r="AA30" s="207" t="str">
        <f ca="1">IF(OR(COUNT(P29:S29)*COUNT(P30:X30)&gt;0,AND($C$1="KA / mdl.",COUNT(P30:X30)&gt;0)),ROUNDUP(NB!R29,2),"")</f>
        <v/>
      </c>
      <c r="AB30" s="2" t="str">
        <f t="shared" si="0"/>
        <v/>
      </c>
      <c r="AC30" s="169"/>
      <c r="AD30" s="171"/>
      <c r="AE30" s="171"/>
      <c r="AF30" s="171"/>
      <c r="AG30" s="171"/>
      <c r="AH30" s="171"/>
      <c r="AI30" s="171"/>
    </row>
    <row r="31" spans="1:38" ht="12" customHeight="1" x14ac:dyDescent="0.2">
      <c r="A31" s="434">
        <f>A29+1</f>
        <v>14</v>
      </c>
      <c r="B31" s="174"/>
      <c r="C31" s="208" t="s">
        <v>102</v>
      </c>
      <c r="D31" s="277" t="str">
        <f ca="1">INDIRECT(IF(ADDRESS($A31+3,3,4,,"I1SA")="","",ADDRESS($A31+3,3,4,,"I1SA")))</f>
        <v/>
      </c>
      <c r="E31" s="278" t="str">
        <f ca="1">INDIRECT(IF(ADDRESS($A31+3,3,4,,"I2SA")="","",ADDRESS($A31+3,3,4,,"I2SA")))</f>
        <v/>
      </c>
      <c r="F31" s="278" t="str">
        <f ca="1">INDIRECT(IF(ADDRESS($A31+3,3,4,,"I3SA")="","",ADDRESS($A31+3,3,4,,"I3SA")))</f>
        <v/>
      </c>
      <c r="G31" s="279"/>
      <c r="H31" s="280"/>
      <c r="I31" s="281"/>
      <c r="J31" s="282"/>
      <c r="K31" s="280"/>
      <c r="L31" s="283"/>
      <c r="M31" s="102"/>
      <c r="N31" s="103" t="str">
        <f ca="1">IF(N32="","","")</f>
        <v/>
      </c>
      <c r="O31" s="287" t="str">
        <f ca="1">IF(OR(COUNT(D31:G31)*COUNT(D32:K32)&gt;0,AND($C$1="KA / mdl.",COUNT(D32:L32)&gt;0)),IF(O32&lt;1,0,ROUND(O32,0)),"")</f>
        <v/>
      </c>
      <c r="P31" s="285" t="str">
        <f ca="1">INDIRECT(IF(ADDRESS($A31+3,3,4,,"II1SA")="","",ADDRESS($A31+3,3,4,,"II1SA")))</f>
        <v/>
      </c>
      <c r="Q31" s="278" t="str">
        <f ca="1">INDIRECT(IF(ADDRESS($A31+3,3,4,,"II2SA")="","",ADDRESS($A31+3,3,4,,"II2SA")))</f>
        <v/>
      </c>
      <c r="R31" s="278" t="str">
        <f ca="1">INDIRECT(IF(ADDRESS($A31+3,3,4,,"II3SA")="","",ADDRESS($A31+3,3,4,,"II3SA")))</f>
        <v/>
      </c>
      <c r="S31" s="279"/>
      <c r="T31" s="278"/>
      <c r="U31" s="278"/>
      <c r="V31" s="278"/>
      <c r="W31" s="280"/>
      <c r="X31" s="283"/>
      <c r="Y31" s="413"/>
      <c r="Z31" s="414"/>
      <c r="AA31" s="27" t="str">
        <f ca="1">IF(OR(COUNT(P31:S31)*COUNT(P32:X32)&gt;0,AND($C$1="KA / mdl.",COUNT(P32:X32)&gt;0)),IF(AA32&lt;1,0,ROUND(AA32,0)),"")</f>
        <v/>
      </c>
      <c r="AB31" s="169"/>
      <c r="AC31" s="169"/>
      <c r="AD31" s="171"/>
      <c r="AE31" s="171"/>
      <c r="AF31" s="171"/>
      <c r="AG31" s="171"/>
      <c r="AH31" s="171"/>
      <c r="AI31" s="171"/>
    </row>
    <row r="32" spans="1:38" ht="12" customHeight="1" x14ac:dyDescent="0.2">
      <c r="A32" s="435"/>
      <c r="B32" s="175"/>
      <c r="C32" s="209" t="s">
        <v>103</v>
      </c>
      <c r="D32" s="31" t="str">
        <f ca="1">INDIRECT(IF(ADDRESS($A31+3,3,4,,"I1Ext")="","",ADDRESS($A31+3,3,4,,"I1Ext")))</f>
        <v/>
      </c>
      <c r="E32" s="31" t="str">
        <f ca="1">INDIRECT(IF(ADDRESS($A31+3,3,4,,"I2Ext")="","",ADDRESS($A31+3,3,4,,"I2Ext")))</f>
        <v/>
      </c>
      <c r="F32" s="31" t="str">
        <f ca="1">INDIRECT(IF(ADDRESS($A31+3,3,4,,"I3Ext")="","",ADDRESS($A31+3,3,4,,"I3Ext")))</f>
        <v/>
      </c>
      <c r="G32" s="31" t="str">
        <f ca="1">INDIRECT(IF(ADDRESS($A31+3,3,4,,"I4Ext")="","",ADDRESS($A31+3,3,4,,"I4Ext")))</f>
        <v/>
      </c>
      <c r="H32" s="22"/>
      <c r="I32" s="23"/>
      <c r="J32" s="24"/>
      <c r="K32" s="25"/>
      <c r="L32" s="25"/>
      <c r="M32" s="305" t="str">
        <f ca="1">IF(COUNT(D31:F31)=0,"",ROUND(NB!E31,2))</f>
        <v/>
      </c>
      <c r="N32" s="306" t="str">
        <f ca="1">IF(COUNT(D32:K32)=0,"",ROUND(NB!I31,2))</f>
        <v/>
      </c>
      <c r="O32" s="288" t="str">
        <f ca="1">IF(OR(COUNT(D31:G31)*COUNT(D32:K32)&gt;0,AND($C$1="KA / mdl.",COUNT(D32:L32)&gt;0)),ROUNDUP(NB!J31,2),"")</f>
        <v/>
      </c>
      <c r="P32" s="286" t="str">
        <f ca="1">INDIRECT(IF(ADDRESS($A31+3,3,4,,"II1Ext")="","",ADDRESS($A31+3,3,4,,"II1Ext")))</f>
        <v/>
      </c>
      <c r="Q32" s="31" t="str">
        <f ca="1">INDIRECT(IF(ADDRESS($A31+3,3,4,,"II2Ext")="","",ADDRESS($A31+3,3,4,,"II2Ext")))</f>
        <v/>
      </c>
      <c r="R32" s="31" t="str">
        <f ca="1">INDIRECT(IF(ADDRESS($A31+3,3,4,,"II3Ext")="","",ADDRESS($A31+3,3,4,,"II3Ext")))</f>
        <v/>
      </c>
      <c r="S32" s="31" t="str">
        <f ca="1">INDIRECT(IF(ADDRESS($A31+3,3,4,,"II4Ext")="","",ADDRESS($A31+3,3,4,,"II4Ext")))</f>
        <v/>
      </c>
      <c r="T32" s="22"/>
      <c r="U32" s="23"/>
      <c r="V32" s="24"/>
      <c r="W32" s="25"/>
      <c r="X32" s="276"/>
      <c r="Y32" s="303" t="str">
        <f ca="1">IF(COUNT(P31:R31)=0,"",ROUND(NB!M31,2))</f>
        <v/>
      </c>
      <c r="Z32" s="304" t="str">
        <f ca="1">IF(COUNT(P32:X32)=0,"",ROUND(NB!Q31,2))</f>
        <v/>
      </c>
      <c r="AA32" s="207" t="str">
        <f ca="1">IF(OR(COUNT(P31:S31)*COUNT(P32:X32)&gt;0,AND($C$1="KA / mdl.",COUNT(P32:X32)&gt;0)),ROUNDUP(NB!R31,2),"")</f>
        <v/>
      </c>
      <c r="AB32" s="2" t="str">
        <f t="shared" si="0"/>
        <v/>
      </c>
      <c r="AC32" s="169"/>
      <c r="AD32" s="170"/>
      <c r="AE32" s="170"/>
      <c r="AF32" s="170"/>
      <c r="AG32" s="170"/>
      <c r="AH32" s="170"/>
      <c r="AI32" s="170"/>
    </row>
    <row r="33" spans="1:35" ht="12" customHeight="1" x14ac:dyDescent="0.2">
      <c r="A33" s="434">
        <f>A31+1</f>
        <v>15</v>
      </c>
      <c r="B33" s="174"/>
      <c r="C33" s="208" t="s">
        <v>102</v>
      </c>
      <c r="D33" s="277" t="str">
        <f ca="1">INDIRECT(IF(ADDRESS($A33+3,3,4,,"I1SA")="","",ADDRESS($A33+3,3,4,,"I1SA")))</f>
        <v/>
      </c>
      <c r="E33" s="278" t="str">
        <f ca="1">INDIRECT(IF(ADDRESS($A33+3,3,4,,"I2SA")="","",ADDRESS($A33+3,3,4,,"I2SA")))</f>
        <v/>
      </c>
      <c r="F33" s="278" t="str">
        <f ca="1">INDIRECT(IF(ADDRESS($A33+3,3,4,,"I3SA")="","",ADDRESS($A33+3,3,4,,"I3SA")))</f>
        <v/>
      </c>
      <c r="G33" s="279"/>
      <c r="H33" s="280"/>
      <c r="I33" s="281"/>
      <c r="J33" s="282"/>
      <c r="K33" s="280"/>
      <c r="L33" s="283"/>
      <c r="M33" s="102"/>
      <c r="N33" s="103" t="str">
        <f ca="1">IF(N34="","","")</f>
        <v/>
      </c>
      <c r="O33" s="287" t="str">
        <f ca="1">IF(OR(COUNT(D33:G33)*COUNT(D34:K34)&gt;0,AND($C$1="KA / mdl.",COUNT(D34:L34)&gt;0)),IF(O34&lt;1,0,ROUND(O34,0)),"")</f>
        <v/>
      </c>
      <c r="P33" s="285" t="str">
        <f ca="1">INDIRECT(IF(ADDRESS($A33+3,3,4,,"II1SA")="","",ADDRESS($A33+3,3,4,,"II1SA")))</f>
        <v/>
      </c>
      <c r="Q33" s="278" t="str">
        <f ca="1">INDIRECT(IF(ADDRESS($A33+3,3,4,,"II2SA")="","",ADDRESS($A33+3,3,4,,"II2SA")))</f>
        <v/>
      </c>
      <c r="R33" s="278" t="str">
        <f ca="1">INDIRECT(IF(ADDRESS($A33+3,3,4,,"II3SA")="","",ADDRESS($A33+3,3,4,,"II3SA")))</f>
        <v/>
      </c>
      <c r="S33" s="279"/>
      <c r="T33" s="278"/>
      <c r="U33" s="278"/>
      <c r="V33" s="278"/>
      <c r="W33" s="280"/>
      <c r="X33" s="283"/>
      <c r="Y33" s="413"/>
      <c r="Z33" s="414"/>
      <c r="AA33" s="27" t="str">
        <f ca="1">IF(OR(COUNT(P33:S33)*COUNT(P34:X34)&gt;0,AND($C$1="KA / mdl.",COUNT(P34:X34)&gt;0)),IF(AA34&lt;1,0,ROUND(AA34,0)),"")</f>
        <v/>
      </c>
      <c r="AB33" s="169"/>
      <c r="AC33" s="169"/>
      <c r="AD33" s="171"/>
      <c r="AE33" s="171"/>
      <c r="AF33" s="171"/>
      <c r="AG33" s="171"/>
      <c r="AH33" s="171"/>
      <c r="AI33" s="171"/>
    </row>
    <row r="34" spans="1:35" ht="12" customHeight="1" x14ac:dyDescent="0.2">
      <c r="A34" s="435"/>
      <c r="B34" s="175"/>
      <c r="C34" s="209" t="s">
        <v>103</v>
      </c>
      <c r="D34" s="31" t="str">
        <f ca="1">INDIRECT(IF(ADDRESS($A33+3,3,4,,"I1Ext")="","",ADDRESS($A33+3,3,4,,"I1Ext")))</f>
        <v/>
      </c>
      <c r="E34" s="31" t="str">
        <f ca="1">INDIRECT(IF(ADDRESS($A33+3,3,4,,"I2Ext")="","",ADDRESS($A33+3,3,4,,"I2Ext")))</f>
        <v/>
      </c>
      <c r="F34" s="31" t="str">
        <f ca="1">INDIRECT(IF(ADDRESS($A33+3,3,4,,"I3Ext")="","",ADDRESS($A33+3,3,4,,"I3Ext")))</f>
        <v/>
      </c>
      <c r="G34" s="31" t="str">
        <f ca="1">INDIRECT(IF(ADDRESS($A33+3,3,4,,"I4Ext")="","",ADDRESS($A33+3,3,4,,"I4Ext")))</f>
        <v/>
      </c>
      <c r="H34" s="22"/>
      <c r="I34" s="23"/>
      <c r="J34" s="24"/>
      <c r="K34" s="25"/>
      <c r="L34" s="25"/>
      <c r="M34" s="305" t="str">
        <f ca="1">IF(COUNT(D33:F33)=0,"",ROUND(NB!E33,2))</f>
        <v/>
      </c>
      <c r="N34" s="306" t="str">
        <f ca="1">IF(COUNT(D34:K34)=0,"",ROUND(NB!I33,2))</f>
        <v/>
      </c>
      <c r="O34" s="288" t="str">
        <f ca="1">IF(OR(COUNT(D33:G33)*COUNT(D34:K34)&gt;0,AND($C$1="KA / mdl.",COUNT(D34:L34)&gt;0)),ROUNDUP(NB!J33,2),"")</f>
        <v/>
      </c>
      <c r="P34" s="286" t="str">
        <f ca="1">INDIRECT(IF(ADDRESS($A33+3,3,4,,"II1Ext")="","",ADDRESS($A33+3,3,4,,"II1Ext")))</f>
        <v/>
      </c>
      <c r="Q34" s="31" t="str">
        <f ca="1">INDIRECT(IF(ADDRESS($A33+3,3,4,,"II2Ext")="","",ADDRESS($A33+3,3,4,,"II2Ext")))</f>
        <v/>
      </c>
      <c r="R34" s="31" t="str">
        <f ca="1">INDIRECT(IF(ADDRESS($A33+3,3,4,,"II3Ext")="","",ADDRESS($A33+3,3,4,,"II3Ext")))</f>
        <v/>
      </c>
      <c r="S34" s="31" t="str">
        <f ca="1">INDIRECT(IF(ADDRESS($A33+3,3,4,,"II4Ext")="","",ADDRESS($A33+3,3,4,,"II4Ext")))</f>
        <v/>
      </c>
      <c r="T34" s="22"/>
      <c r="U34" s="23"/>
      <c r="V34" s="24"/>
      <c r="W34" s="25"/>
      <c r="X34" s="276"/>
      <c r="Y34" s="303" t="str">
        <f ca="1">IF(COUNT(P33:R33)=0,"",ROUND(NB!M33,2))</f>
        <v/>
      </c>
      <c r="Z34" s="304" t="str">
        <f ca="1">IF(COUNT(P34:X34)=0,"",ROUND(NB!Q33,2))</f>
        <v/>
      </c>
      <c r="AA34" s="207" t="str">
        <f ca="1">IF(OR(COUNT(P33:S33)*COUNT(P34:X34)&gt;0,AND($C$1="KA / mdl.",COUNT(P34:X34)&gt;0)),ROUNDUP(NB!R33,2),"")</f>
        <v/>
      </c>
      <c r="AB34" s="2" t="str">
        <f t="shared" si="0"/>
        <v/>
      </c>
      <c r="AC34" s="169"/>
      <c r="AD34" s="171"/>
      <c r="AE34" s="171"/>
      <c r="AF34" s="171"/>
      <c r="AG34" s="171"/>
      <c r="AH34" s="171"/>
      <c r="AI34" s="171"/>
    </row>
    <row r="35" spans="1:35" ht="12" customHeight="1" x14ac:dyDescent="0.2">
      <c r="A35" s="434">
        <f>A33+1</f>
        <v>16</v>
      </c>
      <c r="B35" s="174"/>
      <c r="C35" s="208" t="s">
        <v>102</v>
      </c>
      <c r="D35" s="277" t="str">
        <f ca="1">INDIRECT(IF(ADDRESS($A35+3,3,4,,"I1SA")="","",ADDRESS($A35+3,3,4,,"I1SA")))</f>
        <v/>
      </c>
      <c r="E35" s="278" t="str">
        <f ca="1">INDIRECT(IF(ADDRESS($A35+3,3,4,,"I2SA")="","",ADDRESS($A35+3,3,4,,"I2SA")))</f>
        <v/>
      </c>
      <c r="F35" s="278" t="str">
        <f ca="1">INDIRECT(IF(ADDRESS($A35+3,3,4,,"I3SA")="","",ADDRESS($A35+3,3,4,,"I3SA")))</f>
        <v/>
      </c>
      <c r="G35" s="279"/>
      <c r="H35" s="280"/>
      <c r="I35" s="281"/>
      <c r="J35" s="282"/>
      <c r="K35" s="280"/>
      <c r="L35" s="283"/>
      <c r="M35" s="102"/>
      <c r="N35" s="103" t="str">
        <f ca="1">IF(N36="","","")</f>
        <v/>
      </c>
      <c r="O35" s="287" t="str">
        <f ca="1">IF(OR(COUNT(D35:G35)*COUNT(D36:K36)&gt;0,AND($C$1="KA / mdl.",COUNT(D36:L36)&gt;0)),IF(O36&lt;1,0,ROUND(O36,0)),"")</f>
        <v/>
      </c>
      <c r="P35" s="285" t="str">
        <f ca="1">INDIRECT(IF(ADDRESS($A35+3,3,4,,"II1SA")="","",ADDRESS($A35+3,3,4,,"II1SA")))</f>
        <v/>
      </c>
      <c r="Q35" s="278" t="str">
        <f ca="1">INDIRECT(IF(ADDRESS($A35+3,3,4,,"II2SA")="","",ADDRESS($A35+3,3,4,,"II2SA")))</f>
        <v/>
      </c>
      <c r="R35" s="278" t="str">
        <f ca="1">INDIRECT(IF(ADDRESS($A35+3,3,4,,"II3SA")="","",ADDRESS($A35+3,3,4,,"II3SA")))</f>
        <v/>
      </c>
      <c r="S35" s="279"/>
      <c r="T35" s="278"/>
      <c r="U35" s="278"/>
      <c r="V35" s="278"/>
      <c r="W35" s="280"/>
      <c r="X35" s="283"/>
      <c r="Y35" s="413"/>
      <c r="Z35" s="414"/>
      <c r="AA35" s="27" t="str">
        <f ca="1">IF(OR(COUNT(P35:S35)*COUNT(P36:X36)&gt;0,AND($C$1="KA / mdl.",COUNT(P36:X36)&gt;0)),IF(AA36&lt;1,0,ROUND(AA36,0)),"")</f>
        <v/>
      </c>
      <c r="AB35" s="169"/>
      <c r="AC35" s="169"/>
      <c r="AD35" s="171"/>
      <c r="AE35" s="171"/>
      <c r="AF35" s="171"/>
      <c r="AG35" s="171"/>
      <c r="AH35" s="171"/>
      <c r="AI35" s="171"/>
    </row>
    <row r="36" spans="1:35" ht="12" customHeight="1" x14ac:dyDescent="0.2">
      <c r="A36" s="435"/>
      <c r="B36" s="175"/>
      <c r="C36" s="209" t="s">
        <v>103</v>
      </c>
      <c r="D36" s="31" t="str">
        <f ca="1">INDIRECT(IF(ADDRESS($A35+3,3,4,,"I1Ext")="","",ADDRESS($A35+3,3,4,,"I1Ext")))</f>
        <v/>
      </c>
      <c r="E36" s="31" t="str">
        <f ca="1">INDIRECT(IF(ADDRESS($A35+3,3,4,,"I2Ext")="","",ADDRESS($A35+3,3,4,,"I2Ext")))</f>
        <v/>
      </c>
      <c r="F36" s="31" t="str">
        <f ca="1">INDIRECT(IF(ADDRESS($A35+3,3,4,,"I3Ext")="","",ADDRESS($A35+3,3,4,,"I3Ext")))</f>
        <v/>
      </c>
      <c r="G36" s="31" t="str">
        <f ca="1">INDIRECT(IF(ADDRESS($A35+3,3,4,,"I4Ext")="","",ADDRESS($A35+3,3,4,,"I4Ext")))</f>
        <v/>
      </c>
      <c r="H36" s="22"/>
      <c r="I36" s="23"/>
      <c r="J36" s="24"/>
      <c r="K36" s="25"/>
      <c r="L36" s="25"/>
      <c r="M36" s="305" t="str">
        <f ca="1">IF(COUNT(D35:F35)=0,"",ROUND(NB!E35,2))</f>
        <v/>
      </c>
      <c r="N36" s="306" t="str">
        <f ca="1">IF(COUNT(D36:K36)=0,"",ROUND(NB!I35,2))</f>
        <v/>
      </c>
      <c r="O36" s="288" t="str">
        <f ca="1">IF(OR(COUNT(D35:G35)*COUNT(D36:K36)&gt;0,AND($C$1="KA / mdl.",COUNT(D36:L36)&gt;0)),ROUNDUP(NB!J35,2),"")</f>
        <v/>
      </c>
      <c r="P36" s="286" t="str">
        <f ca="1">INDIRECT(IF(ADDRESS($A35+3,3,4,,"II1Ext")="","",ADDRESS($A35+3,3,4,,"II1Ext")))</f>
        <v/>
      </c>
      <c r="Q36" s="31" t="str">
        <f ca="1">INDIRECT(IF(ADDRESS($A35+3,3,4,,"II2Ext")="","",ADDRESS($A35+3,3,4,,"II2Ext")))</f>
        <v/>
      </c>
      <c r="R36" s="31" t="str">
        <f ca="1">INDIRECT(IF(ADDRESS($A35+3,3,4,,"II3Ext")="","",ADDRESS($A35+3,3,4,,"II3Ext")))</f>
        <v/>
      </c>
      <c r="S36" s="31" t="str">
        <f ca="1">INDIRECT(IF(ADDRESS($A35+3,3,4,,"II4Ext")="","",ADDRESS($A35+3,3,4,,"II4Ext")))</f>
        <v/>
      </c>
      <c r="T36" s="22"/>
      <c r="U36" s="23"/>
      <c r="V36" s="24"/>
      <c r="W36" s="25"/>
      <c r="X36" s="276"/>
      <c r="Y36" s="303" t="str">
        <f ca="1">IF(COUNT(P35:R35)=0,"",ROUND(NB!M35,2))</f>
        <v/>
      </c>
      <c r="Z36" s="304" t="str">
        <f ca="1">IF(COUNT(P36:X36)=0,"",ROUND(NB!Q35,2))</f>
        <v/>
      </c>
      <c r="AA36" s="207" t="str">
        <f ca="1">IF(OR(COUNT(P35:S35)*COUNT(P36:X36)&gt;0,AND($C$1="KA / mdl.",COUNT(P36:X36)&gt;0)),ROUNDUP(NB!R35,2),"")</f>
        <v/>
      </c>
      <c r="AB36" s="2" t="str">
        <f t="shared" si="0"/>
        <v/>
      </c>
    </row>
    <row r="37" spans="1:35" ht="12" customHeight="1" x14ac:dyDescent="0.2">
      <c r="A37" s="434">
        <f>A35+1</f>
        <v>17</v>
      </c>
      <c r="B37" s="174"/>
      <c r="C37" s="208" t="s">
        <v>102</v>
      </c>
      <c r="D37" s="277" t="str">
        <f ca="1">INDIRECT(IF(ADDRESS($A37+3,3,4,,"I1SA")="","",ADDRESS($A37+3,3,4,,"I1SA")))</f>
        <v/>
      </c>
      <c r="E37" s="278" t="str">
        <f ca="1">INDIRECT(IF(ADDRESS($A37+3,3,4,,"I2SA")="","",ADDRESS($A37+3,3,4,,"I2SA")))</f>
        <v/>
      </c>
      <c r="F37" s="278" t="str">
        <f ca="1">INDIRECT(IF(ADDRESS($A37+3,3,4,,"I3SA")="","",ADDRESS($A37+3,3,4,,"I3SA")))</f>
        <v/>
      </c>
      <c r="G37" s="279"/>
      <c r="H37" s="280"/>
      <c r="I37" s="281"/>
      <c r="J37" s="282"/>
      <c r="K37" s="280"/>
      <c r="L37" s="283"/>
      <c r="M37" s="102"/>
      <c r="N37" s="103" t="str">
        <f ca="1">IF(N38="","","")</f>
        <v/>
      </c>
      <c r="O37" s="287" t="str">
        <f ca="1">IF(OR(COUNT(D37:G37)*COUNT(D38:K38)&gt;0,AND($C$1="KA / mdl.",COUNT(D38:L38)&gt;0)),IF(O38&lt;1,0,ROUND(O38,0)),"")</f>
        <v/>
      </c>
      <c r="P37" s="285" t="str">
        <f ca="1">INDIRECT(IF(ADDRESS($A37+3,3,4,,"II1SA")="","",ADDRESS($A37+3,3,4,,"II1SA")))</f>
        <v/>
      </c>
      <c r="Q37" s="278" t="str">
        <f ca="1">INDIRECT(IF(ADDRESS($A37+3,3,4,,"II2SA")="","",ADDRESS($A37+3,3,4,,"II2SA")))</f>
        <v/>
      </c>
      <c r="R37" s="278" t="str">
        <f ca="1">INDIRECT(IF(ADDRESS($A37+3,3,4,,"II3SA")="","",ADDRESS($A37+3,3,4,,"II3SA")))</f>
        <v/>
      </c>
      <c r="S37" s="279"/>
      <c r="T37" s="278"/>
      <c r="U37" s="278"/>
      <c r="V37" s="278"/>
      <c r="W37" s="280"/>
      <c r="X37" s="283"/>
      <c r="Y37" s="413"/>
      <c r="Z37" s="414"/>
      <c r="AA37" s="27" t="str">
        <f ca="1">IF(OR(COUNT(P37:S37)*COUNT(P38:X38)&gt;0,AND($C$1="KA / mdl.",COUNT(P38:X38)&gt;0)),IF(AA38&lt;1,0,ROUND(AA38,0)),"")</f>
        <v/>
      </c>
      <c r="AB37" s="169"/>
    </row>
    <row r="38" spans="1:35" ht="12" customHeight="1" x14ac:dyDescent="0.2">
      <c r="A38" s="435"/>
      <c r="B38" s="175"/>
      <c r="C38" s="209" t="s">
        <v>103</v>
      </c>
      <c r="D38" s="31" t="str">
        <f ca="1">INDIRECT(IF(ADDRESS($A37+3,3,4,,"I1Ext")="","",ADDRESS($A37+3,3,4,,"I1Ext")))</f>
        <v/>
      </c>
      <c r="E38" s="31" t="str">
        <f ca="1">INDIRECT(IF(ADDRESS($A37+3,3,4,,"I2Ext")="","",ADDRESS($A37+3,3,4,,"I2Ext")))</f>
        <v/>
      </c>
      <c r="F38" s="31" t="str">
        <f ca="1">INDIRECT(IF(ADDRESS($A37+3,3,4,,"I3Ext")="","",ADDRESS($A37+3,3,4,,"I3Ext")))</f>
        <v/>
      </c>
      <c r="G38" s="31" t="str">
        <f ca="1">INDIRECT(IF(ADDRESS($A37+3,3,4,,"I4Ext")="","",ADDRESS($A37+3,3,4,,"I4Ext")))</f>
        <v/>
      </c>
      <c r="H38" s="22"/>
      <c r="I38" s="23"/>
      <c r="J38" s="24"/>
      <c r="K38" s="25"/>
      <c r="L38" s="25"/>
      <c r="M38" s="305" t="str">
        <f ca="1">IF(COUNT(D37:F37)=0,"",ROUND(NB!E37,2))</f>
        <v/>
      </c>
      <c r="N38" s="306" t="str">
        <f ca="1">IF(COUNT(D38:K38)=0,"",ROUND(NB!I37,2))</f>
        <v/>
      </c>
      <c r="O38" s="288" t="str">
        <f ca="1">IF(OR(COUNT(D37:G37)*COUNT(D38:K38)&gt;0,AND($C$1="KA / mdl.",COUNT(D38:L38)&gt;0)),ROUNDUP(NB!J37,2),"")</f>
        <v/>
      </c>
      <c r="P38" s="286" t="str">
        <f ca="1">INDIRECT(IF(ADDRESS($A37+3,3,4,,"II1Ext")="","",ADDRESS($A37+3,3,4,,"II1Ext")))</f>
        <v/>
      </c>
      <c r="Q38" s="31" t="str">
        <f ca="1">INDIRECT(IF(ADDRESS($A37+3,3,4,,"II2Ext")="","",ADDRESS($A37+3,3,4,,"II2Ext")))</f>
        <v/>
      </c>
      <c r="R38" s="31" t="str">
        <f ca="1">INDIRECT(IF(ADDRESS($A37+3,3,4,,"II3Ext")="","",ADDRESS($A37+3,3,4,,"II3Ext")))</f>
        <v/>
      </c>
      <c r="S38" s="31" t="str">
        <f ca="1">INDIRECT(IF(ADDRESS($A37+3,3,4,,"II4Ext")="","",ADDRESS($A37+3,3,4,,"II4Ext")))</f>
        <v/>
      </c>
      <c r="T38" s="22"/>
      <c r="U38" s="23"/>
      <c r="V38" s="24"/>
      <c r="W38" s="25"/>
      <c r="X38" s="276"/>
      <c r="Y38" s="303" t="str">
        <f ca="1">IF(COUNT(P37:R37)=0,"",ROUND(NB!M37,2))</f>
        <v/>
      </c>
      <c r="Z38" s="304" t="str">
        <f ca="1">IF(COUNT(P38:X38)=0,"",ROUND(NB!Q37,2))</f>
        <v/>
      </c>
      <c r="AA38" s="207" t="str">
        <f ca="1">IF(OR(COUNT(P37:S37)*COUNT(P38:X38)&gt;0,AND($C$1="KA / mdl.",COUNT(P38:X38)&gt;0)),ROUNDUP(NB!R37,2),"")</f>
        <v/>
      </c>
      <c r="AB38" s="2" t="str">
        <f t="shared" si="0"/>
        <v/>
      </c>
    </row>
    <row r="39" spans="1:35" ht="12" customHeight="1" x14ac:dyDescent="0.2">
      <c r="A39" s="434">
        <f>A37+1</f>
        <v>18</v>
      </c>
      <c r="B39" s="174"/>
      <c r="C39" s="208" t="s">
        <v>102</v>
      </c>
      <c r="D39" s="277" t="str">
        <f ca="1">INDIRECT(IF(ADDRESS($A39+3,3,4,,"I1SA")="","",ADDRESS($A39+3,3,4,,"I1SA")))</f>
        <v/>
      </c>
      <c r="E39" s="278" t="str">
        <f ca="1">INDIRECT(IF(ADDRESS($A39+3,3,4,,"I2SA")="","",ADDRESS($A39+3,3,4,,"I2SA")))</f>
        <v/>
      </c>
      <c r="F39" s="278" t="str">
        <f ca="1">INDIRECT(IF(ADDRESS($A39+3,3,4,,"I3SA")="","",ADDRESS($A39+3,3,4,,"I3SA")))</f>
        <v/>
      </c>
      <c r="G39" s="279"/>
      <c r="H39" s="280"/>
      <c r="I39" s="281"/>
      <c r="J39" s="282"/>
      <c r="K39" s="280"/>
      <c r="L39" s="283"/>
      <c r="M39" s="102"/>
      <c r="N39" s="103" t="str">
        <f ca="1">IF(N40="","","")</f>
        <v/>
      </c>
      <c r="O39" s="287" t="str">
        <f ca="1">IF(OR(COUNT(D39:G39)*COUNT(D40:K40)&gt;0,AND($C$1="KA / mdl.",COUNT(D40:L40)&gt;0)),IF(O40&lt;1,0,ROUND(O40,0)),"")</f>
        <v/>
      </c>
      <c r="P39" s="285" t="str">
        <f ca="1">INDIRECT(IF(ADDRESS($A39+3,3,4,,"II1SA")="","",ADDRESS($A39+3,3,4,,"II1SA")))</f>
        <v/>
      </c>
      <c r="Q39" s="278" t="str">
        <f ca="1">INDIRECT(IF(ADDRESS($A39+3,3,4,,"II2SA")="","",ADDRESS($A39+3,3,4,,"II2SA")))</f>
        <v/>
      </c>
      <c r="R39" s="278" t="str">
        <f ca="1">INDIRECT(IF(ADDRESS($A39+3,3,4,,"II3SA")="","",ADDRESS($A39+3,3,4,,"II3SA")))</f>
        <v/>
      </c>
      <c r="S39" s="279"/>
      <c r="T39" s="278"/>
      <c r="U39" s="278"/>
      <c r="V39" s="278"/>
      <c r="W39" s="280"/>
      <c r="X39" s="283"/>
      <c r="Y39" s="413"/>
      <c r="Z39" s="414"/>
      <c r="AA39" s="27" t="str">
        <f ca="1">IF(OR(COUNT(P39:S39)*COUNT(P40:X40)&gt;0,AND($C$1="KA / mdl.",COUNT(P40:X40)&gt;0)),IF(AA40&lt;1,0,ROUND(AA40,0)),"")</f>
        <v/>
      </c>
      <c r="AB39" s="169"/>
    </row>
    <row r="40" spans="1:35" ht="12" customHeight="1" x14ac:dyDescent="0.2">
      <c r="A40" s="435"/>
      <c r="B40" s="175"/>
      <c r="C40" s="209" t="s">
        <v>103</v>
      </c>
      <c r="D40" s="31" t="str">
        <f ca="1">INDIRECT(IF(ADDRESS($A39+3,3,4,,"I1Ext")="","",ADDRESS($A39+3,3,4,,"I1Ext")))</f>
        <v/>
      </c>
      <c r="E40" s="31" t="str">
        <f ca="1">INDIRECT(IF(ADDRESS($A39+3,3,4,,"I2Ext")="","",ADDRESS($A39+3,3,4,,"I2Ext")))</f>
        <v/>
      </c>
      <c r="F40" s="31" t="str">
        <f ca="1">INDIRECT(IF(ADDRESS($A39+3,3,4,,"I3Ext")="","",ADDRESS($A39+3,3,4,,"I3Ext")))</f>
        <v/>
      </c>
      <c r="G40" s="31" t="str">
        <f ca="1">INDIRECT(IF(ADDRESS($A39+3,3,4,,"I4Ext")="","",ADDRESS($A39+3,3,4,,"I4Ext")))</f>
        <v/>
      </c>
      <c r="H40" s="22"/>
      <c r="I40" s="23"/>
      <c r="J40" s="24"/>
      <c r="K40" s="25"/>
      <c r="L40" s="25"/>
      <c r="M40" s="305" t="str">
        <f ca="1">IF(COUNT(D39:F39)=0,"",ROUND(NB!E39,2))</f>
        <v/>
      </c>
      <c r="N40" s="306" t="str">
        <f ca="1">IF(COUNT(D40:K40)=0,"",ROUND(NB!I39,2))</f>
        <v/>
      </c>
      <c r="O40" s="288" t="str">
        <f ca="1">IF(OR(COUNT(D39:G39)*COUNT(D40:K40)&gt;0,AND($C$1="KA / mdl.",COUNT(D40:L40)&gt;0)),ROUNDUP(NB!J39,2),"")</f>
        <v/>
      </c>
      <c r="P40" s="286" t="str">
        <f ca="1">INDIRECT(IF(ADDRESS($A39+3,3,4,,"II1Ext")="","",ADDRESS($A39+3,3,4,,"II1Ext")))</f>
        <v/>
      </c>
      <c r="Q40" s="31" t="str">
        <f ca="1">INDIRECT(IF(ADDRESS($A39+3,3,4,,"II2Ext")="","",ADDRESS($A39+3,3,4,,"II2Ext")))</f>
        <v/>
      </c>
      <c r="R40" s="31" t="str">
        <f ca="1">INDIRECT(IF(ADDRESS($A39+3,3,4,,"II3Ext")="","",ADDRESS($A39+3,3,4,,"II3Ext")))</f>
        <v/>
      </c>
      <c r="S40" s="31" t="str">
        <f ca="1">INDIRECT(IF(ADDRESS($A39+3,3,4,,"II4Ext")="","",ADDRESS($A39+3,3,4,,"II4Ext")))</f>
        <v/>
      </c>
      <c r="T40" s="22"/>
      <c r="U40" s="23"/>
      <c r="V40" s="24"/>
      <c r="W40" s="25"/>
      <c r="X40" s="276"/>
      <c r="Y40" s="303" t="str">
        <f ca="1">IF(COUNT(P39:R39)=0,"",ROUND(NB!M39,2))</f>
        <v/>
      </c>
      <c r="Z40" s="304" t="str">
        <f ca="1">IF(COUNT(P40:X40)=0,"",ROUND(NB!Q39,2))</f>
        <v/>
      </c>
      <c r="AA40" s="207" t="str">
        <f ca="1">IF(OR(COUNT(P39:S39)*COUNT(P40:X40)&gt;0,AND($C$1="KA / mdl.",COUNT(P40:X40)&gt;0)),ROUNDUP(NB!R39,2),"")</f>
        <v/>
      </c>
      <c r="AB40" s="2" t="str">
        <f t="shared" si="0"/>
        <v/>
      </c>
    </row>
    <row r="41" spans="1:35" ht="12" customHeight="1" x14ac:dyDescent="0.2">
      <c r="A41" s="434">
        <f>A39+1</f>
        <v>19</v>
      </c>
      <c r="B41" s="174"/>
      <c r="C41" s="208" t="s">
        <v>102</v>
      </c>
      <c r="D41" s="277" t="str">
        <f ca="1">INDIRECT(IF(ADDRESS($A41+3,3,4,,"I1SA")="","",ADDRESS($A41+3,3,4,,"I1SA")))</f>
        <v/>
      </c>
      <c r="E41" s="278" t="str">
        <f ca="1">INDIRECT(IF(ADDRESS($A41+3,3,4,,"I2SA")="","",ADDRESS($A41+3,3,4,,"I2SA")))</f>
        <v/>
      </c>
      <c r="F41" s="278" t="str">
        <f ca="1">INDIRECT(IF(ADDRESS($A41+3,3,4,,"I3SA")="","",ADDRESS($A41+3,3,4,,"I3SA")))</f>
        <v/>
      </c>
      <c r="G41" s="279"/>
      <c r="H41" s="280"/>
      <c r="I41" s="281"/>
      <c r="J41" s="282"/>
      <c r="K41" s="280"/>
      <c r="L41" s="283"/>
      <c r="M41" s="102"/>
      <c r="N41" s="103" t="str">
        <f ca="1">IF(N42="","","")</f>
        <v/>
      </c>
      <c r="O41" s="287" t="str">
        <f ca="1">IF(OR(COUNT(D41:G41)*COUNT(D42:K42)&gt;0,AND($C$1="KA / mdl.",COUNT(D42:L42)&gt;0)),IF(O42&lt;1,0,ROUND(O42,0)),"")</f>
        <v/>
      </c>
      <c r="P41" s="285" t="str">
        <f ca="1">INDIRECT(IF(ADDRESS($A41+3,3,4,,"II1SA")="","",ADDRESS($A41+3,3,4,,"II1SA")))</f>
        <v/>
      </c>
      <c r="Q41" s="278" t="str">
        <f ca="1">INDIRECT(IF(ADDRESS($A41+3,3,4,,"II2SA")="","",ADDRESS($A41+3,3,4,,"II2SA")))</f>
        <v/>
      </c>
      <c r="R41" s="278" t="str">
        <f ca="1">INDIRECT(IF(ADDRESS($A41+3,3,4,,"II3SA")="","",ADDRESS($A41+3,3,4,,"II3SA")))</f>
        <v/>
      </c>
      <c r="S41" s="279"/>
      <c r="T41" s="278"/>
      <c r="U41" s="278"/>
      <c r="V41" s="278"/>
      <c r="W41" s="280"/>
      <c r="X41" s="283"/>
      <c r="Y41" s="413"/>
      <c r="Z41" s="414"/>
      <c r="AA41" s="27" t="str">
        <f ca="1">IF(OR(COUNT(P41:S41)*COUNT(P42:X42)&gt;0,AND($C$1="KA / mdl.",COUNT(P42:X42)&gt;0)),IF(AA42&lt;1,0,ROUND(AA42,0)),"")</f>
        <v/>
      </c>
      <c r="AB41" s="169"/>
    </row>
    <row r="42" spans="1:35" ht="12" customHeight="1" x14ac:dyDescent="0.2">
      <c r="A42" s="435"/>
      <c r="B42" s="175"/>
      <c r="C42" s="209" t="s">
        <v>103</v>
      </c>
      <c r="D42" s="31" t="str">
        <f ca="1">INDIRECT(IF(ADDRESS($A41+3,3,4,,"I1Ext")="","",ADDRESS($A41+3,3,4,,"I1Ext")))</f>
        <v/>
      </c>
      <c r="E42" s="31" t="str">
        <f ca="1">INDIRECT(IF(ADDRESS($A41+3,3,4,,"I2Ext")="","",ADDRESS($A41+3,3,4,,"I2Ext")))</f>
        <v/>
      </c>
      <c r="F42" s="31" t="str">
        <f ca="1">INDIRECT(IF(ADDRESS($A41+3,3,4,,"I3Ext")="","",ADDRESS($A41+3,3,4,,"I3Ext")))</f>
        <v/>
      </c>
      <c r="G42" s="31" t="str">
        <f ca="1">INDIRECT(IF(ADDRESS($A41+3,3,4,,"I4Ext")="","",ADDRESS($A41+3,3,4,,"I4Ext")))</f>
        <v/>
      </c>
      <c r="H42" s="22"/>
      <c r="I42" s="23"/>
      <c r="J42" s="24"/>
      <c r="K42" s="25"/>
      <c r="L42" s="25"/>
      <c r="M42" s="305" t="str">
        <f ca="1">IF(COUNT(D41:F41)=0,"",ROUND(NB!E41,2))</f>
        <v/>
      </c>
      <c r="N42" s="306" t="str">
        <f ca="1">IF(COUNT(D42:K42)=0,"",ROUND(NB!I41,2))</f>
        <v/>
      </c>
      <c r="O42" s="288" t="str">
        <f ca="1">IF(OR(COUNT(D41:G41)*COUNT(D42:K42)&gt;0,AND($C$1="KA / mdl.",COUNT(D42:L42)&gt;0)),ROUNDUP(NB!J41,2),"")</f>
        <v/>
      </c>
      <c r="P42" s="286" t="str">
        <f ca="1">INDIRECT(IF(ADDRESS($A41+3,3,4,,"II1Ext")="","",ADDRESS($A41+3,3,4,,"II1Ext")))</f>
        <v/>
      </c>
      <c r="Q42" s="31" t="str">
        <f ca="1">INDIRECT(IF(ADDRESS($A41+3,3,4,,"II2Ext")="","",ADDRESS($A41+3,3,4,,"II2Ext")))</f>
        <v/>
      </c>
      <c r="R42" s="31" t="str">
        <f ca="1">INDIRECT(IF(ADDRESS($A41+3,3,4,,"II3Ext")="","",ADDRESS($A41+3,3,4,,"II3Ext")))</f>
        <v/>
      </c>
      <c r="S42" s="31" t="str">
        <f ca="1">INDIRECT(IF(ADDRESS($A41+3,3,4,,"II4Ext")="","",ADDRESS($A41+3,3,4,,"II4Ext")))</f>
        <v/>
      </c>
      <c r="T42" s="22"/>
      <c r="U42" s="23"/>
      <c r="V42" s="24"/>
      <c r="W42" s="25"/>
      <c r="X42" s="276"/>
      <c r="Y42" s="303" t="str">
        <f ca="1">IF(COUNT(P41:R41)=0,"",ROUND(NB!M41,2))</f>
        <v/>
      </c>
      <c r="Z42" s="304" t="str">
        <f ca="1">IF(COUNT(P42:X42)=0,"",ROUND(NB!Q41,2))</f>
        <v/>
      </c>
      <c r="AA42" s="207" t="str">
        <f ca="1">IF(OR(COUNT(P41:S41)*COUNT(P42:X42)&gt;0,AND($C$1="KA / mdl.",COUNT(P42:X42)&gt;0)),ROUNDUP(NB!R41,2),"")</f>
        <v/>
      </c>
      <c r="AB42" s="2" t="str">
        <f t="shared" si="0"/>
        <v/>
      </c>
    </row>
    <row r="43" spans="1:35" ht="12" customHeight="1" x14ac:dyDescent="0.2">
      <c r="A43" s="434">
        <f>A41+1</f>
        <v>20</v>
      </c>
      <c r="B43" s="174"/>
      <c r="C43" s="208" t="s">
        <v>102</v>
      </c>
      <c r="D43" s="277" t="str">
        <f ca="1">INDIRECT(IF(ADDRESS($A43+3,3,4,,"I1SA")="","",ADDRESS($A43+3,3,4,,"I1SA")))</f>
        <v/>
      </c>
      <c r="E43" s="278" t="str">
        <f ca="1">INDIRECT(IF(ADDRESS($A43+3,3,4,,"I2SA")="","",ADDRESS($A43+3,3,4,,"I2SA")))</f>
        <v/>
      </c>
      <c r="F43" s="278" t="str">
        <f ca="1">INDIRECT(IF(ADDRESS($A43+3,3,4,,"I3SA")="","",ADDRESS($A43+3,3,4,,"I3SA")))</f>
        <v/>
      </c>
      <c r="G43" s="279"/>
      <c r="H43" s="280"/>
      <c r="I43" s="281"/>
      <c r="J43" s="282"/>
      <c r="K43" s="280"/>
      <c r="L43" s="283"/>
      <c r="M43" s="102"/>
      <c r="N43" s="103" t="str">
        <f ca="1">IF(N44="","","")</f>
        <v/>
      </c>
      <c r="O43" s="287" t="str">
        <f ca="1">IF(OR(COUNT(D43:G43)*COUNT(D44:K44)&gt;0,AND($C$1="KA / mdl.",COUNT(D44:L44)&gt;0)),IF(O44&lt;1,0,ROUND(O44,0)),"")</f>
        <v/>
      </c>
      <c r="P43" s="285" t="str">
        <f ca="1">INDIRECT(IF(ADDRESS($A43+3,3,4,,"II1SA")="","",ADDRESS($A43+3,3,4,,"II1SA")))</f>
        <v/>
      </c>
      <c r="Q43" s="278" t="str">
        <f ca="1">INDIRECT(IF(ADDRESS($A43+3,3,4,,"II2SA")="","",ADDRESS($A43+3,3,4,,"II2SA")))</f>
        <v/>
      </c>
      <c r="R43" s="278" t="str">
        <f ca="1">INDIRECT(IF(ADDRESS($A43+3,3,4,,"II3SA")="","",ADDRESS($A43+3,3,4,,"II3SA")))</f>
        <v/>
      </c>
      <c r="S43" s="279"/>
      <c r="T43" s="278"/>
      <c r="U43" s="278"/>
      <c r="V43" s="278"/>
      <c r="W43" s="280"/>
      <c r="X43" s="283"/>
      <c r="Y43" s="413"/>
      <c r="Z43" s="414"/>
      <c r="AA43" s="27" t="str">
        <f ca="1">IF(OR(COUNT(P43:S43)*COUNT(P44:X44)&gt;0,AND($C$1="KA / mdl.",COUNT(P44:X44)&gt;0)),IF(AA44&lt;1,0,ROUND(AA44,0)),"")</f>
        <v/>
      </c>
      <c r="AB43" s="169"/>
    </row>
    <row r="44" spans="1:35" ht="12" customHeight="1" x14ac:dyDescent="0.2">
      <c r="A44" s="435"/>
      <c r="B44" s="175"/>
      <c r="C44" s="209" t="s">
        <v>103</v>
      </c>
      <c r="D44" s="31" t="str">
        <f ca="1">INDIRECT(IF(ADDRESS($A43+3,3,4,,"I1Ext")="","",ADDRESS($A43+3,3,4,,"I1Ext")))</f>
        <v/>
      </c>
      <c r="E44" s="31" t="str">
        <f ca="1">INDIRECT(IF(ADDRESS($A43+3,3,4,,"I2Ext")="","",ADDRESS($A43+3,3,4,,"I2Ext")))</f>
        <v/>
      </c>
      <c r="F44" s="31" t="str">
        <f ca="1">INDIRECT(IF(ADDRESS($A43+3,3,4,,"I3Ext")="","",ADDRESS($A43+3,3,4,,"I3Ext")))</f>
        <v/>
      </c>
      <c r="G44" s="31" t="str">
        <f ca="1">INDIRECT(IF(ADDRESS($A43+3,3,4,,"I4Ext")="","",ADDRESS($A43+3,3,4,,"I4Ext")))</f>
        <v/>
      </c>
      <c r="H44" s="22"/>
      <c r="I44" s="23"/>
      <c r="J44" s="24"/>
      <c r="K44" s="25"/>
      <c r="L44" s="25"/>
      <c r="M44" s="305" t="str">
        <f ca="1">IF(COUNT(D43:F43)=0,"",ROUND(NB!E43,2))</f>
        <v/>
      </c>
      <c r="N44" s="306" t="str">
        <f ca="1">IF(COUNT(D44:K44)=0,"",ROUND(NB!I43,2))</f>
        <v/>
      </c>
      <c r="O44" s="288" t="str">
        <f ca="1">IF(OR(COUNT(D43:G43)*COUNT(D44:K44)&gt;0,AND($C$1="KA / mdl.",COUNT(D44:L44)&gt;0)),ROUNDUP(NB!J43,2),"")</f>
        <v/>
      </c>
      <c r="P44" s="286" t="str">
        <f ca="1">INDIRECT(IF(ADDRESS($A43+3,3,4,,"II1Ext")="","",ADDRESS($A43+3,3,4,,"II1Ext")))</f>
        <v/>
      </c>
      <c r="Q44" s="31" t="str">
        <f ca="1">INDIRECT(IF(ADDRESS($A43+3,3,4,,"II2Ext")="","",ADDRESS($A43+3,3,4,,"II2Ext")))</f>
        <v/>
      </c>
      <c r="R44" s="31" t="str">
        <f ca="1">INDIRECT(IF(ADDRESS($A43+3,3,4,,"II3Ext")="","",ADDRESS($A43+3,3,4,,"II3Ext")))</f>
        <v/>
      </c>
      <c r="S44" s="31" t="str">
        <f ca="1">INDIRECT(IF(ADDRESS($A43+3,3,4,,"II4Ext")="","",ADDRESS($A43+3,3,4,,"II4Ext")))</f>
        <v/>
      </c>
      <c r="T44" s="22"/>
      <c r="U44" s="23"/>
      <c r="V44" s="24"/>
      <c r="W44" s="25"/>
      <c r="X44" s="276"/>
      <c r="Y44" s="303" t="str">
        <f ca="1">IF(COUNT(P43:R43)=0,"",ROUND(NB!M43,2))</f>
        <v/>
      </c>
      <c r="Z44" s="304" t="str">
        <f ca="1">IF(COUNT(P44:X44)=0,"",ROUND(NB!Q43,2))</f>
        <v/>
      </c>
      <c r="AA44" s="207" t="str">
        <f ca="1">IF(OR(COUNT(P43:S43)*COUNT(P44:X44)&gt;0,AND($C$1="KA / mdl.",COUNT(P44:X44)&gt;0)),ROUNDUP(NB!R43,2),"")</f>
        <v/>
      </c>
      <c r="AB44" s="2" t="str">
        <f t="shared" si="0"/>
        <v/>
      </c>
    </row>
    <row r="45" spans="1:35" ht="12" customHeight="1" x14ac:dyDescent="0.2">
      <c r="A45" s="434">
        <f>A43+1</f>
        <v>21</v>
      </c>
      <c r="B45" s="174"/>
      <c r="C45" s="208" t="s">
        <v>102</v>
      </c>
      <c r="D45" s="277" t="str">
        <f ca="1">INDIRECT(IF(ADDRESS($A45+3,3,4,,"I1SA")="","",ADDRESS($A45+3,3,4,,"I1SA")))</f>
        <v/>
      </c>
      <c r="E45" s="278" t="str">
        <f ca="1">INDIRECT(IF(ADDRESS($A45+3,3,4,,"I2SA")="","",ADDRESS($A45+3,3,4,,"I2SA")))</f>
        <v/>
      </c>
      <c r="F45" s="278" t="str">
        <f ca="1">INDIRECT(IF(ADDRESS($A45+3,3,4,,"I3SA")="","",ADDRESS($A45+3,3,4,,"I3SA")))</f>
        <v/>
      </c>
      <c r="G45" s="279"/>
      <c r="H45" s="280"/>
      <c r="I45" s="281"/>
      <c r="J45" s="282"/>
      <c r="K45" s="280"/>
      <c r="L45" s="283"/>
      <c r="M45" s="102"/>
      <c r="N45" s="103" t="str">
        <f ca="1">IF(N46="","","")</f>
        <v/>
      </c>
      <c r="O45" s="287" t="str">
        <f ca="1">IF(OR(COUNT(D45:G45)*COUNT(D46:K46)&gt;0,AND($C$1="KA / mdl.",COUNT(D46:L46)&gt;0)),IF(O46&lt;1,0,ROUND(O46,0)),"")</f>
        <v/>
      </c>
      <c r="P45" s="285" t="str">
        <f ca="1">INDIRECT(IF(ADDRESS($A45+3,3,4,,"II1SA")="","",ADDRESS($A45+3,3,4,,"II1SA")))</f>
        <v/>
      </c>
      <c r="Q45" s="278" t="str">
        <f ca="1">INDIRECT(IF(ADDRESS($A45+3,3,4,,"II2SA")="","",ADDRESS($A45+3,3,4,,"II2SA")))</f>
        <v/>
      </c>
      <c r="R45" s="278" t="str">
        <f ca="1">INDIRECT(IF(ADDRESS($A45+3,3,4,,"II3SA")="","",ADDRESS($A45+3,3,4,,"II3SA")))</f>
        <v/>
      </c>
      <c r="S45" s="279"/>
      <c r="T45" s="278"/>
      <c r="U45" s="278"/>
      <c r="V45" s="278"/>
      <c r="W45" s="280"/>
      <c r="X45" s="283"/>
      <c r="Y45" s="413"/>
      <c r="Z45" s="414"/>
      <c r="AA45" s="27" t="str">
        <f ca="1">IF(OR(COUNT(P45:S45)*COUNT(P46:X46)&gt;0,AND($C$1="KA / mdl.",COUNT(P46:X46)&gt;0)),IF(AA46&lt;1,0,ROUND(AA46,0)),"")</f>
        <v/>
      </c>
      <c r="AB45" s="169"/>
    </row>
    <row r="46" spans="1:35" ht="12" customHeight="1" x14ac:dyDescent="0.2">
      <c r="A46" s="435"/>
      <c r="B46" s="175"/>
      <c r="C46" s="209" t="s">
        <v>103</v>
      </c>
      <c r="D46" s="31" t="str">
        <f ca="1">INDIRECT(IF(ADDRESS($A45+3,3,4,,"I1Ext")="","",ADDRESS($A45+3,3,4,,"I1Ext")))</f>
        <v/>
      </c>
      <c r="E46" s="31" t="str">
        <f ca="1">INDIRECT(IF(ADDRESS($A45+3,3,4,,"I2Ext")="","",ADDRESS($A45+3,3,4,,"I2Ext")))</f>
        <v/>
      </c>
      <c r="F46" s="31" t="str">
        <f ca="1">INDIRECT(IF(ADDRESS($A45+3,3,4,,"I3Ext")="","",ADDRESS($A45+3,3,4,,"I3Ext")))</f>
        <v/>
      </c>
      <c r="G46" s="31" t="str">
        <f ca="1">INDIRECT(IF(ADDRESS($A45+3,3,4,,"I4Ext")="","",ADDRESS($A45+3,3,4,,"I4Ext")))</f>
        <v/>
      </c>
      <c r="H46" s="22"/>
      <c r="I46" s="23"/>
      <c r="J46" s="24"/>
      <c r="K46" s="25"/>
      <c r="L46" s="25"/>
      <c r="M46" s="305" t="str">
        <f ca="1">IF(COUNT(D45:F45)=0,"",ROUND(NB!E45,2))</f>
        <v/>
      </c>
      <c r="N46" s="306" t="str">
        <f ca="1">IF(COUNT(D46:K46)=0,"",ROUND(NB!I45,2))</f>
        <v/>
      </c>
      <c r="O46" s="288" t="str">
        <f ca="1">IF(OR(COUNT(D45:G45)*COUNT(D46:K46)&gt;0,AND($C$1="KA / mdl.",COUNT(D46:L46)&gt;0)),ROUNDUP(NB!J45,2),"")</f>
        <v/>
      </c>
      <c r="P46" s="286" t="str">
        <f ca="1">INDIRECT(IF(ADDRESS($A45+3,3,4,,"II1Ext")="","",ADDRESS($A45+3,3,4,,"II1Ext")))</f>
        <v/>
      </c>
      <c r="Q46" s="31" t="str">
        <f ca="1">INDIRECT(IF(ADDRESS($A45+3,3,4,,"II2Ext")="","",ADDRESS($A45+3,3,4,,"II2Ext")))</f>
        <v/>
      </c>
      <c r="R46" s="31" t="str">
        <f ca="1">INDIRECT(IF(ADDRESS($A45+3,3,4,,"II3Ext")="","",ADDRESS($A45+3,3,4,,"II3Ext")))</f>
        <v/>
      </c>
      <c r="S46" s="31" t="str">
        <f ca="1">INDIRECT(IF(ADDRESS($A45+3,3,4,,"II4Ext")="","",ADDRESS($A45+3,3,4,,"II4Ext")))</f>
        <v/>
      </c>
      <c r="T46" s="22"/>
      <c r="U46" s="23"/>
      <c r="V46" s="24"/>
      <c r="W46" s="25"/>
      <c r="X46" s="276"/>
      <c r="Y46" s="303" t="str">
        <f ca="1">IF(COUNT(P45:R45)=0,"",ROUND(NB!M45,2))</f>
        <v/>
      </c>
      <c r="Z46" s="304" t="str">
        <f ca="1">IF(COUNT(P46:X46)=0,"",ROUND(NB!Q45,2))</f>
        <v/>
      </c>
      <c r="AA46" s="207" t="str">
        <f ca="1">IF(OR(COUNT(P45:S45)*COUNT(P46:X46)&gt;0,AND($C$1="KA / mdl.",COUNT(P46:X46)&gt;0)),ROUNDUP(NB!R45,2),"")</f>
        <v/>
      </c>
      <c r="AB46" s="2" t="str">
        <f t="shared" si="0"/>
        <v/>
      </c>
    </row>
    <row r="47" spans="1:35" ht="12" customHeight="1" x14ac:dyDescent="0.2">
      <c r="A47" s="434">
        <f>A45+1</f>
        <v>22</v>
      </c>
      <c r="B47" s="174"/>
      <c r="C47" s="208" t="s">
        <v>102</v>
      </c>
      <c r="D47" s="277" t="str">
        <f ca="1">INDIRECT(IF(ADDRESS($A47+3,3,4,,"I1SA")="","",ADDRESS($A47+3,3,4,,"I1SA")))</f>
        <v/>
      </c>
      <c r="E47" s="278" t="str">
        <f ca="1">INDIRECT(IF(ADDRESS($A47+3,3,4,,"I2SA")="","",ADDRESS($A47+3,3,4,,"I2SA")))</f>
        <v/>
      </c>
      <c r="F47" s="278" t="str">
        <f ca="1">INDIRECT(IF(ADDRESS($A47+3,3,4,,"I3SA")="","",ADDRESS($A47+3,3,4,,"I3SA")))</f>
        <v/>
      </c>
      <c r="G47" s="279"/>
      <c r="H47" s="280"/>
      <c r="I47" s="281"/>
      <c r="J47" s="282"/>
      <c r="K47" s="280"/>
      <c r="L47" s="283"/>
      <c r="M47" s="102"/>
      <c r="N47" s="103" t="str">
        <f ca="1">IF(N48="","","")</f>
        <v/>
      </c>
      <c r="O47" s="287" t="str">
        <f ca="1">IF(OR(COUNT(D47:G47)*COUNT(D48:K48)&gt;0,AND($C$1="KA / mdl.",COUNT(D48:L48)&gt;0)),IF(O48&lt;1,0,ROUND(O48,0)),"")</f>
        <v/>
      </c>
      <c r="P47" s="285" t="str">
        <f ca="1">INDIRECT(IF(ADDRESS($A47+3,3,4,,"II1SA")="","",ADDRESS($A47+3,3,4,,"II1SA")))</f>
        <v/>
      </c>
      <c r="Q47" s="278" t="str">
        <f ca="1">INDIRECT(IF(ADDRESS($A47+3,3,4,,"II2SA")="","",ADDRESS($A47+3,3,4,,"II2SA")))</f>
        <v/>
      </c>
      <c r="R47" s="278" t="str">
        <f ca="1">INDIRECT(IF(ADDRESS($A47+3,3,4,,"II3SA")="","",ADDRESS($A47+3,3,4,,"II3SA")))</f>
        <v/>
      </c>
      <c r="S47" s="279"/>
      <c r="T47" s="278"/>
      <c r="U47" s="278"/>
      <c r="V47" s="278"/>
      <c r="W47" s="280"/>
      <c r="X47" s="283"/>
      <c r="Y47" s="413"/>
      <c r="Z47" s="414"/>
      <c r="AA47" s="27" t="str">
        <f ca="1">IF(OR(COUNT(P47:S47)*COUNT(P48:X48)&gt;0,AND($C$1="KA / mdl.",COUNT(P48:X48)&gt;0)),IF(AA48&lt;1,0,ROUND(AA48,0)),"")</f>
        <v/>
      </c>
      <c r="AB47" s="169"/>
    </row>
    <row r="48" spans="1:35" ht="12" customHeight="1" x14ac:dyDescent="0.2">
      <c r="A48" s="435"/>
      <c r="B48" s="175"/>
      <c r="C48" s="209" t="s">
        <v>103</v>
      </c>
      <c r="D48" s="31" t="str">
        <f ca="1">INDIRECT(IF(ADDRESS($A47+3,3,4,,"I1Ext")="","",ADDRESS($A47+3,3,4,,"I1Ext")))</f>
        <v/>
      </c>
      <c r="E48" s="31" t="str">
        <f ca="1">INDIRECT(IF(ADDRESS($A47+3,3,4,,"I2Ext")="","",ADDRESS($A47+3,3,4,,"I2Ext")))</f>
        <v/>
      </c>
      <c r="F48" s="31" t="str">
        <f ca="1">INDIRECT(IF(ADDRESS($A47+3,3,4,,"I3Ext")="","",ADDRESS($A47+3,3,4,,"I3Ext")))</f>
        <v/>
      </c>
      <c r="G48" s="31" t="str">
        <f ca="1">INDIRECT(IF(ADDRESS($A47+3,3,4,,"I4Ext")="","",ADDRESS($A47+3,3,4,,"I4Ext")))</f>
        <v/>
      </c>
      <c r="H48" s="22"/>
      <c r="I48" s="23"/>
      <c r="J48" s="24"/>
      <c r="K48" s="25"/>
      <c r="L48" s="25"/>
      <c r="M48" s="305" t="str">
        <f ca="1">IF(COUNT(D47:F47)=0,"",ROUND(NB!E47,2))</f>
        <v/>
      </c>
      <c r="N48" s="306" t="str">
        <f ca="1">IF(COUNT(D48:K48)=0,"",ROUND(NB!I47,2))</f>
        <v/>
      </c>
      <c r="O48" s="288" t="str">
        <f ca="1">IF(OR(COUNT(D47:G47)*COUNT(D48:K48)&gt;0,AND($C$1="KA / mdl.",COUNT(D48:L48)&gt;0)),ROUNDUP(NB!J47,2),"")</f>
        <v/>
      </c>
      <c r="P48" s="286" t="str">
        <f ca="1">INDIRECT(IF(ADDRESS($A47+3,3,4,,"II1Ext")="","",ADDRESS($A47+3,3,4,,"II1Ext")))</f>
        <v/>
      </c>
      <c r="Q48" s="31" t="str">
        <f ca="1">INDIRECT(IF(ADDRESS($A47+3,3,4,,"II2Ext")="","",ADDRESS($A47+3,3,4,,"II2Ext")))</f>
        <v/>
      </c>
      <c r="R48" s="31" t="str">
        <f ca="1">INDIRECT(IF(ADDRESS($A47+3,3,4,,"II3Ext")="","",ADDRESS($A47+3,3,4,,"II3Ext")))</f>
        <v/>
      </c>
      <c r="S48" s="31" t="str">
        <f ca="1">INDIRECT(IF(ADDRESS($A47+3,3,4,,"II4Ext")="","",ADDRESS($A47+3,3,4,,"II4Ext")))</f>
        <v/>
      </c>
      <c r="T48" s="22"/>
      <c r="U48" s="23"/>
      <c r="V48" s="24"/>
      <c r="W48" s="25"/>
      <c r="X48" s="276"/>
      <c r="Y48" s="303" t="str">
        <f ca="1">IF(COUNT(P47:R47)=0,"",ROUND(NB!M47,2))</f>
        <v/>
      </c>
      <c r="Z48" s="304" t="str">
        <f ca="1">IF(COUNT(P48:X48)=0,"",ROUND(NB!Q47,2))</f>
        <v/>
      </c>
      <c r="AA48" s="207" t="str">
        <f ca="1">IF(OR(COUNT(P47:S47)*COUNT(P48:X48)&gt;0,AND($C$1="KA / mdl.",COUNT(P48:X48)&gt;0)),ROUNDUP(NB!R47,2),"")</f>
        <v/>
      </c>
      <c r="AB48" s="2" t="str">
        <f t="shared" si="0"/>
        <v/>
      </c>
    </row>
    <row r="49" spans="1:29" ht="12" customHeight="1" x14ac:dyDescent="0.2">
      <c r="A49" s="434">
        <f>A47+1</f>
        <v>23</v>
      </c>
      <c r="B49" s="174"/>
      <c r="C49" s="208" t="s">
        <v>102</v>
      </c>
      <c r="D49" s="277" t="str">
        <f ca="1">INDIRECT(IF(ADDRESS($A49+3,3,4,,"I1SA")="","",ADDRESS($A49+3,3,4,,"I1SA")))</f>
        <v/>
      </c>
      <c r="E49" s="278" t="str">
        <f ca="1">INDIRECT(IF(ADDRESS($A49+3,3,4,,"I2SA")="","",ADDRESS($A49+3,3,4,,"I2SA")))</f>
        <v/>
      </c>
      <c r="F49" s="278" t="str">
        <f ca="1">INDIRECT(IF(ADDRESS($A49+3,3,4,,"I3SA")="","",ADDRESS($A49+3,3,4,,"I3SA")))</f>
        <v/>
      </c>
      <c r="G49" s="279"/>
      <c r="H49" s="280"/>
      <c r="I49" s="281"/>
      <c r="J49" s="282"/>
      <c r="K49" s="280"/>
      <c r="L49" s="283"/>
      <c r="M49" s="102"/>
      <c r="N49" s="103" t="str">
        <f ca="1">IF(N50="","","")</f>
        <v/>
      </c>
      <c r="O49" s="287" t="str">
        <f ca="1">IF(OR(COUNT(D49:G49)*COUNT(D50:K50)&gt;0,AND($C$1="KA / mdl.",COUNT(D50:L50)&gt;0)),IF(O50&lt;1,0,ROUND(O50,0)),"")</f>
        <v/>
      </c>
      <c r="P49" s="285" t="str">
        <f ca="1">INDIRECT(IF(ADDRESS($A49+3,3,4,,"II1SA")="","",ADDRESS($A49+3,3,4,,"II1SA")))</f>
        <v/>
      </c>
      <c r="Q49" s="278" t="str">
        <f ca="1">INDIRECT(IF(ADDRESS($A49+3,3,4,,"II2SA")="","",ADDRESS($A49+3,3,4,,"II2SA")))</f>
        <v/>
      </c>
      <c r="R49" s="278" t="str">
        <f ca="1">INDIRECT(IF(ADDRESS($A49+3,3,4,,"II3SA")="","",ADDRESS($A49+3,3,4,,"II3SA")))</f>
        <v/>
      </c>
      <c r="S49" s="279"/>
      <c r="T49" s="278"/>
      <c r="U49" s="278"/>
      <c r="V49" s="278"/>
      <c r="W49" s="280"/>
      <c r="X49" s="283"/>
      <c r="Y49" s="413"/>
      <c r="Z49" s="414"/>
      <c r="AA49" s="27" t="str">
        <f ca="1">IF(OR(COUNT(P49:S49)*COUNT(P50:X50)&gt;0,AND($C$1="KA / mdl.",COUNT(P50:X50)&gt;0)),IF(AA50&lt;1,0,ROUND(AA50,0)),"")</f>
        <v/>
      </c>
      <c r="AB49" s="169"/>
    </row>
    <row r="50" spans="1:29" ht="12" customHeight="1" x14ac:dyDescent="0.2">
      <c r="A50" s="435"/>
      <c r="B50" s="175"/>
      <c r="C50" s="209" t="s">
        <v>103</v>
      </c>
      <c r="D50" s="31" t="str">
        <f ca="1">INDIRECT(IF(ADDRESS($A49+3,3,4,,"I1Ext")="","",ADDRESS($A49+3,3,4,,"I1Ext")))</f>
        <v/>
      </c>
      <c r="E50" s="31" t="str">
        <f ca="1">INDIRECT(IF(ADDRESS($A49+3,3,4,,"I2Ext")="","",ADDRESS($A49+3,3,4,,"I2Ext")))</f>
        <v/>
      </c>
      <c r="F50" s="31" t="str">
        <f ca="1">INDIRECT(IF(ADDRESS($A49+3,3,4,,"I3Ext")="","",ADDRESS($A49+3,3,4,,"I3Ext")))</f>
        <v/>
      </c>
      <c r="G50" s="31" t="str">
        <f ca="1">INDIRECT(IF(ADDRESS($A49+3,3,4,,"I4Ext")="","",ADDRESS($A49+3,3,4,,"I4Ext")))</f>
        <v/>
      </c>
      <c r="H50" s="22"/>
      <c r="I50" s="23"/>
      <c r="J50" s="24"/>
      <c r="K50" s="25"/>
      <c r="L50" s="25"/>
      <c r="M50" s="305" t="str">
        <f ca="1">IF(COUNT(D49:F49)=0,"",ROUND(NB!E49,2))</f>
        <v/>
      </c>
      <c r="N50" s="306" t="str">
        <f ca="1">IF(COUNT(D50:K50)=0,"",ROUND(NB!I49,2))</f>
        <v/>
      </c>
      <c r="O50" s="288" t="str">
        <f ca="1">IF(OR(COUNT(D49:G49)*COUNT(D50:K50)&gt;0,AND($C$1="KA / mdl.",COUNT(D50:L50)&gt;0)),ROUNDUP(NB!J49,2),"")</f>
        <v/>
      </c>
      <c r="P50" s="286" t="str">
        <f ca="1">INDIRECT(IF(ADDRESS($A49+3,3,4,,"II1Ext")="","",ADDRESS($A49+3,3,4,,"II1Ext")))</f>
        <v/>
      </c>
      <c r="Q50" s="31" t="str">
        <f ca="1">INDIRECT(IF(ADDRESS($A49+3,3,4,,"II2Ext")="","",ADDRESS($A49+3,3,4,,"II2Ext")))</f>
        <v/>
      </c>
      <c r="R50" s="31" t="str">
        <f ca="1">INDIRECT(IF(ADDRESS($A49+3,3,4,,"II3Ext")="","",ADDRESS($A49+3,3,4,,"II3Ext")))</f>
        <v/>
      </c>
      <c r="S50" s="31" t="str">
        <f ca="1">INDIRECT(IF(ADDRESS($A49+3,3,4,,"II4Ext")="","",ADDRESS($A49+3,3,4,,"II4Ext")))</f>
        <v/>
      </c>
      <c r="T50" s="22"/>
      <c r="U50" s="23"/>
      <c r="V50" s="24"/>
      <c r="W50" s="25"/>
      <c r="X50" s="276"/>
      <c r="Y50" s="303" t="str">
        <f ca="1">IF(COUNT(P49:R49)=0,"",ROUND(NB!M49,2))</f>
        <v/>
      </c>
      <c r="Z50" s="304" t="str">
        <f ca="1">IF(COUNT(P50:X50)=0,"",ROUND(NB!Q49,2))</f>
        <v/>
      </c>
      <c r="AA50" s="207" t="str">
        <f ca="1">IF(OR(COUNT(P49:S49)*COUNT(P50:X50)&gt;0,AND($C$1="KA / mdl.",COUNT(P50:X50)&gt;0)),ROUNDUP(NB!R49,2),"")</f>
        <v/>
      </c>
      <c r="AB50" s="2" t="str">
        <f t="shared" si="0"/>
        <v/>
      </c>
    </row>
    <row r="51" spans="1:29" ht="12" customHeight="1" x14ac:dyDescent="0.2">
      <c r="A51" s="434">
        <f>A49+1</f>
        <v>24</v>
      </c>
      <c r="B51" s="174"/>
      <c r="C51" s="208" t="s">
        <v>102</v>
      </c>
      <c r="D51" s="277" t="str">
        <f ca="1">INDIRECT(IF(ADDRESS($A51+3,3,4,,"I1SA")="","",ADDRESS($A51+3,3,4,,"I1SA")))</f>
        <v/>
      </c>
      <c r="E51" s="278" t="str">
        <f ca="1">INDIRECT(IF(ADDRESS($A51+3,3,4,,"I2SA")="","",ADDRESS($A51+3,3,4,,"I2SA")))</f>
        <v/>
      </c>
      <c r="F51" s="278" t="str">
        <f ca="1">INDIRECT(IF(ADDRESS($A51+3,3,4,,"I3SA")="","",ADDRESS($A51+3,3,4,,"I3SA")))</f>
        <v/>
      </c>
      <c r="G51" s="279"/>
      <c r="H51" s="280"/>
      <c r="I51" s="281"/>
      <c r="J51" s="282"/>
      <c r="K51" s="280"/>
      <c r="L51" s="283"/>
      <c r="M51" s="102"/>
      <c r="N51" s="103" t="str">
        <f ca="1">IF(N52="","","")</f>
        <v/>
      </c>
      <c r="O51" s="287" t="str">
        <f ca="1">IF(OR(COUNT(D51:G51)*COUNT(D52:K52)&gt;0,AND($C$1="KA / mdl.",COUNT(D52:L52)&gt;0)),IF(O52&lt;1,0,ROUND(O52,0)),"")</f>
        <v/>
      </c>
      <c r="P51" s="285" t="str">
        <f ca="1">INDIRECT(IF(ADDRESS($A51+3,3,4,,"II1SA")="","",ADDRESS($A51+3,3,4,,"II1SA")))</f>
        <v/>
      </c>
      <c r="Q51" s="278" t="str">
        <f ca="1">INDIRECT(IF(ADDRESS($A51+3,3,4,,"II2SA")="","",ADDRESS($A51+3,3,4,,"II2SA")))</f>
        <v/>
      </c>
      <c r="R51" s="278" t="str">
        <f ca="1">INDIRECT(IF(ADDRESS($A51+3,3,4,,"II3SA")="","",ADDRESS($A51+3,3,4,,"II3SA")))</f>
        <v/>
      </c>
      <c r="S51" s="279"/>
      <c r="T51" s="278"/>
      <c r="U51" s="278"/>
      <c r="V51" s="278"/>
      <c r="W51" s="280"/>
      <c r="X51" s="283"/>
      <c r="Y51" s="413"/>
      <c r="Z51" s="414"/>
      <c r="AA51" s="27" t="str">
        <f ca="1">IF(OR(COUNT(P51:S51)*COUNT(P52:X52)&gt;0,AND($C$1="KA / mdl.",COUNT(P52:X52)&gt;0)),IF(AA52&lt;1,0,ROUND(AA52,0)),"")</f>
        <v/>
      </c>
      <c r="AB51" s="169"/>
    </row>
    <row r="52" spans="1:29" ht="12" customHeight="1" x14ac:dyDescent="0.2">
      <c r="A52" s="435"/>
      <c r="B52" s="175"/>
      <c r="C52" s="209" t="s">
        <v>103</v>
      </c>
      <c r="D52" s="31" t="str">
        <f ca="1">INDIRECT(IF(ADDRESS($A51+3,3,4,,"I1Ext")="","",ADDRESS($A51+3,3,4,,"I1Ext")))</f>
        <v/>
      </c>
      <c r="E52" s="31" t="str">
        <f ca="1">INDIRECT(IF(ADDRESS($A51+3,3,4,,"I2Ext")="","",ADDRESS($A51+3,3,4,,"I2Ext")))</f>
        <v/>
      </c>
      <c r="F52" s="31" t="str">
        <f ca="1">INDIRECT(IF(ADDRESS($A51+3,3,4,,"I3Ext")="","",ADDRESS($A51+3,3,4,,"I3Ext")))</f>
        <v/>
      </c>
      <c r="G52" s="31" t="str">
        <f ca="1">INDIRECT(IF(ADDRESS($A51+3,3,4,,"I4Ext")="","",ADDRESS($A51+3,3,4,,"I4Ext")))</f>
        <v/>
      </c>
      <c r="H52" s="22"/>
      <c r="I52" s="23"/>
      <c r="J52" s="24"/>
      <c r="K52" s="25"/>
      <c r="L52" s="25"/>
      <c r="M52" s="305" t="str">
        <f ca="1">IF(COUNT(D51:F51)=0,"",ROUND(NB!E51,2))</f>
        <v/>
      </c>
      <c r="N52" s="306" t="str">
        <f ca="1">IF(COUNT(D52:K52)=0,"",ROUND(NB!I51,2))</f>
        <v/>
      </c>
      <c r="O52" s="288" t="str">
        <f ca="1">IF(OR(COUNT(D51:G51)*COUNT(D52:K52)&gt;0,AND($C$1="KA / mdl.",COUNT(D52:L52)&gt;0)),ROUNDUP(NB!J51,2),"")</f>
        <v/>
      </c>
      <c r="P52" s="286" t="str">
        <f ca="1">INDIRECT(IF(ADDRESS($A51+3,3,4,,"II1Ext")="","",ADDRESS($A51+3,3,4,,"II1Ext")))</f>
        <v/>
      </c>
      <c r="Q52" s="31" t="str">
        <f ca="1">INDIRECT(IF(ADDRESS($A51+3,3,4,,"II2Ext")="","",ADDRESS($A51+3,3,4,,"II2Ext")))</f>
        <v/>
      </c>
      <c r="R52" s="31" t="str">
        <f ca="1">INDIRECT(IF(ADDRESS($A51+3,3,4,,"II3Ext")="","",ADDRESS($A51+3,3,4,,"II3Ext")))</f>
        <v/>
      </c>
      <c r="S52" s="31" t="str">
        <f ca="1">INDIRECT(IF(ADDRESS($A51+3,3,4,,"II4Ext")="","",ADDRESS($A51+3,3,4,,"II4Ext")))</f>
        <v/>
      </c>
      <c r="T52" s="22"/>
      <c r="U52" s="23"/>
      <c r="V52" s="24"/>
      <c r="W52" s="25"/>
      <c r="X52" s="276"/>
      <c r="Y52" s="303" t="str">
        <f ca="1">IF(COUNT(P51:R51)=0,"",ROUND(NB!M51,2))</f>
        <v/>
      </c>
      <c r="Z52" s="304" t="str">
        <f ca="1">IF(COUNT(P52:X52)=0,"",ROUND(NB!Q51,2))</f>
        <v/>
      </c>
      <c r="AA52" s="207" t="str">
        <f ca="1">IF(OR(COUNT(P51:S51)*COUNT(P52:X52)&gt;0,AND($C$1="KA / mdl.",COUNT(P52:X52)&gt;0)),ROUNDUP(NB!R51,2),"")</f>
        <v/>
      </c>
      <c r="AB52" s="2" t="str">
        <f t="shared" si="0"/>
        <v/>
      </c>
    </row>
    <row r="53" spans="1:29" ht="12" customHeight="1" x14ac:dyDescent="0.2">
      <c r="A53" s="434">
        <f>A51+1</f>
        <v>25</v>
      </c>
      <c r="B53" s="174"/>
      <c r="C53" s="208" t="s">
        <v>102</v>
      </c>
      <c r="D53" s="277" t="str">
        <f ca="1">INDIRECT(IF(ADDRESS($A53+3,3,4,,"I1SA")="","",ADDRESS($A53+3,3,4,,"I1SA")))</f>
        <v/>
      </c>
      <c r="E53" s="278" t="str">
        <f ca="1">INDIRECT(IF(ADDRESS($A53+3,3,4,,"I2SA")="","",ADDRESS($A53+3,3,4,,"I2SA")))</f>
        <v/>
      </c>
      <c r="F53" s="278" t="str">
        <f ca="1">INDIRECT(IF(ADDRESS($A53+3,3,4,,"I3SA")="","",ADDRESS($A53+3,3,4,,"I3SA")))</f>
        <v/>
      </c>
      <c r="G53" s="279"/>
      <c r="H53" s="280"/>
      <c r="I53" s="281"/>
      <c r="J53" s="282"/>
      <c r="K53" s="280"/>
      <c r="L53" s="283"/>
      <c r="M53" s="102"/>
      <c r="N53" s="103" t="str">
        <f ca="1">IF(N54="","","")</f>
        <v/>
      </c>
      <c r="O53" s="287" t="str">
        <f ca="1">IF(OR(COUNT(D53:G53)*COUNT(D54:K54)&gt;0,AND($C$1="KA / mdl.",COUNT(D54:L54)&gt;0)),IF(O54&lt;1,0,ROUND(O54,0)),"")</f>
        <v/>
      </c>
      <c r="P53" s="285" t="str">
        <f ca="1">INDIRECT(IF(ADDRESS($A53+3,3,4,,"II1SA")="","",ADDRESS($A53+3,3,4,,"II1SA")))</f>
        <v/>
      </c>
      <c r="Q53" s="278" t="str">
        <f ca="1">INDIRECT(IF(ADDRESS($A53+3,3,4,,"II2SA")="","",ADDRESS($A53+3,3,4,,"II2SA")))</f>
        <v/>
      </c>
      <c r="R53" s="278" t="str">
        <f ca="1">INDIRECT(IF(ADDRESS($A53+3,3,4,,"II3SA")="","",ADDRESS($A53+3,3,4,,"II3SA")))</f>
        <v/>
      </c>
      <c r="S53" s="279"/>
      <c r="T53" s="278"/>
      <c r="U53" s="278"/>
      <c r="V53" s="278"/>
      <c r="W53" s="280"/>
      <c r="X53" s="283"/>
      <c r="Y53" s="413"/>
      <c r="Z53" s="414"/>
      <c r="AA53" s="27" t="str">
        <f ca="1">IF(OR(COUNT(P53:S53)*COUNT(P54:X54)&gt;0,AND($C$1="KA / mdl.",COUNT(P54:X54)&gt;0)),IF(AA54&lt;1,0,ROUND(AA54,0)),"")</f>
        <v/>
      </c>
      <c r="AB53" s="169"/>
    </row>
    <row r="54" spans="1:29" ht="12" customHeight="1" x14ac:dyDescent="0.2">
      <c r="A54" s="435"/>
      <c r="B54" s="175"/>
      <c r="C54" s="209" t="s">
        <v>103</v>
      </c>
      <c r="D54" s="31" t="str">
        <f ca="1">INDIRECT(IF(ADDRESS($A53+3,3,4,,"I1Ext")="","",ADDRESS($A53+3,3,4,,"I1Ext")))</f>
        <v/>
      </c>
      <c r="E54" s="31" t="str">
        <f ca="1">INDIRECT(IF(ADDRESS($A53+3,3,4,,"I2Ext")="","",ADDRESS($A53+3,3,4,,"I2Ext")))</f>
        <v/>
      </c>
      <c r="F54" s="31" t="str">
        <f ca="1">INDIRECT(IF(ADDRESS($A53+3,3,4,,"I3Ext")="","",ADDRESS($A53+3,3,4,,"I3Ext")))</f>
        <v/>
      </c>
      <c r="G54" s="31" t="str">
        <f ca="1">INDIRECT(IF(ADDRESS($A53+3,3,4,,"I4Ext")="","",ADDRESS($A53+3,3,4,,"I4Ext")))</f>
        <v/>
      </c>
      <c r="H54" s="22"/>
      <c r="I54" s="23"/>
      <c r="J54" s="24"/>
      <c r="K54" s="25"/>
      <c r="L54" s="25"/>
      <c r="M54" s="305" t="str">
        <f ca="1">IF(COUNT(D53:F53)=0,"",ROUND(NB!E53,2))</f>
        <v/>
      </c>
      <c r="N54" s="306" t="str">
        <f ca="1">IF(COUNT(D54:K54)=0,"",ROUND(NB!I53,2))</f>
        <v/>
      </c>
      <c r="O54" s="288" t="str">
        <f ca="1">IF(OR(COUNT(D53:G53)*COUNT(D54:K54)&gt;0,AND($C$1="KA / mdl.",COUNT(D54:L54)&gt;0)),ROUNDUP(NB!J53,2),"")</f>
        <v/>
      </c>
      <c r="P54" s="286" t="str">
        <f ca="1">INDIRECT(IF(ADDRESS($A53+3,3,4,,"II1Ext")="","",ADDRESS($A53+3,3,4,,"II1Ext")))</f>
        <v/>
      </c>
      <c r="Q54" s="31" t="str">
        <f ca="1">INDIRECT(IF(ADDRESS($A53+3,3,4,,"II2Ext")="","",ADDRESS($A53+3,3,4,,"II2Ext")))</f>
        <v/>
      </c>
      <c r="R54" s="31" t="str">
        <f ca="1">INDIRECT(IF(ADDRESS($A53+3,3,4,,"II3Ext")="","",ADDRESS($A53+3,3,4,,"II3Ext")))</f>
        <v/>
      </c>
      <c r="S54" s="31" t="str">
        <f ca="1">INDIRECT(IF(ADDRESS($A53+3,3,4,,"II4Ext")="","",ADDRESS($A53+3,3,4,,"II4Ext")))</f>
        <v/>
      </c>
      <c r="T54" s="22"/>
      <c r="U54" s="23"/>
      <c r="V54" s="24"/>
      <c r="W54" s="25"/>
      <c r="X54" s="276"/>
      <c r="Y54" s="303" t="str">
        <f ca="1">IF(COUNT(P53:R53)=0,"",ROUND(NB!M53,2))</f>
        <v/>
      </c>
      <c r="Z54" s="304" t="str">
        <f ca="1">IF(COUNT(P54:X54)=0,"",ROUND(NB!Q53,2))</f>
        <v/>
      </c>
      <c r="AA54" s="207" t="str">
        <f ca="1">IF(OR(COUNT(P53:S53)*COUNT(P54:X54)&gt;0,AND($C$1="KA / mdl.",COUNT(P54:X54)&gt;0)),ROUNDUP(NB!R53,2),"")</f>
        <v/>
      </c>
      <c r="AB54" s="2" t="str">
        <f t="shared" si="0"/>
        <v/>
      </c>
    </row>
    <row r="55" spans="1:29" ht="12" customHeight="1" x14ac:dyDescent="0.2">
      <c r="A55" s="434">
        <f>A53+1</f>
        <v>26</v>
      </c>
      <c r="B55" s="174"/>
      <c r="C55" s="208" t="s">
        <v>102</v>
      </c>
      <c r="D55" s="277" t="str">
        <f ca="1">INDIRECT(IF(ADDRESS($A55+3,3,4,,"I1SA")="","",ADDRESS($A55+3,3,4,,"I1SA")))</f>
        <v/>
      </c>
      <c r="E55" s="278" t="str">
        <f ca="1">INDIRECT(IF(ADDRESS($A55+3,3,4,,"I2SA")="","",ADDRESS($A55+3,3,4,,"I2SA")))</f>
        <v/>
      </c>
      <c r="F55" s="278" t="str">
        <f ca="1">INDIRECT(IF(ADDRESS($A55+3,3,4,,"I3SA")="","",ADDRESS($A55+3,3,4,,"I3SA")))</f>
        <v/>
      </c>
      <c r="G55" s="279"/>
      <c r="H55" s="280"/>
      <c r="I55" s="281"/>
      <c r="J55" s="282"/>
      <c r="K55" s="280"/>
      <c r="L55" s="283"/>
      <c r="M55" s="102"/>
      <c r="N55" s="103" t="str">
        <f ca="1">IF(N56="","","")</f>
        <v/>
      </c>
      <c r="O55" s="287" t="str">
        <f ca="1">IF(OR(COUNT(D55:G55)*COUNT(D56:K56)&gt;0,AND($C$1="KA / mdl.",COUNT(D56:L56)&gt;0)),IF(O56&lt;1,0,ROUND(O56,0)),"")</f>
        <v/>
      </c>
      <c r="P55" s="285" t="str">
        <f ca="1">INDIRECT(IF(ADDRESS($A55+3,3,4,,"II1SA")="","",ADDRESS($A55+3,3,4,,"II1SA")))</f>
        <v/>
      </c>
      <c r="Q55" s="278" t="str">
        <f ca="1">INDIRECT(IF(ADDRESS($A55+3,3,4,,"II2SA")="","",ADDRESS($A55+3,3,4,,"II2SA")))</f>
        <v/>
      </c>
      <c r="R55" s="278" t="str">
        <f ca="1">INDIRECT(IF(ADDRESS($A55+3,3,4,,"II3SA")="","",ADDRESS($A55+3,3,4,,"II3SA")))</f>
        <v/>
      </c>
      <c r="S55" s="279"/>
      <c r="T55" s="278"/>
      <c r="U55" s="278"/>
      <c r="V55" s="278"/>
      <c r="W55" s="280"/>
      <c r="X55" s="283"/>
      <c r="Y55" s="413"/>
      <c r="Z55" s="414"/>
      <c r="AA55" s="27" t="str">
        <f ca="1">IF(OR(COUNT(P55:S55)*COUNT(P56:X56)&gt;0,AND($C$1="KA / mdl.",COUNT(P56:X56)&gt;0)),IF(AA56&lt;1,0,ROUND(AA56,0)),"")</f>
        <v/>
      </c>
      <c r="AB55" s="169"/>
      <c r="AC55" s="1" t="str">
        <f>IF(M=1,"",IF(I3SA!O58="","",I3SA!O58))</f>
        <v/>
      </c>
    </row>
    <row r="56" spans="1:29" ht="12" customHeight="1" x14ac:dyDescent="0.2">
      <c r="A56" s="435"/>
      <c r="B56" s="175"/>
      <c r="C56" s="209" t="s">
        <v>103</v>
      </c>
      <c r="D56" s="31" t="str">
        <f ca="1">INDIRECT(IF(ADDRESS($A55+3,3,4,,"I1Ext")="","",ADDRESS($A55+3,3,4,,"I1Ext")))</f>
        <v/>
      </c>
      <c r="E56" s="31" t="str">
        <f ca="1">INDIRECT(IF(ADDRESS($A55+3,3,4,,"I2Ext")="","",ADDRESS($A55+3,3,4,,"I2Ext")))</f>
        <v/>
      </c>
      <c r="F56" s="31" t="str">
        <f ca="1">INDIRECT(IF(ADDRESS($A55+3,3,4,,"I3Ext")="","",ADDRESS($A55+3,3,4,,"I3Ext")))</f>
        <v/>
      </c>
      <c r="G56" s="31" t="str">
        <f ca="1">INDIRECT(IF(ADDRESS($A55+3,3,4,,"I4Ext")="","",ADDRESS($A55+3,3,4,,"I4Ext")))</f>
        <v/>
      </c>
      <c r="H56" s="22"/>
      <c r="I56" s="23"/>
      <c r="J56" s="24"/>
      <c r="K56" s="25"/>
      <c r="L56" s="25"/>
      <c r="M56" s="305" t="str">
        <f ca="1">IF(COUNT(D55:F55)=0,"",ROUND(NB!E55,2))</f>
        <v/>
      </c>
      <c r="N56" s="306" t="str">
        <f ca="1">IF(COUNT(D56:K56)=0,"",ROUND(NB!I55,2))</f>
        <v/>
      </c>
      <c r="O56" s="288" t="str">
        <f ca="1">IF(OR(COUNT(D55:G55)*COUNT(D56:K56)&gt;0,AND($C$1="KA / mdl.",COUNT(D56:L56)&gt;0)),ROUNDUP(NB!J55,2),"")</f>
        <v/>
      </c>
      <c r="P56" s="286" t="str">
        <f ca="1">INDIRECT(IF(ADDRESS($A55+3,3,4,,"II1Ext")="","",ADDRESS($A55+3,3,4,,"II1Ext")))</f>
        <v/>
      </c>
      <c r="Q56" s="31" t="str">
        <f ca="1">INDIRECT(IF(ADDRESS($A55+3,3,4,,"II2Ext")="","",ADDRESS($A55+3,3,4,,"II2Ext")))</f>
        <v/>
      </c>
      <c r="R56" s="31" t="str">
        <f ca="1">INDIRECT(IF(ADDRESS($A55+3,3,4,,"II3Ext")="","",ADDRESS($A55+3,3,4,,"II3Ext")))</f>
        <v/>
      </c>
      <c r="S56" s="31" t="str">
        <f ca="1">INDIRECT(IF(ADDRESS($A55+3,3,4,,"II4Ext")="","",ADDRESS($A55+3,3,4,,"II4Ext")))</f>
        <v/>
      </c>
      <c r="T56" s="22"/>
      <c r="U56" s="23"/>
      <c r="V56" s="24"/>
      <c r="W56" s="25"/>
      <c r="X56" s="276"/>
      <c r="Y56" s="303" t="str">
        <f ca="1">IF(COUNT(P55:R55)=0,"",ROUND(NB!M55,2))</f>
        <v/>
      </c>
      <c r="Z56" s="304" t="str">
        <f ca="1">IF(COUNT(P56:X56)=0,"",ROUND(NB!Q55,2))</f>
        <v/>
      </c>
      <c r="AA56" s="207" t="str">
        <f ca="1">IF(OR(COUNT(P55:S55)*COUNT(P56:X56)&gt;0,AND($C$1="KA / mdl.",COUNT(P56:X56)&gt;0)),ROUNDUP(NB!R55,2),"")</f>
        <v/>
      </c>
      <c r="AB56" s="2" t="str">
        <f t="shared" si="0"/>
        <v/>
      </c>
    </row>
    <row r="57" spans="1:29" ht="12" customHeight="1" x14ac:dyDescent="0.2">
      <c r="A57" s="434">
        <f>A55+1</f>
        <v>27</v>
      </c>
      <c r="B57" s="174"/>
      <c r="C57" s="208" t="s">
        <v>102</v>
      </c>
      <c r="D57" s="277" t="str">
        <f ca="1">INDIRECT(IF(ADDRESS($A57+3,3,4,,"I1SA")="","",ADDRESS($A57+3,3,4,,"I1SA")))</f>
        <v/>
      </c>
      <c r="E57" s="278" t="str">
        <f ca="1">INDIRECT(IF(ADDRESS($A57+3,3,4,,"I2SA")="","",ADDRESS($A57+3,3,4,,"I2SA")))</f>
        <v/>
      </c>
      <c r="F57" s="278" t="str">
        <f ca="1">INDIRECT(IF(ADDRESS($A57+3,3,4,,"I3SA")="","",ADDRESS($A57+3,3,4,,"I3SA")))</f>
        <v/>
      </c>
      <c r="G57" s="279"/>
      <c r="H57" s="280"/>
      <c r="I57" s="281"/>
      <c r="J57" s="282"/>
      <c r="K57" s="280"/>
      <c r="L57" s="283"/>
      <c r="M57" s="102"/>
      <c r="N57" s="103" t="str">
        <f ca="1">IF(N58="","","")</f>
        <v/>
      </c>
      <c r="O57" s="287" t="str">
        <f ca="1">IF(OR(COUNT(D57:G57)*COUNT(D58:K58)&gt;0,AND($C$1="KA / mdl.",COUNT(D58:L58)&gt;0)),IF(O58&lt;1,0,ROUND(O58,0)),"")</f>
        <v/>
      </c>
      <c r="P57" s="285" t="str">
        <f ca="1">INDIRECT(IF(ADDRESS($A57+3,3,4,,"II1SA")="","",ADDRESS($A57+3,3,4,,"II1SA")))</f>
        <v/>
      </c>
      <c r="Q57" s="278" t="str">
        <f ca="1">INDIRECT(IF(ADDRESS($A57+3,3,4,,"II2SA")="","",ADDRESS($A57+3,3,4,,"II2SA")))</f>
        <v/>
      </c>
      <c r="R57" s="278" t="str">
        <f ca="1">INDIRECT(IF(ADDRESS($A57+3,3,4,,"II3SA")="","",ADDRESS($A57+3,3,4,,"II3SA")))</f>
        <v/>
      </c>
      <c r="S57" s="279"/>
      <c r="T57" s="278"/>
      <c r="U57" s="278"/>
      <c r="V57" s="278"/>
      <c r="W57" s="280"/>
      <c r="X57" s="283"/>
      <c r="Y57" s="413"/>
      <c r="Z57" s="414"/>
      <c r="AA57" s="27" t="str">
        <f ca="1">IF(OR(COUNT(P57:S57)*COUNT(P58:X58)&gt;0,AND($C$1="KA / mdl.",COUNT(P58:X58)&gt;0)),IF(AA58&lt;1,0,ROUND(AA58,0)),"")</f>
        <v/>
      </c>
      <c r="AB57" s="169"/>
    </row>
    <row r="58" spans="1:29" ht="12" customHeight="1" x14ac:dyDescent="0.2">
      <c r="A58" s="435"/>
      <c r="B58" s="175"/>
      <c r="C58" s="209" t="s">
        <v>103</v>
      </c>
      <c r="D58" s="31" t="str">
        <f ca="1">INDIRECT(IF(ADDRESS($A57+3,3,4,,"I1Ext")="","",ADDRESS($A57+3,3,4,,"I1Ext")))</f>
        <v/>
      </c>
      <c r="E58" s="31" t="str">
        <f ca="1">INDIRECT(IF(ADDRESS($A57+3,3,4,,"I2Ext")="","",ADDRESS($A57+3,3,4,,"I2Ext")))</f>
        <v/>
      </c>
      <c r="F58" s="31" t="str">
        <f ca="1">INDIRECT(IF(ADDRESS($A57+3,3,4,,"I3Ext")="","",ADDRESS($A57+3,3,4,,"I3Ext")))</f>
        <v/>
      </c>
      <c r="G58" s="31" t="str">
        <f ca="1">INDIRECT(IF(ADDRESS($A57+3,3,4,,"I4Ext")="","",ADDRESS($A57+3,3,4,,"I4Ext")))</f>
        <v/>
      </c>
      <c r="H58" s="22"/>
      <c r="I58" s="23"/>
      <c r="J58" s="24"/>
      <c r="K58" s="25"/>
      <c r="L58" s="25"/>
      <c r="M58" s="305" t="str">
        <f ca="1">IF(COUNT(D57:F57)=0,"",ROUND(NB!E57,2))</f>
        <v/>
      </c>
      <c r="N58" s="306" t="str">
        <f ca="1">IF(COUNT(D58:K58)=0,"",ROUND(NB!I57,2))</f>
        <v/>
      </c>
      <c r="O58" s="288" t="str">
        <f ca="1">IF(OR(COUNT(D57:G57)*COUNT(D58:K58)&gt;0,AND($C$1="KA / mdl.",COUNT(D58:L58)&gt;0)),ROUNDUP(NB!J57,2),"")</f>
        <v/>
      </c>
      <c r="P58" s="286" t="str">
        <f ca="1">INDIRECT(IF(ADDRESS($A57+3,3,4,,"II1Ext")="","",ADDRESS($A57+3,3,4,,"II1Ext")))</f>
        <v/>
      </c>
      <c r="Q58" s="31" t="str">
        <f ca="1">INDIRECT(IF(ADDRESS($A57+3,3,4,,"II2Ext")="","",ADDRESS($A57+3,3,4,,"II2Ext")))</f>
        <v/>
      </c>
      <c r="R58" s="31" t="str">
        <f ca="1">INDIRECT(IF(ADDRESS($A57+3,3,4,,"II3Ext")="","",ADDRESS($A57+3,3,4,,"II3Ext")))</f>
        <v/>
      </c>
      <c r="S58" s="31" t="str">
        <f ca="1">INDIRECT(IF(ADDRESS($A57+3,3,4,,"II4Ext")="","",ADDRESS($A57+3,3,4,,"II4Ext")))</f>
        <v/>
      </c>
      <c r="T58" s="22"/>
      <c r="U58" s="23"/>
      <c r="V58" s="24"/>
      <c r="W58" s="25"/>
      <c r="X58" s="276"/>
      <c r="Y58" s="303" t="str">
        <f ca="1">IF(COUNT(P57:R57)=0,"",ROUND(NB!M57,2))</f>
        <v/>
      </c>
      <c r="Z58" s="304" t="str">
        <f ca="1">IF(COUNT(P58:X58)=0,"",ROUND(NB!Q57,2))</f>
        <v/>
      </c>
      <c r="AA58" s="207" t="str">
        <f ca="1">IF(OR(COUNT(P57:S57)*COUNT(P58:X58)&gt;0,AND($C$1="KA / mdl.",COUNT(P58:X58)&gt;0)),ROUNDUP(NB!R57,2),"")</f>
        <v/>
      </c>
      <c r="AB58" s="2" t="str">
        <f t="shared" si="0"/>
        <v/>
      </c>
    </row>
    <row r="59" spans="1:29" ht="12" customHeight="1" x14ac:dyDescent="0.2">
      <c r="A59" s="434">
        <f>A57+1</f>
        <v>28</v>
      </c>
      <c r="B59" s="174"/>
      <c r="C59" s="208" t="s">
        <v>102</v>
      </c>
      <c r="D59" s="277" t="str">
        <f ca="1">INDIRECT(IF(ADDRESS($A59+3,3,4,,"I1SA")="","",ADDRESS($A59+3,3,4,,"I1SA")))</f>
        <v/>
      </c>
      <c r="E59" s="278" t="str">
        <f ca="1">INDIRECT(IF(ADDRESS($A59+3,3,4,,"I2SA")="","",ADDRESS($A59+3,3,4,,"I2SA")))</f>
        <v/>
      </c>
      <c r="F59" s="278" t="str">
        <f ca="1">INDIRECT(IF(ADDRESS($A59+3,3,4,,"I3SA")="","",ADDRESS($A59+3,3,4,,"I3SA")))</f>
        <v/>
      </c>
      <c r="G59" s="279"/>
      <c r="H59" s="280"/>
      <c r="I59" s="281"/>
      <c r="J59" s="282"/>
      <c r="K59" s="280"/>
      <c r="L59" s="283"/>
      <c r="M59" s="102"/>
      <c r="N59" s="103" t="str">
        <f ca="1">IF(N60="","","")</f>
        <v/>
      </c>
      <c r="O59" s="287" t="str">
        <f ca="1">IF(OR(COUNT(D59:G59)*COUNT(D60:K60)&gt;0,AND($C$1="KA / mdl.",COUNT(D60:L60)&gt;0)),IF(O60&lt;1,0,ROUND(O60,0)),"")</f>
        <v/>
      </c>
      <c r="P59" s="285" t="str">
        <f ca="1">INDIRECT(IF(ADDRESS($A59+3,3,4,,"II1SA")="","",ADDRESS($A59+3,3,4,,"II1SA")))</f>
        <v/>
      </c>
      <c r="Q59" s="278" t="str">
        <f ca="1">INDIRECT(IF(ADDRESS($A59+3,3,4,,"II2SA")="","",ADDRESS($A59+3,3,4,,"II2SA")))</f>
        <v/>
      </c>
      <c r="R59" s="278" t="str">
        <f ca="1">INDIRECT(IF(ADDRESS($A59+3,3,4,,"II3SA")="","",ADDRESS($A59+3,3,4,,"II3SA")))</f>
        <v/>
      </c>
      <c r="S59" s="279"/>
      <c r="T59" s="278"/>
      <c r="U59" s="278"/>
      <c r="V59" s="278"/>
      <c r="W59" s="280"/>
      <c r="X59" s="283"/>
      <c r="Y59" s="413"/>
      <c r="Z59" s="414"/>
      <c r="AA59" s="27" t="str">
        <f ca="1">IF(OR(COUNT(P59:S59)*COUNT(P60:X60)&gt;0,AND($C$1="KA / mdl.",COUNT(P60:X60)&gt;0)),IF(AA60&lt;1,0,ROUND(AA60,0)),"")</f>
        <v/>
      </c>
      <c r="AB59" s="169"/>
    </row>
    <row r="60" spans="1:29" ht="12" customHeight="1" x14ac:dyDescent="0.2">
      <c r="A60" s="435"/>
      <c r="B60" s="175"/>
      <c r="C60" s="209" t="s">
        <v>103</v>
      </c>
      <c r="D60" s="31" t="str">
        <f ca="1">INDIRECT(IF(ADDRESS($A59+3,3,4,,"I1Ext")="","",ADDRESS($A59+3,3,4,,"I1Ext")))</f>
        <v/>
      </c>
      <c r="E60" s="31" t="str">
        <f ca="1">INDIRECT(IF(ADDRESS($A59+3,3,4,,"I2Ext")="","",ADDRESS($A59+3,3,4,,"I2Ext")))</f>
        <v/>
      </c>
      <c r="F60" s="31" t="str">
        <f ca="1">INDIRECT(IF(ADDRESS($A59+3,3,4,,"I3Ext")="","",ADDRESS($A59+3,3,4,,"I3Ext")))</f>
        <v/>
      </c>
      <c r="G60" s="31" t="str">
        <f ca="1">INDIRECT(IF(ADDRESS($A59+3,3,4,,"I4Ext")="","",ADDRESS($A59+3,3,4,,"I4Ext")))</f>
        <v/>
      </c>
      <c r="H60" s="22"/>
      <c r="I60" s="23"/>
      <c r="J60" s="24"/>
      <c r="K60" s="25"/>
      <c r="L60" s="25"/>
      <c r="M60" s="305" t="str">
        <f ca="1">IF(COUNT(D59:F59)=0,"",ROUND(NB!E59,2))</f>
        <v/>
      </c>
      <c r="N60" s="306" t="str">
        <f ca="1">IF(COUNT(D60:K60)=0,"",ROUND(NB!I59,2))</f>
        <v/>
      </c>
      <c r="O60" s="288" t="str">
        <f ca="1">IF(OR(COUNT(D59:G59)*COUNT(D60:K60)&gt;0,AND($C$1="KA / mdl.",COUNT(D60:L60)&gt;0)),ROUNDUP(NB!J59,2),"")</f>
        <v/>
      </c>
      <c r="P60" s="286" t="str">
        <f ca="1">INDIRECT(IF(ADDRESS($A59+3,3,4,,"II1Ext")="","",ADDRESS($A59+3,3,4,,"II1Ext")))</f>
        <v/>
      </c>
      <c r="Q60" s="31" t="str">
        <f ca="1">INDIRECT(IF(ADDRESS($A59+3,3,4,,"II2Ext")="","",ADDRESS($A59+3,3,4,,"II2Ext")))</f>
        <v/>
      </c>
      <c r="R60" s="31" t="str">
        <f ca="1">INDIRECT(IF(ADDRESS($A59+3,3,4,,"II3Ext")="","",ADDRESS($A59+3,3,4,,"II3Ext")))</f>
        <v/>
      </c>
      <c r="S60" s="31" t="str">
        <f ca="1">INDIRECT(IF(ADDRESS($A59+3,3,4,,"II4Ext")="","",ADDRESS($A59+3,3,4,,"II4Ext")))</f>
        <v/>
      </c>
      <c r="T60" s="22"/>
      <c r="U60" s="23"/>
      <c r="V60" s="24"/>
      <c r="W60" s="25"/>
      <c r="X60" s="276"/>
      <c r="Y60" s="303" t="str">
        <f ca="1">IF(COUNT(P59:R59)=0,"",ROUND(NB!M59,2))</f>
        <v/>
      </c>
      <c r="Z60" s="304" t="str">
        <f ca="1">IF(COUNT(P60:X60)=0,"",ROUND(NB!Q59,2))</f>
        <v/>
      </c>
      <c r="AA60" s="207" t="str">
        <f ca="1">IF(OR(COUNT(P59:S59)*COUNT(P60:X60)&gt;0,AND($C$1="KA / mdl.",COUNT(P60:X60)&gt;0)),ROUNDUP(NB!R59,2),"")</f>
        <v/>
      </c>
      <c r="AB60" s="2" t="str">
        <f t="shared" si="0"/>
        <v/>
      </c>
    </row>
    <row r="61" spans="1:29" ht="12" customHeight="1" x14ac:dyDescent="0.2">
      <c r="A61" s="434">
        <f>A59+1</f>
        <v>29</v>
      </c>
      <c r="B61" s="174"/>
      <c r="C61" s="208" t="s">
        <v>102</v>
      </c>
      <c r="D61" s="277" t="str">
        <f ca="1">INDIRECT(IF(ADDRESS($A61+3,3,4,,"I1SA")="","",ADDRESS($A61+3,3,4,,"I1SA")))</f>
        <v/>
      </c>
      <c r="E61" s="278" t="str">
        <f ca="1">INDIRECT(IF(ADDRESS($A61+3,3,4,,"I2SA")="","",ADDRESS($A61+3,3,4,,"I2SA")))</f>
        <v/>
      </c>
      <c r="F61" s="278" t="str">
        <f ca="1">INDIRECT(IF(ADDRESS($A61+3,3,4,,"I3SA")="","",ADDRESS($A61+3,3,4,,"I3SA")))</f>
        <v/>
      </c>
      <c r="G61" s="279"/>
      <c r="H61" s="280"/>
      <c r="I61" s="281"/>
      <c r="J61" s="282"/>
      <c r="K61" s="280"/>
      <c r="L61" s="283"/>
      <c r="M61" s="102"/>
      <c r="N61" s="103" t="str">
        <f ca="1">IF(N62="","","")</f>
        <v/>
      </c>
      <c r="O61" s="287" t="str">
        <f ca="1">IF(OR(COUNT(D61:G61)*COUNT(D62:K62)&gt;0,AND($C$1="KA / mdl.",COUNT(D62:L62)&gt;0)),IF(O62&lt;1,0,ROUND(O62,0)),"")</f>
        <v/>
      </c>
      <c r="P61" s="285" t="str">
        <f ca="1">INDIRECT(IF(ADDRESS($A61+3,3,4,,"II1SA")="","",ADDRESS($A61+3,3,4,,"II1SA")))</f>
        <v/>
      </c>
      <c r="Q61" s="278" t="str">
        <f ca="1">INDIRECT(IF(ADDRESS($A61+3,3,4,,"II2SA")="","",ADDRESS($A61+3,3,4,,"II2SA")))</f>
        <v/>
      </c>
      <c r="R61" s="278" t="str">
        <f ca="1">INDIRECT(IF(ADDRESS($A61+3,3,4,,"II3SA")="","",ADDRESS($A61+3,3,4,,"II3SA")))</f>
        <v/>
      </c>
      <c r="S61" s="279"/>
      <c r="T61" s="278"/>
      <c r="U61" s="278"/>
      <c r="V61" s="278"/>
      <c r="W61" s="280"/>
      <c r="X61" s="283"/>
      <c r="Y61" s="413"/>
      <c r="Z61" s="414"/>
      <c r="AA61" s="27" t="str">
        <f ca="1">IF(OR(COUNT(P61:S61)*COUNT(P62:X62)&gt;0,AND($C$1="KA / mdl.",COUNT(P62:X62)&gt;0)),IF(AA62&lt;1,0,ROUND(AA62,0)),"")</f>
        <v/>
      </c>
      <c r="AB61" s="169"/>
    </row>
    <row r="62" spans="1:29" ht="12" customHeight="1" x14ac:dyDescent="0.2">
      <c r="A62" s="435"/>
      <c r="B62" s="175"/>
      <c r="C62" s="209" t="s">
        <v>103</v>
      </c>
      <c r="D62" s="31" t="str">
        <f ca="1">INDIRECT(IF(ADDRESS($A61+3,3,4,,"I1Ext")="","",ADDRESS($A61+3,3,4,,"I1Ext")))</f>
        <v/>
      </c>
      <c r="E62" s="31" t="str">
        <f ca="1">INDIRECT(IF(ADDRESS($A61+3,3,4,,"I2Ext")="","",ADDRESS($A61+3,3,4,,"I2Ext")))</f>
        <v/>
      </c>
      <c r="F62" s="31" t="str">
        <f ca="1">INDIRECT(IF(ADDRESS($A61+3,3,4,,"I3Ext")="","",ADDRESS($A61+3,3,4,,"I3Ext")))</f>
        <v/>
      </c>
      <c r="G62" s="31" t="str">
        <f ca="1">INDIRECT(IF(ADDRESS($A61+3,3,4,,"I4Ext")="","",ADDRESS($A61+3,3,4,,"I4Ext")))</f>
        <v/>
      </c>
      <c r="H62" s="22"/>
      <c r="I62" s="23"/>
      <c r="J62" s="24"/>
      <c r="K62" s="25"/>
      <c r="L62" s="25"/>
      <c r="M62" s="305" t="str">
        <f ca="1">IF(COUNT(D61:F61)=0,"",ROUND(NB!E61,2))</f>
        <v/>
      </c>
      <c r="N62" s="306" t="str">
        <f ca="1">IF(COUNT(D62:K62)=0,"",ROUND(NB!I61,2))</f>
        <v/>
      </c>
      <c r="O62" s="288" t="str">
        <f ca="1">IF(OR(COUNT(D61:G61)*COUNT(D62:K62)&gt;0,AND($C$1="KA / mdl.",COUNT(D62:L62)&gt;0)),ROUNDUP(NB!J61,2),"")</f>
        <v/>
      </c>
      <c r="P62" s="286" t="str">
        <f ca="1">INDIRECT(IF(ADDRESS($A61+3,3,4,,"II1Ext")="","",ADDRESS($A61+3,3,4,,"II1Ext")))</f>
        <v/>
      </c>
      <c r="Q62" s="31" t="str">
        <f ca="1">INDIRECT(IF(ADDRESS($A61+3,3,4,,"II2Ext")="","",ADDRESS($A61+3,3,4,,"II2Ext")))</f>
        <v/>
      </c>
      <c r="R62" s="31" t="str">
        <f ca="1">INDIRECT(IF(ADDRESS($A61+3,3,4,,"II3Ext")="","",ADDRESS($A61+3,3,4,,"II3Ext")))</f>
        <v/>
      </c>
      <c r="S62" s="31" t="str">
        <f ca="1">INDIRECT(IF(ADDRESS($A61+3,3,4,,"II4Ext")="","",ADDRESS($A61+3,3,4,,"II4Ext")))</f>
        <v/>
      </c>
      <c r="T62" s="22"/>
      <c r="U62" s="23"/>
      <c r="V62" s="24"/>
      <c r="W62" s="25"/>
      <c r="X62" s="276"/>
      <c r="Y62" s="303" t="str">
        <f ca="1">IF(COUNT(P61:R61)=0,"",ROUND(NB!M61,2))</f>
        <v/>
      </c>
      <c r="Z62" s="304" t="str">
        <f ca="1">IF(COUNT(P62:X62)=0,"",ROUND(NB!Q61,2))</f>
        <v/>
      </c>
      <c r="AA62" s="207" t="str">
        <f ca="1">IF(OR(COUNT(P61:S61)*COUNT(P62:X62)&gt;0,AND($C$1="KA / mdl.",COUNT(P62:X62)&gt;0)),ROUNDUP(NB!R61,2),"")</f>
        <v/>
      </c>
      <c r="AB62" s="2" t="str">
        <f t="shared" si="0"/>
        <v/>
      </c>
    </row>
    <row r="63" spans="1:29" x14ac:dyDescent="0.2">
      <c r="A63" s="434">
        <f>A61+1</f>
        <v>30</v>
      </c>
      <c r="B63" s="174" t="s">
        <v>26</v>
      </c>
      <c r="C63" s="208" t="s">
        <v>102</v>
      </c>
      <c r="D63" s="277" t="str">
        <f ca="1">INDIRECT(IF(ADDRESS($A63+3,3,4,,"I1SA")="","",ADDRESS($A63+3,3,4,,"I1SA")))</f>
        <v/>
      </c>
      <c r="E63" s="278" t="str">
        <f ca="1">INDIRECT(IF(ADDRESS($A63+3,3,4,,"I2SA")="","",ADDRESS($A63+3,3,4,,"I2SA")))</f>
        <v/>
      </c>
      <c r="F63" s="278" t="str">
        <f ca="1">INDIRECT(IF(ADDRESS($A63+3,3,4,,"I3SA")="","",ADDRESS($A63+3,3,4,,"I3SA")))</f>
        <v/>
      </c>
      <c r="G63" s="279"/>
      <c r="H63" s="280"/>
      <c r="I63" s="281"/>
      <c r="J63" s="282"/>
      <c r="K63" s="280"/>
      <c r="L63" s="283"/>
      <c r="M63" s="102"/>
      <c r="N63" s="103" t="str">
        <f ca="1">IF(N64="","","")</f>
        <v/>
      </c>
      <c r="O63" s="287" t="str">
        <f ca="1">IF(OR(COUNT(D63:G63)*COUNT(D64:K64)&gt;0,AND($C$1="KA / mdl.",COUNT(D64:L64)&gt;0)),IF(O64&lt;1,0,ROUND(O64,0)),"")</f>
        <v/>
      </c>
      <c r="P63" s="285" t="str">
        <f ca="1">INDIRECT(IF(ADDRESS($A63+3,3,4,,"II1SA")="","",ADDRESS($A63+3,3,4,,"II1SA")))</f>
        <v/>
      </c>
      <c r="Q63" s="278" t="str">
        <f ca="1">INDIRECT(IF(ADDRESS($A63+3,3,4,,"II2SA")="","",ADDRESS($A63+3,3,4,,"II2SA")))</f>
        <v/>
      </c>
      <c r="R63" s="278" t="str">
        <f ca="1">INDIRECT(IF(ADDRESS($A63+3,3,4,,"II3SA")="","",ADDRESS($A63+3,3,4,,"II3SA")))</f>
        <v/>
      </c>
      <c r="S63" s="279"/>
      <c r="T63" s="278"/>
      <c r="U63" s="278"/>
      <c r="V63" s="278"/>
      <c r="W63" s="280"/>
      <c r="X63" s="283"/>
      <c r="Y63" s="413"/>
      <c r="Z63" s="414"/>
      <c r="AA63" s="27" t="str">
        <f ca="1">IF(OR(COUNT(P63:S63)*COUNT(P64:X64)&gt;0,AND($C$1="KA / mdl.",COUNT(P64:X64)&gt;0)),IF(AA64&lt;1,0,ROUND(AA64,0)),"")</f>
        <v/>
      </c>
      <c r="AB63" s="169"/>
    </row>
    <row r="64" spans="1:29" x14ac:dyDescent="0.2">
      <c r="A64" s="435"/>
      <c r="B64" s="175" t="s">
        <v>26</v>
      </c>
      <c r="C64" s="209" t="s">
        <v>103</v>
      </c>
      <c r="D64" s="31" t="str">
        <f ca="1">INDIRECT(IF(ADDRESS($A63+3,3,4,,"I1Ext")="","",ADDRESS($A63+3,3,4,,"I1Ext")))</f>
        <v/>
      </c>
      <c r="E64" s="31" t="str">
        <f ca="1">INDIRECT(IF(ADDRESS($A63+3,3,4,,"I2Ext")="","",ADDRESS($A63+3,3,4,,"I2Ext")))</f>
        <v/>
      </c>
      <c r="F64" s="31" t="str">
        <f ca="1">INDIRECT(IF(ADDRESS($A63+3,3,4,,"I3Ext")="","",ADDRESS($A63+3,3,4,,"I3Ext")))</f>
        <v/>
      </c>
      <c r="G64" s="31" t="str">
        <f ca="1">INDIRECT(IF(ADDRESS($A63+3,3,4,,"I4Ext")="","",ADDRESS($A63+3,3,4,,"I4Ext")))</f>
        <v/>
      </c>
      <c r="H64" s="22"/>
      <c r="I64" s="23"/>
      <c r="J64" s="24"/>
      <c r="K64" s="25"/>
      <c r="L64" s="25"/>
      <c r="M64" s="305" t="str">
        <f ca="1">IF(COUNT(D63:F63)=0,"",ROUND(NB!E63,2))</f>
        <v/>
      </c>
      <c r="N64" s="306" t="str">
        <f ca="1">IF(COUNT(D64:K64)=0,"",ROUND(NB!I63,2))</f>
        <v/>
      </c>
      <c r="O64" s="288" t="str">
        <f ca="1">IF(OR(COUNT(D63:G63)*COUNT(D64:K64)&gt;0,AND($C$1="KA / mdl.",COUNT(D64:L64)&gt;0)),ROUNDUP(NB!J63,2),"")</f>
        <v/>
      </c>
      <c r="P64" s="286" t="str">
        <f ca="1">INDIRECT(IF(ADDRESS($A63+3,3,4,,"II1Ext")="","",ADDRESS($A63+3,3,4,,"II1Ext")))</f>
        <v/>
      </c>
      <c r="Q64" s="31" t="str">
        <f ca="1">INDIRECT(IF(ADDRESS($A63+3,3,4,,"II2Ext")="","",ADDRESS($A63+3,3,4,,"II2Ext")))</f>
        <v/>
      </c>
      <c r="R64" s="31" t="str">
        <f ca="1">INDIRECT(IF(ADDRESS($A63+3,3,4,,"II3Ext")="","",ADDRESS($A63+3,3,4,,"II3Ext")))</f>
        <v/>
      </c>
      <c r="S64" s="31" t="str">
        <f ca="1">INDIRECT(IF(ADDRESS($A63+3,3,4,,"II4Ext")="","",ADDRESS($A63+3,3,4,,"II4Ext")))</f>
        <v/>
      </c>
      <c r="T64" s="22"/>
      <c r="U64" s="23"/>
      <c r="V64" s="24"/>
      <c r="W64" s="25"/>
      <c r="X64" s="276"/>
      <c r="Y64" s="303" t="str">
        <f ca="1">IF(COUNT(P63:R63)=0,"",ROUND(NB!M63,2))</f>
        <v/>
      </c>
      <c r="Z64" s="304" t="str">
        <f ca="1">IF(COUNT(P64:X64)=0,"",ROUND(NB!Q63,2))</f>
        <v/>
      </c>
      <c r="AA64" s="207" t="str">
        <f ca="1">IF(OR(COUNT(P63:S63)*COUNT(P64:X64)&gt;0,AND($C$1="KA / mdl.",COUNT(P64:X64)&gt;0)),ROUNDUP(NB!R63,2),"")</f>
        <v/>
      </c>
      <c r="AB64" s="2" t="str">
        <f t="shared" si="0"/>
        <v/>
      </c>
    </row>
    <row r="65" spans="1:28" x14ac:dyDescent="0.2">
      <c r="A65" s="434">
        <f>A63+1</f>
        <v>31</v>
      </c>
      <c r="B65" s="174" t="s">
        <v>26</v>
      </c>
      <c r="C65" s="208" t="s">
        <v>102</v>
      </c>
      <c r="D65" s="277" t="str">
        <f ca="1">INDIRECT(IF(ADDRESS($A65+3,3,4,,"I1SA")="","",ADDRESS($A65+3,3,4,,"I1SA")))</f>
        <v/>
      </c>
      <c r="E65" s="278" t="str">
        <f ca="1">INDIRECT(IF(ADDRESS($A65+3,3,4,,"I2SA")="","",ADDRESS($A65+3,3,4,,"I2SA")))</f>
        <v/>
      </c>
      <c r="F65" s="278" t="str">
        <f ca="1">INDIRECT(IF(ADDRESS($A65+3,3,4,,"I3SA")="","",ADDRESS($A65+3,3,4,,"I3SA")))</f>
        <v/>
      </c>
      <c r="G65" s="279"/>
      <c r="H65" s="280"/>
      <c r="I65" s="281"/>
      <c r="J65" s="282"/>
      <c r="K65" s="280"/>
      <c r="L65" s="283"/>
      <c r="M65" s="102"/>
      <c r="N65" s="103" t="str">
        <f ca="1">IF(N66="","","")</f>
        <v/>
      </c>
      <c r="O65" s="287" t="str">
        <f ca="1">IF(OR(COUNT(D65:G65)*COUNT(D66:K66)&gt;0,AND($C$1="KA / mdl.",COUNT(D66:L66)&gt;0)),IF(O66&lt;1,0,ROUND(O66,0)),"")</f>
        <v/>
      </c>
      <c r="P65" s="285" t="str">
        <f ca="1">INDIRECT(IF(ADDRESS($A65+3,3,4,,"II1SA")="","",ADDRESS($A65+3,3,4,,"II1SA")))</f>
        <v/>
      </c>
      <c r="Q65" s="278" t="str">
        <f ca="1">INDIRECT(IF(ADDRESS($A65+3,3,4,,"II2SA")="","",ADDRESS($A65+3,3,4,,"II2SA")))</f>
        <v/>
      </c>
      <c r="R65" s="278" t="str">
        <f ca="1">INDIRECT(IF(ADDRESS($A65+3,3,4,,"II3SA")="","",ADDRESS($A65+3,3,4,,"II3SA")))</f>
        <v/>
      </c>
      <c r="S65" s="279"/>
      <c r="T65" s="278"/>
      <c r="U65" s="278"/>
      <c r="V65" s="278"/>
      <c r="W65" s="280"/>
      <c r="X65" s="283"/>
      <c r="Y65" s="413"/>
      <c r="Z65" s="414"/>
      <c r="AA65" s="27" t="str">
        <f ca="1">IF(OR(COUNT(P65:S65)*COUNT(P66:X66)&gt;0,AND($C$1="KA / mdl.",COUNT(P66:X66)&gt;0)),IF(AA66&lt;1,0,ROUND(AA66,0)),"")</f>
        <v/>
      </c>
      <c r="AB65" s="169"/>
    </row>
    <row r="66" spans="1:28" x14ac:dyDescent="0.2">
      <c r="A66" s="435"/>
      <c r="B66" s="175" t="s">
        <v>26</v>
      </c>
      <c r="C66" s="209" t="s">
        <v>103</v>
      </c>
      <c r="D66" s="31" t="str">
        <f ca="1">INDIRECT(IF(ADDRESS($A65+3,3,4,,"I1Ext")="","",ADDRESS($A65+3,3,4,,"I1Ext")))</f>
        <v/>
      </c>
      <c r="E66" s="31" t="str">
        <f ca="1">INDIRECT(IF(ADDRESS($A65+3,3,4,,"I2Ext")="","",ADDRESS($A65+3,3,4,,"I2Ext")))</f>
        <v/>
      </c>
      <c r="F66" s="31" t="str">
        <f ca="1">INDIRECT(IF(ADDRESS($A65+3,3,4,,"I3Ext")="","",ADDRESS($A65+3,3,4,,"I3Ext")))</f>
        <v/>
      </c>
      <c r="G66" s="31" t="str">
        <f ca="1">INDIRECT(IF(ADDRESS($A65+3,3,4,,"I4Ext")="","",ADDRESS($A65+3,3,4,,"I4Ext")))</f>
        <v/>
      </c>
      <c r="H66" s="22"/>
      <c r="I66" s="23"/>
      <c r="J66" s="24"/>
      <c r="K66" s="25"/>
      <c r="L66" s="25"/>
      <c r="M66" s="305" t="str">
        <f ca="1">IF(COUNT(D65:F65)=0,"",ROUND(NB!E65,2))</f>
        <v/>
      </c>
      <c r="N66" s="306" t="str">
        <f ca="1">IF(COUNT(D66:K66)=0,"",ROUND(NB!I65,2))</f>
        <v/>
      </c>
      <c r="O66" s="288" t="str">
        <f ca="1">IF(OR(COUNT(D65:G65)*COUNT(D66:K66)&gt;0,AND($C$1="KA / mdl.",COUNT(D66:L66)&gt;0)),ROUNDUP(NB!J65,2),"")</f>
        <v/>
      </c>
      <c r="P66" s="286" t="str">
        <f ca="1">INDIRECT(IF(ADDRESS($A65+3,3,4,,"II1Ext")="","",ADDRESS($A65+3,3,4,,"II1Ext")))</f>
        <v/>
      </c>
      <c r="Q66" s="31" t="str">
        <f ca="1">INDIRECT(IF(ADDRESS($A65+3,3,4,,"II2Ext")="","",ADDRESS($A65+3,3,4,,"II2Ext")))</f>
        <v/>
      </c>
      <c r="R66" s="31" t="str">
        <f ca="1">INDIRECT(IF(ADDRESS($A65+3,3,4,,"II3Ext")="","",ADDRESS($A65+3,3,4,,"II3Ext")))</f>
        <v/>
      </c>
      <c r="S66" s="31" t="str">
        <f ca="1">INDIRECT(IF(ADDRESS($A65+3,3,4,,"II4Ext")="","",ADDRESS($A65+3,3,4,,"II4Ext")))</f>
        <v/>
      </c>
      <c r="T66" s="22"/>
      <c r="U66" s="23"/>
      <c r="V66" s="24"/>
      <c r="W66" s="25"/>
      <c r="X66" s="276"/>
      <c r="Y66" s="303" t="str">
        <f ca="1">IF(COUNT(P65:R65)=0,"",ROUND(NB!M65,2))</f>
        <v/>
      </c>
      <c r="Z66" s="304" t="str">
        <f ca="1">IF(COUNT(P66:X66)=0,"",ROUND(NB!Q65,2))</f>
        <v/>
      </c>
      <c r="AA66" s="207" t="str">
        <f ca="1">IF(OR(COUNT(P65:S65)*COUNT(P66:X66)&gt;0,AND($C$1="KA / mdl.",COUNT(P66:X66)&gt;0)),ROUNDUP(NB!R65,2),"")</f>
        <v/>
      </c>
      <c r="AB66" s="2" t="str">
        <f t="shared" si="0"/>
        <v/>
      </c>
    </row>
    <row r="67" spans="1:28" x14ac:dyDescent="0.2">
      <c r="A67" s="434">
        <f>A65+1</f>
        <v>32</v>
      </c>
      <c r="B67" s="174" t="s">
        <v>26</v>
      </c>
      <c r="C67" s="208" t="s">
        <v>102</v>
      </c>
      <c r="D67" s="277" t="str">
        <f ca="1">INDIRECT(IF(ADDRESS($A67+3,3,4,,"I1SA")="","",ADDRESS($A67+3,3,4,,"I1SA")))</f>
        <v/>
      </c>
      <c r="E67" s="278" t="str">
        <f ca="1">INDIRECT(IF(ADDRESS($A67+3,3,4,,"I2SA")="","",ADDRESS($A67+3,3,4,,"I2SA")))</f>
        <v/>
      </c>
      <c r="F67" s="278" t="str">
        <f ca="1">INDIRECT(IF(ADDRESS($A67+3,3,4,,"I3SA")="","",ADDRESS($A67+3,3,4,,"I3SA")))</f>
        <v/>
      </c>
      <c r="G67" s="279"/>
      <c r="H67" s="280"/>
      <c r="I67" s="281"/>
      <c r="J67" s="282"/>
      <c r="K67" s="280"/>
      <c r="L67" s="283"/>
      <c r="M67" s="102"/>
      <c r="N67" s="103" t="str">
        <f ca="1">IF(N68="","","")</f>
        <v/>
      </c>
      <c r="O67" s="287" t="str">
        <f ca="1">IF(OR(COUNT(D67:G67)*COUNT(D68:K68)&gt;0,AND($C$1="KA / mdl.",COUNT(D68:L68)&gt;0)),IF(O68&lt;1,0,ROUND(O68,0)),"")</f>
        <v/>
      </c>
      <c r="P67" s="285" t="str">
        <f ca="1">INDIRECT(IF(ADDRESS($A67+3,3,4,,"II1SA")="","",ADDRESS($A67+3,3,4,,"II1SA")))</f>
        <v/>
      </c>
      <c r="Q67" s="278" t="str">
        <f ca="1">INDIRECT(IF(ADDRESS($A67+3,3,4,,"II2SA")="","",ADDRESS($A67+3,3,4,,"II2SA")))</f>
        <v/>
      </c>
      <c r="R67" s="278" t="str">
        <f ca="1">INDIRECT(IF(ADDRESS($A67+3,3,4,,"II3SA")="","",ADDRESS($A67+3,3,4,,"II3SA")))</f>
        <v/>
      </c>
      <c r="S67" s="279"/>
      <c r="T67" s="278"/>
      <c r="U67" s="278"/>
      <c r="V67" s="278"/>
      <c r="W67" s="280"/>
      <c r="X67" s="283"/>
      <c r="Y67" s="413"/>
      <c r="Z67" s="414"/>
      <c r="AA67" s="27" t="str">
        <f ca="1">IF(OR(COUNT(P67:S67)*COUNT(P68:X68)&gt;0,AND($C$1="KA / mdl.",COUNT(P68:X68)&gt;0)),IF(AA68&lt;1,0,ROUND(AA68,0)),"")</f>
        <v/>
      </c>
      <c r="AB67" s="169"/>
    </row>
    <row r="68" spans="1:28" x14ac:dyDescent="0.2">
      <c r="A68" s="435"/>
      <c r="B68" s="175" t="s">
        <v>26</v>
      </c>
      <c r="C68" s="209" t="s">
        <v>103</v>
      </c>
      <c r="D68" s="31" t="str">
        <f ca="1">INDIRECT(IF(ADDRESS($A67+3,3,4,,"I1Ext")="","",ADDRESS($A67+3,3,4,,"I1Ext")))</f>
        <v/>
      </c>
      <c r="E68" s="31" t="str">
        <f ca="1">INDIRECT(IF(ADDRESS($A67+3,3,4,,"I2Ext")="","",ADDRESS($A67+3,3,4,,"I2Ext")))</f>
        <v/>
      </c>
      <c r="F68" s="31" t="str">
        <f ca="1">INDIRECT(IF(ADDRESS($A67+3,3,4,,"I3Ext")="","",ADDRESS($A67+3,3,4,,"I3Ext")))</f>
        <v/>
      </c>
      <c r="G68" s="31" t="str">
        <f ca="1">INDIRECT(IF(ADDRESS($A67+3,3,4,,"I4Ext")="","",ADDRESS($A67+3,3,4,,"I4Ext")))</f>
        <v/>
      </c>
      <c r="H68" s="22"/>
      <c r="I68" s="23"/>
      <c r="J68" s="24"/>
      <c r="K68" s="25"/>
      <c r="L68" s="25"/>
      <c r="M68" s="305" t="str">
        <f ca="1">IF(COUNT(D67:F67)=0,"",ROUND(NB!E67,2))</f>
        <v/>
      </c>
      <c r="N68" s="306" t="str">
        <f ca="1">IF(COUNT(D68:K68)=0,"",ROUND(NB!I67,2))</f>
        <v/>
      </c>
      <c r="O68" s="288" t="str">
        <f ca="1">IF(OR(COUNT(D67:G67)*COUNT(D68:K68)&gt;0,AND($C$1="KA / mdl.",COUNT(D68:L68)&gt;0)),ROUNDUP(NB!J67,2),"")</f>
        <v/>
      </c>
      <c r="P68" s="286" t="str">
        <f ca="1">INDIRECT(IF(ADDRESS($A67+3,3,4,,"II1Ext")="","",ADDRESS($A67+3,3,4,,"II1Ext")))</f>
        <v/>
      </c>
      <c r="Q68" s="31" t="str">
        <f ca="1">INDIRECT(IF(ADDRESS($A67+3,3,4,,"II2Ext")="","",ADDRESS($A67+3,3,4,,"II2Ext")))</f>
        <v/>
      </c>
      <c r="R68" s="31" t="str">
        <f ca="1">INDIRECT(IF(ADDRESS($A67+3,3,4,,"II3Ext")="","",ADDRESS($A67+3,3,4,,"II3Ext")))</f>
        <v/>
      </c>
      <c r="S68" s="31" t="str">
        <f ca="1">INDIRECT(IF(ADDRESS($A67+3,3,4,,"II4Ext")="","",ADDRESS($A67+3,3,4,,"II4Ext")))</f>
        <v/>
      </c>
      <c r="T68" s="22"/>
      <c r="U68" s="23"/>
      <c r="V68" s="24"/>
      <c r="W68" s="25"/>
      <c r="X68" s="276"/>
      <c r="Y68" s="303" t="str">
        <f ca="1">IF(COUNT(P67:R67)=0,"",ROUND(NB!M67,2))</f>
        <v/>
      </c>
      <c r="Z68" s="304" t="str">
        <f ca="1">IF(COUNT(P68:X68)=0,"",ROUND(NB!Q67,2))</f>
        <v/>
      </c>
      <c r="AA68" s="207" t="str">
        <f ca="1">IF(OR(COUNT(P67:S67)*COUNT(P68:X68)&gt;0,AND($C$1="KA / mdl.",COUNT(P68:X68)&gt;0)),ROUNDUP(NB!R67,2),"")</f>
        <v/>
      </c>
      <c r="AB68" s="2" t="str">
        <f t="shared" si="0"/>
        <v/>
      </c>
    </row>
    <row r="69" spans="1:28" x14ac:dyDescent="0.2">
      <c r="A69" s="434">
        <f>A67+1</f>
        <v>33</v>
      </c>
      <c r="B69" s="174" t="s">
        <v>26</v>
      </c>
      <c r="C69" s="208" t="s">
        <v>102</v>
      </c>
      <c r="D69" s="277" t="str">
        <f ca="1">INDIRECT(IF(ADDRESS($A69+3,3,4,,"I1SA")="","",ADDRESS($A69+3,3,4,,"I1SA")))</f>
        <v/>
      </c>
      <c r="E69" s="278" t="str">
        <f ca="1">INDIRECT(IF(ADDRESS($A69+3,3,4,,"I2SA")="","",ADDRESS($A69+3,3,4,,"I2SA")))</f>
        <v/>
      </c>
      <c r="F69" s="278" t="str">
        <f ca="1">INDIRECT(IF(ADDRESS($A69+3,3,4,,"I3SA")="","",ADDRESS($A69+3,3,4,,"I3SA")))</f>
        <v/>
      </c>
      <c r="G69" s="279"/>
      <c r="H69" s="280"/>
      <c r="I69" s="281"/>
      <c r="J69" s="282"/>
      <c r="K69" s="280"/>
      <c r="L69" s="283"/>
      <c r="M69" s="102"/>
      <c r="N69" s="103" t="str">
        <f ca="1">IF(N70="","","")</f>
        <v/>
      </c>
      <c r="O69" s="287" t="str">
        <f ca="1">IF(OR(COUNT(D69:G69)*COUNT(D70:K70)&gt;0,AND($C$1="KA / mdl.",COUNT(D70:L70)&gt;0)),IF(O70&lt;1,0,ROUND(O70,0)),"")</f>
        <v/>
      </c>
      <c r="P69" s="285" t="str">
        <f ca="1">INDIRECT(IF(ADDRESS($A69+3,3,4,,"II1SA")="","",ADDRESS($A69+3,3,4,,"II1SA")))</f>
        <v/>
      </c>
      <c r="Q69" s="278" t="str">
        <f ca="1">INDIRECT(IF(ADDRESS($A69+3,3,4,,"II2SA")="","",ADDRESS($A69+3,3,4,,"II2SA")))</f>
        <v/>
      </c>
      <c r="R69" s="278" t="str">
        <f ca="1">INDIRECT(IF(ADDRESS($A69+3,3,4,,"II3SA")="","",ADDRESS($A69+3,3,4,,"II3SA")))</f>
        <v/>
      </c>
      <c r="S69" s="279"/>
      <c r="T69" s="278"/>
      <c r="U69" s="278"/>
      <c r="V69" s="278"/>
      <c r="W69" s="280"/>
      <c r="X69" s="283"/>
      <c r="Y69" s="413"/>
      <c r="Z69" s="414"/>
      <c r="AA69" s="27" t="str">
        <f ca="1">IF(OR(COUNT(P69:S69)*COUNT(P70:X70)&gt;0,AND($C$1="KA / mdl.",COUNT(P70:X70)&gt;0)),IF(AA70&lt;1,0,ROUND(AA70,0)),"")</f>
        <v/>
      </c>
      <c r="AB69" s="169"/>
    </row>
    <row r="70" spans="1:28" x14ac:dyDescent="0.2">
      <c r="A70" s="435"/>
      <c r="B70" s="175" t="s">
        <v>26</v>
      </c>
      <c r="C70" s="209" t="s">
        <v>103</v>
      </c>
      <c r="D70" s="31" t="str">
        <f ca="1">INDIRECT(IF(ADDRESS($A69+3,3,4,,"I1Ext")="","",ADDRESS($A69+3,3,4,,"I1Ext")))</f>
        <v/>
      </c>
      <c r="E70" s="31" t="str">
        <f ca="1">INDIRECT(IF(ADDRESS($A69+3,3,4,,"I2Ext")="","",ADDRESS($A69+3,3,4,,"I2Ext")))</f>
        <v/>
      </c>
      <c r="F70" s="31" t="str">
        <f ca="1">INDIRECT(IF(ADDRESS($A69+3,3,4,,"I3Ext")="","",ADDRESS($A69+3,3,4,,"I3Ext")))</f>
        <v/>
      </c>
      <c r="G70" s="31" t="str">
        <f ca="1">INDIRECT(IF(ADDRESS($A69+3,3,4,,"I4Ext")="","",ADDRESS($A69+3,3,4,,"I4Ext")))</f>
        <v/>
      </c>
      <c r="H70" s="22"/>
      <c r="I70" s="23"/>
      <c r="J70" s="24"/>
      <c r="K70" s="25"/>
      <c r="L70" s="25"/>
      <c r="M70" s="305" t="str">
        <f ca="1">IF(COUNT(D69:F69)=0,"",ROUND(NB!E69,2))</f>
        <v/>
      </c>
      <c r="N70" s="306" t="str">
        <f ca="1">IF(COUNT(D70:K70)=0,"",ROUND(NB!I69,2))</f>
        <v/>
      </c>
      <c r="O70" s="288" t="str">
        <f ca="1">IF(OR(COUNT(D69:G69)*COUNT(D70:K70)&gt;0,AND($C$1="KA / mdl.",COUNT(D70:L70)&gt;0)),ROUNDUP(NB!J69,2),"")</f>
        <v/>
      </c>
      <c r="P70" s="286" t="str">
        <f ca="1">INDIRECT(IF(ADDRESS($A69+3,3,4,,"II1Ext")="","",ADDRESS($A69+3,3,4,,"II1Ext")))</f>
        <v/>
      </c>
      <c r="Q70" s="31" t="str">
        <f ca="1">INDIRECT(IF(ADDRESS($A69+3,3,4,,"II2Ext")="","",ADDRESS($A69+3,3,4,,"II2Ext")))</f>
        <v/>
      </c>
      <c r="R70" s="31" t="str">
        <f ca="1">INDIRECT(IF(ADDRESS($A69+3,3,4,,"II3Ext")="","",ADDRESS($A69+3,3,4,,"II3Ext")))</f>
        <v/>
      </c>
      <c r="S70" s="31" t="str">
        <f ca="1">INDIRECT(IF(ADDRESS($A69+3,3,4,,"II4Ext")="","",ADDRESS($A69+3,3,4,,"II4Ext")))</f>
        <v/>
      </c>
      <c r="T70" s="22"/>
      <c r="U70" s="23"/>
      <c r="V70" s="24"/>
      <c r="W70" s="25"/>
      <c r="X70" s="276"/>
      <c r="Y70" s="303" t="str">
        <f ca="1">IF(COUNT(P69:R69)=0,"",ROUND(NB!M69,2))</f>
        <v/>
      </c>
      <c r="Z70" s="304" t="str">
        <f ca="1">IF(COUNT(P70:X70)=0,"",ROUND(NB!Q69,2))</f>
        <v/>
      </c>
      <c r="AA70" s="207" t="str">
        <f ca="1">IF(OR(COUNT(P69:S69)*COUNT(P70:X70)&gt;0,AND($C$1="KA / mdl.",COUNT(P70:X70)&gt;0)),ROUNDUP(NB!R69,2),"")</f>
        <v/>
      </c>
      <c r="AB70" s="2" t="str">
        <f t="shared" si="0"/>
        <v/>
      </c>
    </row>
    <row r="71" spans="1:28" x14ac:dyDescent="0.2">
      <c r="A71" s="434">
        <f>A69+1</f>
        <v>34</v>
      </c>
      <c r="B71" s="174" t="s">
        <v>26</v>
      </c>
      <c r="C71" s="208" t="s">
        <v>102</v>
      </c>
      <c r="D71" s="277" t="str">
        <f ca="1">INDIRECT(IF(ADDRESS($A71+3,3,4,,"I1SA")="","",ADDRESS($A71+3,3,4,,"I1SA")))</f>
        <v/>
      </c>
      <c r="E71" s="278" t="str">
        <f ca="1">INDIRECT(IF(ADDRESS($A71+3,3,4,,"I2SA")="","",ADDRESS($A71+3,3,4,,"I2SA")))</f>
        <v/>
      </c>
      <c r="F71" s="278" t="str">
        <f ca="1">INDIRECT(IF(ADDRESS($A71+3,3,4,,"I3SA")="","",ADDRESS($A71+3,3,4,,"I3SA")))</f>
        <v/>
      </c>
      <c r="G71" s="279"/>
      <c r="H71" s="280"/>
      <c r="I71" s="281"/>
      <c r="J71" s="282"/>
      <c r="K71" s="280"/>
      <c r="L71" s="283"/>
      <c r="M71" s="102"/>
      <c r="N71" s="103" t="str">
        <f ca="1">IF(N72="","","")</f>
        <v/>
      </c>
      <c r="O71" s="287" t="str">
        <f ca="1">IF(OR(COUNT(D71:G71)*COUNT(D72:K72)&gt;0,AND($C$1="KA / mdl.",COUNT(D72:L72)&gt;0)),IF(O72&lt;1,0,ROUND(O72,0)),"")</f>
        <v/>
      </c>
      <c r="P71" s="285" t="str">
        <f ca="1">INDIRECT(IF(ADDRESS($A71+3,3,4,,"II1SA")="","",ADDRESS($A71+3,3,4,,"II1SA")))</f>
        <v/>
      </c>
      <c r="Q71" s="278" t="str">
        <f ca="1">INDIRECT(IF(ADDRESS($A71+3,3,4,,"II2SA")="","",ADDRESS($A71+3,3,4,,"II2SA")))</f>
        <v/>
      </c>
      <c r="R71" s="278" t="str">
        <f ca="1">INDIRECT(IF(ADDRESS($A71+3,3,4,,"II3SA")="","",ADDRESS($A71+3,3,4,,"II3SA")))</f>
        <v/>
      </c>
      <c r="S71" s="279"/>
      <c r="T71" s="278"/>
      <c r="U71" s="278"/>
      <c r="V71" s="278"/>
      <c r="W71" s="280"/>
      <c r="X71" s="283"/>
      <c r="Y71" s="413"/>
      <c r="Z71" s="414"/>
      <c r="AA71" s="27" t="str">
        <f ca="1">IF(OR(COUNT(P71:S71)*COUNT(P72:X72)&gt;0,AND($C$1="KA / mdl.",COUNT(P72:X72)&gt;0)),IF(AA72&lt;1,0,ROUND(AA72,0)),"")</f>
        <v/>
      </c>
      <c r="AB71" s="169"/>
    </row>
    <row r="72" spans="1:28" x14ac:dyDescent="0.2">
      <c r="A72" s="435"/>
      <c r="B72" s="175" t="s">
        <v>26</v>
      </c>
      <c r="C72" s="209" t="s">
        <v>103</v>
      </c>
      <c r="D72" s="31" t="str">
        <f ca="1">INDIRECT(IF(ADDRESS($A71+3,3,4,,"I1Ext")="","",ADDRESS($A71+3,3,4,,"I1Ext")))</f>
        <v/>
      </c>
      <c r="E72" s="31" t="str">
        <f ca="1">INDIRECT(IF(ADDRESS($A71+3,3,4,,"I2Ext")="","",ADDRESS($A71+3,3,4,,"I2Ext")))</f>
        <v/>
      </c>
      <c r="F72" s="31" t="str">
        <f ca="1">INDIRECT(IF(ADDRESS($A71+3,3,4,,"I3Ext")="","",ADDRESS($A71+3,3,4,,"I3Ext")))</f>
        <v/>
      </c>
      <c r="G72" s="31" t="str">
        <f ca="1">INDIRECT(IF(ADDRESS($A71+3,3,4,,"I4Ext")="","",ADDRESS($A71+3,3,4,,"I4Ext")))</f>
        <v/>
      </c>
      <c r="H72" s="22"/>
      <c r="I72" s="23"/>
      <c r="J72" s="24"/>
      <c r="K72" s="25"/>
      <c r="L72" s="25"/>
      <c r="M72" s="305" t="str">
        <f ca="1">IF(COUNT(D71:F71)=0,"",ROUND(NB!E71,2))</f>
        <v/>
      </c>
      <c r="N72" s="306" t="str">
        <f ca="1">IF(COUNT(D72:K72)=0,"",ROUND(NB!I71,2))</f>
        <v/>
      </c>
      <c r="O72" s="288" t="str">
        <f ca="1">IF(OR(COUNT(D71:G71)*COUNT(D72:K72)&gt;0,AND($C$1="KA / mdl.",COUNT(D72:L72)&gt;0)),ROUNDUP(NB!J71,2),"")</f>
        <v/>
      </c>
      <c r="P72" s="286" t="str">
        <f ca="1">INDIRECT(IF(ADDRESS($A71+3,3,4,,"II1Ext")="","",ADDRESS($A71+3,3,4,,"II1Ext")))</f>
        <v/>
      </c>
      <c r="Q72" s="31" t="str">
        <f ca="1">INDIRECT(IF(ADDRESS($A71+3,3,4,,"II2Ext")="","",ADDRESS($A71+3,3,4,,"II2Ext")))</f>
        <v/>
      </c>
      <c r="R72" s="31" t="str">
        <f ca="1">INDIRECT(IF(ADDRESS($A71+3,3,4,,"II3Ext")="","",ADDRESS($A71+3,3,4,,"II3Ext")))</f>
        <v/>
      </c>
      <c r="S72" s="31" t="str">
        <f ca="1">INDIRECT(IF(ADDRESS($A71+3,3,4,,"II4Ext")="","",ADDRESS($A71+3,3,4,,"II4Ext")))</f>
        <v/>
      </c>
      <c r="T72" s="22"/>
      <c r="U72" s="23"/>
      <c r="V72" s="24"/>
      <c r="W72" s="25"/>
      <c r="X72" s="276"/>
      <c r="Y72" s="303" t="str">
        <f ca="1">IF(COUNT(P71:R71)=0,"",ROUND(NB!M71,2))</f>
        <v/>
      </c>
      <c r="Z72" s="304" t="str">
        <f ca="1">IF(COUNT(P72:X72)=0,"",ROUND(NB!Q71,2))</f>
        <v/>
      </c>
      <c r="AA72" s="207" t="str">
        <f ca="1">IF(OR(COUNT(P71:S71)*COUNT(P72:X72)&gt;0,AND($C$1="KA / mdl.",COUNT(P72:X72)&gt;0)),ROUNDUP(NB!R71,2),"")</f>
        <v/>
      </c>
      <c r="AB72" s="2" t="str">
        <f t="shared" si="0"/>
        <v/>
      </c>
    </row>
    <row r="73" spans="1:28" x14ac:dyDescent="0.2">
      <c r="A73" s="434">
        <f>A71+1</f>
        <v>35</v>
      </c>
      <c r="B73" s="174" t="s">
        <v>26</v>
      </c>
      <c r="C73" s="208" t="s">
        <v>102</v>
      </c>
      <c r="D73" s="277" t="str">
        <f ca="1">INDIRECT(IF(ADDRESS($A73+3,3,4,,"I1SA")="","",ADDRESS($A73+3,3,4,,"I1SA")))</f>
        <v/>
      </c>
      <c r="E73" s="278" t="str">
        <f ca="1">INDIRECT(IF(ADDRESS($A73+3,3,4,,"I2SA")="","",ADDRESS($A73+3,3,4,,"I2SA")))</f>
        <v/>
      </c>
      <c r="F73" s="278" t="str">
        <f ca="1">INDIRECT(IF(ADDRESS($A73+3,3,4,,"I3SA")="","",ADDRESS($A73+3,3,4,,"I3SA")))</f>
        <v/>
      </c>
      <c r="G73" s="279"/>
      <c r="H73" s="280"/>
      <c r="I73" s="281"/>
      <c r="J73" s="282"/>
      <c r="K73" s="280"/>
      <c r="L73" s="283"/>
      <c r="M73" s="102"/>
      <c r="N73" s="103" t="str">
        <f ca="1">IF(N74="","","")</f>
        <v/>
      </c>
      <c r="O73" s="287" t="str">
        <f ca="1">IF(OR(COUNT(D73:G73)*COUNT(D74:K74)&gt;0,AND($C$1="KA / mdl.",COUNT(D74:L74)&gt;0)),IF(O74&lt;1,0,ROUND(O74,0)),"")</f>
        <v/>
      </c>
      <c r="P73" s="285" t="str">
        <f ca="1">INDIRECT(IF(ADDRESS($A73+3,3,4,,"II1SA")="","",ADDRESS($A73+3,3,4,,"II1SA")))</f>
        <v/>
      </c>
      <c r="Q73" s="278" t="str">
        <f ca="1">INDIRECT(IF(ADDRESS($A73+3,3,4,,"II2SA")="","",ADDRESS($A73+3,3,4,,"II2SA")))</f>
        <v/>
      </c>
      <c r="R73" s="278" t="str">
        <f ca="1">INDIRECT(IF(ADDRESS($A73+3,3,4,,"II3SA")="","",ADDRESS($A73+3,3,4,,"II3SA")))</f>
        <v/>
      </c>
      <c r="S73" s="279"/>
      <c r="T73" s="278"/>
      <c r="U73" s="278"/>
      <c r="V73" s="278"/>
      <c r="W73" s="280"/>
      <c r="X73" s="283"/>
      <c r="Y73" s="413"/>
      <c r="Z73" s="414"/>
      <c r="AA73" s="27" t="str">
        <f ca="1">IF(OR(COUNT(P73:S73)*COUNT(P74:X74)&gt;0,AND($C$1="KA / mdl.",COUNT(P74:X74)&gt;0)),IF(AA74&lt;1,0,ROUND(AA74,0)),"")</f>
        <v/>
      </c>
      <c r="AB73" s="169"/>
    </row>
    <row r="74" spans="1:28" ht="13.5" thickBot="1" x14ac:dyDescent="0.25">
      <c r="A74" s="435"/>
      <c r="B74" s="175" t="s">
        <v>26</v>
      </c>
      <c r="C74" s="209" t="s">
        <v>103</v>
      </c>
      <c r="D74" s="31" t="str">
        <f ca="1">INDIRECT(IF(ADDRESS($A73+3,3,4,,"I1Ext")="","",ADDRESS($A73+3,3,4,,"I1Ext")))</f>
        <v/>
      </c>
      <c r="E74" s="31" t="str">
        <f ca="1">INDIRECT(IF(ADDRESS($A73+3,3,4,,"I2Ext")="","",ADDRESS($A73+3,3,4,,"I2Ext")))</f>
        <v/>
      </c>
      <c r="F74" s="31" t="str">
        <f ca="1">INDIRECT(IF(ADDRESS($A73+3,3,4,,"I3Ext")="","",ADDRESS($A73+3,3,4,,"I3Ext")))</f>
        <v/>
      </c>
      <c r="G74" s="31" t="str">
        <f ca="1">INDIRECT(IF(ADDRESS($A73+3,3,4,,"I4Ext")="","",ADDRESS($A73+3,3,4,,"I4Ext")))</f>
        <v/>
      </c>
      <c r="H74" s="22"/>
      <c r="I74" s="23"/>
      <c r="J74" s="24"/>
      <c r="K74" s="25"/>
      <c r="L74" s="25"/>
      <c r="M74" s="305" t="str">
        <f ca="1">IF(COUNT(D73:F73)=0,"",ROUND(NB!E73,2))</f>
        <v/>
      </c>
      <c r="N74" s="306" t="str">
        <f ca="1">IF(COUNT(D74:K74)=0,"",ROUND(NB!I73,2))</f>
        <v/>
      </c>
      <c r="O74" s="289" t="str">
        <f ca="1">IF(OR(COUNT(D73:G73)*COUNT(D74:K74)&gt;0,AND($C$1="KA / mdl.",COUNT(D74:L74)&gt;0)),ROUNDUP(NB!J73,2),"")</f>
        <v/>
      </c>
      <c r="P74" s="286" t="str">
        <f ca="1">INDIRECT(IF(ADDRESS($A73+3,3,4,,"II1Ext")="","",ADDRESS($A73+3,3,4,,"II1Ext")))</f>
        <v/>
      </c>
      <c r="Q74" s="31" t="str">
        <f ca="1">INDIRECT(IF(ADDRESS($A73+3,3,4,,"II2Ext")="","",ADDRESS($A73+3,3,4,,"II2Ext")))</f>
        <v/>
      </c>
      <c r="R74" s="31" t="str">
        <f ca="1">INDIRECT(IF(ADDRESS($A73+3,3,4,,"II3Ext")="","",ADDRESS($A73+3,3,4,,"II3Ext")))</f>
        <v/>
      </c>
      <c r="S74" s="31" t="str">
        <f ca="1">INDIRECT(IF(ADDRESS($A73+3,3,4,,"II4Ext")="","",ADDRESS($A73+3,3,4,,"II4Ext")))</f>
        <v/>
      </c>
      <c r="T74" s="22"/>
      <c r="U74" s="23"/>
      <c r="V74" s="24"/>
      <c r="W74" s="25"/>
      <c r="X74" s="276"/>
      <c r="Y74" s="303" t="str">
        <f ca="1">IF(COUNT(P73:R73)=0,"",ROUND(NB!M73,2))</f>
        <v/>
      </c>
      <c r="Z74" s="304" t="str">
        <f ca="1">IF(COUNT(P74:X74)=0,"",ROUND(NB!Q73,2))</f>
        <v/>
      </c>
      <c r="AA74" s="290" t="str">
        <f ca="1">IF(OR(COUNT(P73:S73)*COUNT(P74:X74)&gt;0,AND($C$1="KA / mdl.",COUNT(P74:X74)&gt;0)),ROUNDUP(NB!R73,2),"")</f>
        <v/>
      </c>
      <c r="AB74" s="2" t="str">
        <f t="shared" si="0"/>
        <v/>
      </c>
    </row>
    <row r="75" spans="1:28" ht="24" customHeight="1" x14ac:dyDescent="0.2">
      <c r="A75" s="18"/>
      <c r="B75" s="432" t="s">
        <v>66</v>
      </c>
      <c r="C75" s="208" t="s">
        <v>102</v>
      </c>
      <c r="D75" s="173">
        <v>1</v>
      </c>
      <c r="E75" s="173">
        <v>1</v>
      </c>
      <c r="F75" s="173">
        <v>1</v>
      </c>
      <c r="G75" s="148"/>
      <c r="N75" s="149"/>
      <c r="O75" s="149"/>
      <c r="P75" s="173">
        <v>1</v>
      </c>
      <c r="Q75" s="173">
        <v>1</v>
      </c>
      <c r="R75" s="173">
        <v>1</v>
      </c>
      <c r="S75" s="148"/>
      <c r="T75" s="145"/>
      <c r="U75" s="145"/>
      <c r="V75" s="145"/>
      <c r="W75" s="2"/>
      <c r="Y75" s="450"/>
      <c r="Z75" s="450"/>
      <c r="AA75" s="11">
        <f>NB!A1</f>
        <v>0</v>
      </c>
    </row>
    <row r="76" spans="1:28" ht="24" customHeight="1" x14ac:dyDescent="0.2">
      <c r="A76" s="18"/>
      <c r="B76" s="433"/>
      <c r="C76" s="209" t="s">
        <v>103</v>
      </c>
      <c r="D76" s="173">
        <v>1</v>
      </c>
      <c r="E76" s="173">
        <v>1</v>
      </c>
      <c r="F76" s="173">
        <v>1</v>
      </c>
      <c r="G76" s="173">
        <v>1</v>
      </c>
      <c r="N76" s="149"/>
      <c r="O76" s="149"/>
      <c r="P76" s="173">
        <v>1</v>
      </c>
      <c r="Q76" s="173">
        <v>1</v>
      </c>
      <c r="R76" s="173">
        <v>1</v>
      </c>
      <c r="S76" s="173">
        <v>1</v>
      </c>
      <c r="T76" s="145"/>
      <c r="U76" s="145"/>
      <c r="V76" s="145"/>
      <c r="W76" s="2"/>
    </row>
    <row r="77" spans="1:28" x14ac:dyDescent="0.2">
      <c r="A77" s="18"/>
      <c r="B77" s="176"/>
      <c r="C77" s="146"/>
      <c r="D77" s="144"/>
      <c r="E77" s="144"/>
      <c r="F77" s="144"/>
      <c r="G77" s="144"/>
      <c r="N77" s="147"/>
      <c r="O77" s="147"/>
      <c r="P77" s="144"/>
      <c r="Q77" s="144"/>
      <c r="R77" s="144"/>
      <c r="S77" s="144"/>
      <c r="T77" s="145"/>
      <c r="U77" s="145"/>
      <c r="V77" s="145"/>
      <c r="W77" s="2"/>
    </row>
    <row r="78" spans="1:28" x14ac:dyDescent="0.2">
      <c r="A78" s="2"/>
      <c r="D78" s="26"/>
    </row>
    <row r="79" spans="1:28" x14ac:dyDescent="0.2">
      <c r="A79" s="2"/>
      <c r="D79" s="26"/>
    </row>
    <row r="80" spans="1:28" x14ac:dyDescent="0.2">
      <c r="D80" s="26"/>
    </row>
    <row r="81" spans="1:4" x14ac:dyDescent="0.2">
      <c r="D81" s="26"/>
    </row>
    <row r="82" spans="1:4" x14ac:dyDescent="0.2">
      <c r="A82" s="2"/>
    </row>
  </sheetData>
  <sheetProtection password="CC71" sheet="1" objects="1" scenarios="1" formatCells="0" formatColumns="0" formatRows="0"/>
  <mergeCells count="92">
    <mergeCell ref="Y75:Z75"/>
    <mergeCell ref="AD8:AH8"/>
    <mergeCell ref="AD24:AI24"/>
    <mergeCell ref="A25:A26"/>
    <mergeCell ref="A27:A28"/>
    <mergeCell ref="A9:A10"/>
    <mergeCell ref="A11:A12"/>
    <mergeCell ref="A17:A18"/>
    <mergeCell ref="A13:A14"/>
    <mergeCell ref="A43:A44"/>
    <mergeCell ref="A69:A70"/>
    <mergeCell ref="A65:A66"/>
    <mergeCell ref="Y19:Z19"/>
    <mergeCell ref="Y21:Z21"/>
    <mergeCell ref="Y23:Z23"/>
    <mergeCell ref="Y25:Z25"/>
    <mergeCell ref="K1:L1"/>
    <mergeCell ref="D2:O2"/>
    <mergeCell ref="C1:E1"/>
    <mergeCell ref="F1:J1"/>
    <mergeCell ref="D4:G4"/>
    <mergeCell ref="A2:C2"/>
    <mergeCell ref="A3:A4"/>
    <mergeCell ref="H4:J4"/>
    <mergeCell ref="M3:O3"/>
    <mergeCell ref="M1:O1"/>
    <mergeCell ref="A21:A22"/>
    <mergeCell ref="A5:A6"/>
    <mergeCell ref="A7:A8"/>
    <mergeCell ref="A15:A16"/>
    <mergeCell ref="A29:A30"/>
    <mergeCell ref="A19:A20"/>
    <mergeCell ref="A23:A24"/>
    <mergeCell ref="A31:A32"/>
    <mergeCell ref="A49:A50"/>
    <mergeCell ref="A45:A46"/>
    <mergeCell ref="A47:A48"/>
    <mergeCell ref="A33:A34"/>
    <mergeCell ref="A35:A36"/>
    <mergeCell ref="A37:A38"/>
    <mergeCell ref="A39:A40"/>
    <mergeCell ref="A41:A42"/>
    <mergeCell ref="B75:B76"/>
    <mergeCell ref="A71:A72"/>
    <mergeCell ref="A73:A74"/>
    <mergeCell ref="A51:A52"/>
    <mergeCell ref="A61:A62"/>
    <mergeCell ref="A67:A68"/>
    <mergeCell ref="A63:A64"/>
    <mergeCell ref="A53:A54"/>
    <mergeCell ref="A55:A56"/>
    <mergeCell ref="A57:A58"/>
    <mergeCell ref="A59:A60"/>
    <mergeCell ref="S1:V1"/>
    <mergeCell ref="Y3:AA3"/>
    <mergeCell ref="P2:AA2"/>
    <mergeCell ref="Z1:AA1"/>
    <mergeCell ref="Y53:Z53"/>
    <mergeCell ref="Y33:Z33"/>
    <mergeCell ref="Y51:Z51"/>
    <mergeCell ref="Y43:Z43"/>
    <mergeCell ref="Y45:Z45"/>
    <mergeCell ref="Y47:Z47"/>
    <mergeCell ref="Y49:Z49"/>
    <mergeCell ref="Y35:Z35"/>
    <mergeCell ref="Y37:Z37"/>
    <mergeCell ref="Y39:Z39"/>
    <mergeCell ref="Y41:Z41"/>
    <mergeCell ref="Y55:Z55"/>
    <mergeCell ref="Y57:Z57"/>
    <mergeCell ref="W1:Y1"/>
    <mergeCell ref="P1:R1"/>
    <mergeCell ref="P4:S4"/>
    <mergeCell ref="T4:V4"/>
    <mergeCell ref="Y5:Z5"/>
    <mergeCell ref="Y7:Z7"/>
    <mergeCell ref="Y9:Z9"/>
    <mergeCell ref="Y11:Z11"/>
    <mergeCell ref="Y17:Z17"/>
    <mergeCell ref="Y13:Z13"/>
    <mergeCell ref="Y15:Z15"/>
    <mergeCell ref="Y27:Z27"/>
    <mergeCell ref="Y29:Z29"/>
    <mergeCell ref="Y31:Z31"/>
    <mergeCell ref="Y67:Z67"/>
    <mergeCell ref="Y69:Z69"/>
    <mergeCell ref="Y71:Z71"/>
    <mergeCell ref="Y73:Z73"/>
    <mergeCell ref="Y59:Z59"/>
    <mergeCell ref="Y61:Z61"/>
    <mergeCell ref="Y63:Z63"/>
    <mergeCell ref="Y65:Z65"/>
  </mergeCells>
  <phoneticPr fontId="0" type="noConversion"/>
  <conditionalFormatting sqref="B5:B74">
    <cfRule type="expression" dxfId="32" priority="1" stopIfTrue="1">
      <formula>$AA$75&lt;&gt;0</formula>
    </cfRule>
  </conditionalFormatting>
  <dataValidations count="3">
    <dataValidation type="list" allowBlank="1" showInputMessage="1" showErrorMessage="1" sqref="H6:L6 H8:L8 H10:L10 H12:L12 H14:L14 H16:L16 H18:L18 H20:L20 H22:L22 H24:L24 H26:L26 H28:L28 H30:L30 H32:L32 H34:L34 H36:L36 H38:L38 H40:L40 H42:L42 H44:L44 H46:L46 H48:L48 H50:L50 H52:L52 H54:L54 H56:L56 H58:L58 H60:L60 H62:L62 H64:L64 H66:L66 H68:L68 H70:L70 H72:L72 H74:L74 T74:X74 T72:X72 T70:X70 T68:X68 T66:X66 T64:X64 T62:X62 T60:X60 T58:X58 T56:X56 T54:X54 T52:X52 T50:X50 T48:X48 T46:X46 T44:X44 T42:X42 T40:X40 T38:X38 T36:X36 T34:X34 T32:X32 T30:X30 T28:X28 T26:X26 T24:X24 T22:X22 T20:X20 T18:X18 T16:X16 T14:X14 T12:X12 T10:X10 T8:X8 T6:X6">
      <formula1>$AL$1:$AL$16</formula1>
    </dataValidation>
    <dataValidation type="list" allowBlank="1" showInputMessage="1" showErrorMessage="1" sqref="C1:E1">
      <formula1>"'2:1-Fach,'1:1-Fach,'KA / mdl.,'Darstellung"</formula1>
    </dataValidation>
    <dataValidation type="list" allowBlank="1" showInputMessage="1" showErrorMessage="1" sqref="Y5:Z5 Y7:Z7 Y73:Z73 Y11:Z11 Y13:Z13 Y15:Z15 Y17:Z17 Y19:Z19 Y21:Z21 Y23:Z23 Y25:Z25 Y27:Z27 Y29:Z29 Y31:Z31 Y33:Z33 Y35:Z35 Y37:Z37 Y39:Z39 Y41:Z41 Y43:Z43 Y45:Z45 Y47:Z47 Y49:Z49 Y51:Z51 Y53:Z53 Y55:Z55 Y57:Z57 Y59:Z59 Y9 Y63:Z63 Y65:Z65 Y67:Z67 Y69:Z69 Y71:Z71 Y61">
      <formula1>"Legasthenie"</formula1>
    </dataValidation>
  </dataValidations>
  <pageMargins left="0.53" right="0.17" top="0.28999999999999998" bottom="0.22" header="7.874015748031496E-2" footer="0.2"/>
  <pageSetup paperSize="9" scale="87" orientation="portrait" r:id="rId1"/>
  <headerFooter alignWithMargins="0"/>
  <cellWatches>
    <cellWatch r="I6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workbookViewId="0">
      <pane xSplit="2" ySplit="3" topLeftCell="M4" activePane="bottomRight" state="frozen"/>
      <selection activeCell="H44" sqref="H44"/>
      <selection pane="topRight" activeCell="H44" sqref="H44"/>
      <selection pane="bottomLeft" activeCell="H44" sqref="H44"/>
      <selection pane="bottomRight" activeCell="AF4" sqref="AF4"/>
    </sheetView>
  </sheetViews>
  <sheetFormatPr baseColWidth="10" defaultRowHeight="12.75" x14ac:dyDescent="0.2"/>
  <cols>
    <col min="1" max="1" width="3.85546875" style="302" customWidth="1"/>
    <col min="2" max="2" width="22" style="302" bestFit="1" customWidth="1"/>
    <col min="3" max="30" width="5.28515625" style="300" customWidth="1"/>
    <col min="31" max="31" width="14.7109375" style="410" customWidth="1"/>
    <col min="32" max="32" width="6" style="270" bestFit="1" customWidth="1"/>
  </cols>
  <sheetData>
    <row r="1" spans="1:32" x14ac:dyDescent="0.2"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408"/>
    </row>
    <row r="2" spans="1:32" x14ac:dyDescent="0.2">
      <c r="B2" s="346"/>
      <c r="C2" s="297">
        <v>4</v>
      </c>
      <c r="D2" s="297">
        <v>3</v>
      </c>
      <c r="E2" s="297">
        <v>3</v>
      </c>
      <c r="F2" s="297">
        <v>4</v>
      </c>
      <c r="G2" s="297">
        <v>4</v>
      </c>
      <c r="H2" s="297">
        <v>3</v>
      </c>
      <c r="I2" s="297">
        <v>2</v>
      </c>
      <c r="J2" s="297">
        <v>3</v>
      </c>
      <c r="K2" s="297">
        <v>3</v>
      </c>
      <c r="L2" s="297">
        <v>2</v>
      </c>
      <c r="M2" s="297">
        <v>3</v>
      </c>
      <c r="N2" s="297">
        <v>4</v>
      </c>
      <c r="O2" s="297">
        <v>4</v>
      </c>
      <c r="P2" s="297">
        <v>3</v>
      </c>
      <c r="Q2" s="297">
        <v>2</v>
      </c>
      <c r="R2" s="297">
        <v>3</v>
      </c>
      <c r="S2" s="297">
        <v>4</v>
      </c>
      <c r="T2" s="297">
        <v>5</v>
      </c>
      <c r="U2" s="297">
        <v>4</v>
      </c>
      <c r="V2" s="297">
        <v>4</v>
      </c>
      <c r="W2" s="297">
        <v>2</v>
      </c>
      <c r="X2" s="297">
        <v>8</v>
      </c>
      <c r="Y2" s="297">
        <v>3</v>
      </c>
      <c r="Z2" s="297">
        <v>5</v>
      </c>
      <c r="AA2" s="297">
        <v>3</v>
      </c>
      <c r="AB2" s="297">
        <v>4</v>
      </c>
      <c r="AC2" s="297">
        <v>4</v>
      </c>
      <c r="AD2" s="297">
        <v>4</v>
      </c>
      <c r="AE2" s="512" t="s">
        <v>165</v>
      </c>
      <c r="AF2" s="271">
        <f>SUM(C2:AD2)</f>
        <v>100</v>
      </c>
    </row>
    <row r="3" spans="1:32" x14ac:dyDescent="0.2">
      <c r="B3" s="346"/>
      <c r="C3" s="347" t="s">
        <v>110</v>
      </c>
      <c r="D3" s="298" t="s">
        <v>111</v>
      </c>
      <c r="E3" s="298" t="s">
        <v>112</v>
      </c>
      <c r="F3" s="298" t="s">
        <v>113</v>
      </c>
      <c r="G3" s="298" t="s">
        <v>114</v>
      </c>
      <c r="H3" s="298" t="s">
        <v>115</v>
      </c>
      <c r="I3" s="298" t="s">
        <v>116</v>
      </c>
      <c r="J3" s="298" t="s">
        <v>117</v>
      </c>
      <c r="K3" s="298" t="s">
        <v>118</v>
      </c>
      <c r="L3" s="298" t="s">
        <v>119</v>
      </c>
      <c r="M3" s="298" t="s">
        <v>120</v>
      </c>
      <c r="N3" s="298" t="s">
        <v>121</v>
      </c>
      <c r="O3" s="298" t="s">
        <v>122</v>
      </c>
      <c r="P3" s="298" t="s">
        <v>123</v>
      </c>
      <c r="Q3" s="298" t="s">
        <v>124</v>
      </c>
      <c r="R3" s="298" t="s">
        <v>125</v>
      </c>
      <c r="S3" s="298" t="s">
        <v>126</v>
      </c>
      <c r="T3" s="298" t="s">
        <v>127</v>
      </c>
      <c r="U3" s="298" t="s">
        <v>128</v>
      </c>
      <c r="V3" s="298" t="s">
        <v>129</v>
      </c>
      <c r="W3" s="298" t="s">
        <v>130</v>
      </c>
      <c r="X3" s="298" t="s">
        <v>131</v>
      </c>
      <c r="Y3" s="298" t="s">
        <v>132</v>
      </c>
      <c r="Z3" s="298" t="s">
        <v>133</v>
      </c>
      <c r="AA3" s="298" t="s">
        <v>134</v>
      </c>
      <c r="AB3" s="298" t="s">
        <v>135</v>
      </c>
      <c r="AC3" s="298" t="s">
        <v>136</v>
      </c>
      <c r="AD3" s="298" t="s">
        <v>137</v>
      </c>
      <c r="AE3" s="513"/>
      <c r="AF3" s="271"/>
    </row>
    <row r="4" spans="1:32" ht="31.5" customHeight="1" x14ac:dyDescent="0.2">
      <c r="A4" s="302">
        <v>1</v>
      </c>
      <c r="B4" s="348" t="str">
        <f ca="1">+AP!B6</f>
        <v/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409"/>
      <c r="AF4" s="272" t="str">
        <f t="shared" ref="AF4:AF38" si="0">IF(COUNT(C4:AD4)&gt;0,SUM(C4:AD4),"")</f>
        <v/>
      </c>
    </row>
    <row r="5" spans="1:32" ht="31.5" customHeight="1" x14ac:dyDescent="0.2">
      <c r="A5" s="302">
        <f t="shared" ref="A5:A37" si="1">+A4+1</f>
        <v>2</v>
      </c>
      <c r="B5" s="348" t="str">
        <f ca="1">+AP!B7</f>
        <v/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409"/>
      <c r="AF5" s="272" t="str">
        <f t="shared" si="0"/>
        <v/>
      </c>
    </row>
    <row r="6" spans="1:32" ht="31.5" customHeight="1" x14ac:dyDescent="0.2">
      <c r="A6" s="302">
        <f t="shared" si="1"/>
        <v>3</v>
      </c>
      <c r="B6" s="348" t="str">
        <f ca="1">+AP!B8</f>
        <v/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409"/>
      <c r="AF6" s="272" t="str">
        <f t="shared" si="0"/>
        <v/>
      </c>
    </row>
    <row r="7" spans="1:32" ht="31.5" customHeight="1" x14ac:dyDescent="0.2">
      <c r="A7" s="302">
        <f>+A6+1</f>
        <v>4</v>
      </c>
      <c r="B7" s="348" t="str">
        <f ca="1">+AP!B9</f>
        <v/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409"/>
      <c r="AF7" s="272" t="str">
        <f t="shared" si="0"/>
        <v/>
      </c>
    </row>
    <row r="8" spans="1:32" ht="31.5" customHeight="1" x14ac:dyDescent="0.2">
      <c r="A8" s="302">
        <f t="shared" si="1"/>
        <v>5</v>
      </c>
      <c r="B8" s="348" t="str">
        <f ca="1">+AP!B10</f>
        <v/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409"/>
      <c r="AF8" s="272" t="str">
        <f t="shared" si="0"/>
        <v/>
      </c>
    </row>
    <row r="9" spans="1:32" ht="31.5" customHeight="1" x14ac:dyDescent="0.2">
      <c r="A9" s="302">
        <f t="shared" si="1"/>
        <v>6</v>
      </c>
      <c r="B9" s="348" t="str">
        <f ca="1">+AP!B11</f>
        <v/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99"/>
      <c r="AE9" s="409"/>
      <c r="AF9" s="272" t="str">
        <f t="shared" si="0"/>
        <v/>
      </c>
    </row>
    <row r="10" spans="1:32" ht="31.5" customHeight="1" x14ac:dyDescent="0.2">
      <c r="A10" s="302">
        <f t="shared" si="1"/>
        <v>7</v>
      </c>
      <c r="B10" s="348" t="str">
        <f ca="1">+AP!B12</f>
        <v/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409"/>
      <c r="AF10" s="272" t="str">
        <f t="shared" si="0"/>
        <v/>
      </c>
    </row>
    <row r="11" spans="1:32" ht="31.5" customHeight="1" x14ac:dyDescent="0.2">
      <c r="A11" s="302">
        <f t="shared" si="1"/>
        <v>8</v>
      </c>
      <c r="B11" s="348" t="str">
        <f ca="1">+AP!B13</f>
        <v/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99"/>
      <c r="AD11" s="299"/>
      <c r="AE11" s="409"/>
      <c r="AF11" s="272" t="str">
        <f t="shared" si="0"/>
        <v/>
      </c>
    </row>
    <row r="12" spans="1:32" ht="31.5" customHeight="1" x14ac:dyDescent="0.2">
      <c r="A12" s="302">
        <f t="shared" si="1"/>
        <v>9</v>
      </c>
      <c r="B12" s="348" t="str">
        <f ca="1">+AP!B14</f>
        <v/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409"/>
      <c r="AF12" s="272" t="str">
        <f t="shared" si="0"/>
        <v/>
      </c>
    </row>
    <row r="13" spans="1:32" ht="31.5" customHeight="1" x14ac:dyDescent="0.2">
      <c r="A13" s="302">
        <f t="shared" si="1"/>
        <v>10</v>
      </c>
      <c r="B13" s="348" t="str">
        <f ca="1">+AP!B15</f>
        <v/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409"/>
      <c r="AF13" s="272" t="str">
        <f t="shared" si="0"/>
        <v/>
      </c>
    </row>
    <row r="14" spans="1:32" ht="31.5" customHeight="1" x14ac:dyDescent="0.2">
      <c r="A14" s="302">
        <f t="shared" si="1"/>
        <v>11</v>
      </c>
      <c r="B14" s="348" t="str">
        <f ca="1">+AP!B16</f>
        <v/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299"/>
      <c r="AD14" s="299"/>
      <c r="AE14" s="409"/>
      <c r="AF14" s="272" t="str">
        <f t="shared" si="0"/>
        <v/>
      </c>
    </row>
    <row r="15" spans="1:32" ht="31.5" customHeight="1" x14ac:dyDescent="0.2">
      <c r="A15" s="302">
        <f t="shared" si="1"/>
        <v>12</v>
      </c>
      <c r="B15" s="348" t="str">
        <f ca="1">+AP!B17</f>
        <v/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299"/>
      <c r="AD15" s="299"/>
      <c r="AE15" s="409"/>
      <c r="AF15" s="272" t="str">
        <f t="shared" si="0"/>
        <v/>
      </c>
    </row>
    <row r="16" spans="1:32" ht="31.5" customHeight="1" x14ac:dyDescent="0.2">
      <c r="A16" s="302">
        <f t="shared" si="1"/>
        <v>13</v>
      </c>
      <c r="B16" s="348" t="str">
        <f ca="1">+AP!B18</f>
        <v/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299"/>
      <c r="AD16" s="299"/>
      <c r="AE16" s="409"/>
      <c r="AF16" s="272" t="str">
        <f t="shared" si="0"/>
        <v/>
      </c>
    </row>
    <row r="17" spans="1:32" ht="31.5" customHeight="1" x14ac:dyDescent="0.2">
      <c r="A17" s="302">
        <f t="shared" si="1"/>
        <v>14</v>
      </c>
      <c r="B17" s="348" t="str">
        <f ca="1">+AP!B19</f>
        <v/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299"/>
      <c r="AD17" s="299"/>
      <c r="AE17" s="409"/>
      <c r="AF17" s="272" t="str">
        <f t="shared" si="0"/>
        <v/>
      </c>
    </row>
    <row r="18" spans="1:32" ht="31.5" customHeight="1" x14ac:dyDescent="0.2">
      <c r="A18" s="302">
        <f t="shared" si="1"/>
        <v>15</v>
      </c>
      <c r="B18" s="348" t="str">
        <f ca="1">+AP!B20</f>
        <v/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299"/>
      <c r="AD18" s="299"/>
      <c r="AE18" s="409"/>
      <c r="AF18" s="272" t="str">
        <f t="shared" si="0"/>
        <v/>
      </c>
    </row>
    <row r="19" spans="1:32" ht="31.5" customHeight="1" x14ac:dyDescent="0.2">
      <c r="A19" s="302">
        <f t="shared" si="1"/>
        <v>16</v>
      </c>
      <c r="B19" s="348" t="str">
        <f ca="1">+AP!B21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299"/>
      <c r="AD19" s="299"/>
      <c r="AE19" s="409"/>
      <c r="AF19" s="272" t="str">
        <f t="shared" si="0"/>
        <v/>
      </c>
    </row>
    <row r="20" spans="1:32" ht="31.5" customHeight="1" x14ac:dyDescent="0.2">
      <c r="A20" s="302">
        <f t="shared" si="1"/>
        <v>17</v>
      </c>
      <c r="B20" s="348" t="str">
        <f ca="1">+AP!B22</f>
        <v/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299"/>
      <c r="AD20" s="299"/>
      <c r="AE20" s="409"/>
      <c r="AF20" s="272" t="str">
        <f t="shared" si="0"/>
        <v/>
      </c>
    </row>
    <row r="21" spans="1:32" ht="31.5" customHeight="1" x14ac:dyDescent="0.2">
      <c r="A21" s="302">
        <f t="shared" si="1"/>
        <v>18</v>
      </c>
      <c r="B21" s="348" t="str">
        <f ca="1">+AP!B23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409"/>
      <c r="AF21" s="272" t="str">
        <f t="shared" si="0"/>
        <v/>
      </c>
    </row>
    <row r="22" spans="1:32" ht="31.5" customHeight="1" x14ac:dyDescent="0.2">
      <c r="A22" s="302">
        <f t="shared" si="1"/>
        <v>19</v>
      </c>
      <c r="B22" s="348" t="str">
        <f ca="1">+AP!B24</f>
        <v/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299"/>
      <c r="AD22" s="299"/>
      <c r="AE22" s="409"/>
      <c r="AF22" s="272" t="str">
        <f t="shared" si="0"/>
        <v/>
      </c>
    </row>
    <row r="23" spans="1:32" ht="31.5" customHeight="1" x14ac:dyDescent="0.2">
      <c r="A23" s="302">
        <f t="shared" si="1"/>
        <v>20</v>
      </c>
      <c r="B23" s="348" t="str">
        <f ca="1">+AP!B25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409"/>
      <c r="AF23" s="272" t="str">
        <f t="shared" si="0"/>
        <v/>
      </c>
    </row>
    <row r="24" spans="1:32" ht="31.5" customHeight="1" x14ac:dyDescent="0.2">
      <c r="A24" s="302">
        <f t="shared" si="1"/>
        <v>21</v>
      </c>
      <c r="B24" s="348" t="str">
        <f ca="1">+AP!B26</f>
        <v/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409"/>
      <c r="AF24" s="272" t="str">
        <f t="shared" si="0"/>
        <v/>
      </c>
    </row>
    <row r="25" spans="1:32" ht="31.5" customHeight="1" x14ac:dyDescent="0.2">
      <c r="A25" s="302">
        <f t="shared" si="1"/>
        <v>22</v>
      </c>
      <c r="B25" s="348" t="str">
        <f ca="1">+AP!B27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409"/>
      <c r="AF25" s="272" t="str">
        <f t="shared" si="0"/>
        <v/>
      </c>
    </row>
    <row r="26" spans="1:32" ht="31.5" customHeight="1" x14ac:dyDescent="0.2">
      <c r="A26" s="302">
        <f t="shared" si="1"/>
        <v>23</v>
      </c>
      <c r="B26" s="348" t="str">
        <f ca="1">+AP!B28</f>
        <v/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409"/>
      <c r="AF26" s="272" t="str">
        <f t="shared" si="0"/>
        <v/>
      </c>
    </row>
    <row r="27" spans="1:32" ht="31.5" customHeight="1" x14ac:dyDescent="0.2">
      <c r="A27" s="302">
        <f t="shared" si="1"/>
        <v>24</v>
      </c>
      <c r="B27" s="348" t="str">
        <f ca="1">+AP!B29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409"/>
      <c r="AF27" s="272" t="str">
        <f t="shared" si="0"/>
        <v/>
      </c>
    </row>
    <row r="28" spans="1:32" ht="31.5" customHeight="1" x14ac:dyDescent="0.2">
      <c r="A28" s="302">
        <f t="shared" si="1"/>
        <v>25</v>
      </c>
      <c r="B28" s="348" t="str">
        <f ca="1">+AP!B30</f>
        <v/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409"/>
      <c r="AF28" s="272" t="str">
        <f t="shared" si="0"/>
        <v/>
      </c>
    </row>
    <row r="29" spans="1:32" ht="31.5" customHeight="1" x14ac:dyDescent="0.2">
      <c r="A29" s="302">
        <f t="shared" si="1"/>
        <v>26</v>
      </c>
      <c r="B29" s="348" t="str">
        <f ca="1">+AP!B31</f>
        <v/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299"/>
      <c r="AD29" s="299"/>
      <c r="AE29" s="409"/>
      <c r="AF29" s="272" t="str">
        <f t="shared" si="0"/>
        <v/>
      </c>
    </row>
    <row r="30" spans="1:32" ht="31.5" customHeight="1" x14ac:dyDescent="0.2">
      <c r="A30" s="302">
        <f t="shared" si="1"/>
        <v>27</v>
      </c>
      <c r="B30" s="348" t="str">
        <f ca="1">+AP!B32</f>
        <v/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  <c r="AE30" s="409"/>
      <c r="AF30" s="272" t="str">
        <f t="shared" si="0"/>
        <v/>
      </c>
    </row>
    <row r="31" spans="1:32" ht="31.5" customHeight="1" x14ac:dyDescent="0.2">
      <c r="A31" s="302">
        <f t="shared" si="1"/>
        <v>28</v>
      </c>
      <c r="B31" s="348" t="str">
        <f ca="1">+AP!B33</f>
        <v/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409"/>
      <c r="AF31" s="272" t="str">
        <f t="shared" si="0"/>
        <v/>
      </c>
    </row>
    <row r="32" spans="1:32" ht="31.5" customHeight="1" x14ac:dyDescent="0.2">
      <c r="A32" s="302">
        <f t="shared" si="1"/>
        <v>29</v>
      </c>
      <c r="B32" s="348" t="str">
        <f ca="1">+AP!B34</f>
        <v/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409"/>
      <c r="AF32" s="272" t="str">
        <f t="shared" si="0"/>
        <v/>
      </c>
    </row>
    <row r="33" spans="1:32" ht="31.5" customHeight="1" x14ac:dyDescent="0.2">
      <c r="A33" s="302">
        <f t="shared" si="1"/>
        <v>30</v>
      </c>
      <c r="B33" s="348" t="str">
        <f ca="1">+AP!B35</f>
        <v/>
      </c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409"/>
      <c r="AF33" s="272" t="str">
        <f t="shared" si="0"/>
        <v/>
      </c>
    </row>
    <row r="34" spans="1:32" ht="31.5" customHeight="1" x14ac:dyDescent="0.2">
      <c r="A34" s="302">
        <f t="shared" si="1"/>
        <v>31</v>
      </c>
      <c r="B34" s="348" t="str">
        <f ca="1">+AP!B36</f>
        <v/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409"/>
      <c r="AF34" s="272" t="str">
        <f t="shared" si="0"/>
        <v/>
      </c>
    </row>
    <row r="35" spans="1:32" ht="31.5" customHeight="1" x14ac:dyDescent="0.2">
      <c r="A35" s="302">
        <f t="shared" si="1"/>
        <v>32</v>
      </c>
      <c r="B35" s="348" t="str">
        <f ca="1">+AP!B37</f>
        <v/>
      </c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409"/>
      <c r="AF35" s="272" t="str">
        <f t="shared" si="0"/>
        <v/>
      </c>
    </row>
    <row r="36" spans="1:32" ht="31.5" customHeight="1" x14ac:dyDescent="0.2">
      <c r="A36" s="302">
        <f t="shared" si="1"/>
        <v>33</v>
      </c>
      <c r="B36" s="348" t="str">
        <f ca="1">+AP!B38</f>
        <v/>
      </c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409"/>
      <c r="AF36" s="272" t="str">
        <f t="shared" si="0"/>
        <v/>
      </c>
    </row>
    <row r="37" spans="1:32" ht="31.5" customHeight="1" x14ac:dyDescent="0.2">
      <c r="A37" s="302">
        <f t="shared" si="1"/>
        <v>34</v>
      </c>
      <c r="B37" s="348" t="str">
        <f ca="1">+AP!B39</f>
        <v/>
      </c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409"/>
      <c r="AF37" s="272" t="str">
        <f t="shared" si="0"/>
        <v/>
      </c>
    </row>
    <row r="38" spans="1:32" ht="31.5" customHeight="1" x14ac:dyDescent="0.2">
      <c r="A38" s="302">
        <f>+A37+1</f>
        <v>35</v>
      </c>
      <c r="B38" s="348" t="str">
        <f ca="1">+AP!B40</f>
        <v/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409"/>
      <c r="AF38" s="272" t="str">
        <f t="shared" si="0"/>
        <v/>
      </c>
    </row>
    <row r="39" spans="1:32" s="232" customFormat="1" ht="31.5" customHeight="1" x14ac:dyDescent="0.2">
      <c r="A39" s="302"/>
      <c r="B39" s="302"/>
      <c r="C39" s="300" t="e">
        <f>SUM(C4:C38)/COUNT(C4:C38)</f>
        <v>#DIV/0!</v>
      </c>
      <c r="D39" s="300" t="e">
        <f t="shared" ref="D39:AE39" si="2">SUM(D4:D38)/COUNT(D4:D38)</f>
        <v>#DIV/0!</v>
      </c>
      <c r="E39" s="300" t="e">
        <f t="shared" si="2"/>
        <v>#DIV/0!</v>
      </c>
      <c r="F39" s="300" t="e">
        <f t="shared" si="2"/>
        <v>#DIV/0!</v>
      </c>
      <c r="G39" s="300" t="e">
        <f t="shared" si="2"/>
        <v>#DIV/0!</v>
      </c>
      <c r="H39" s="300" t="e">
        <f t="shared" si="2"/>
        <v>#DIV/0!</v>
      </c>
      <c r="I39" s="300" t="e">
        <f t="shared" si="2"/>
        <v>#DIV/0!</v>
      </c>
      <c r="J39" s="300" t="e">
        <f t="shared" si="2"/>
        <v>#DIV/0!</v>
      </c>
      <c r="K39" s="300" t="e">
        <f t="shared" si="2"/>
        <v>#DIV/0!</v>
      </c>
      <c r="L39" s="300" t="e">
        <f t="shared" si="2"/>
        <v>#DIV/0!</v>
      </c>
      <c r="M39" s="300" t="e">
        <f t="shared" si="2"/>
        <v>#DIV/0!</v>
      </c>
      <c r="N39" s="300" t="e">
        <f t="shared" si="2"/>
        <v>#DIV/0!</v>
      </c>
      <c r="O39" s="300" t="e">
        <f t="shared" si="2"/>
        <v>#DIV/0!</v>
      </c>
      <c r="P39" s="300" t="e">
        <f t="shared" si="2"/>
        <v>#DIV/0!</v>
      </c>
      <c r="Q39" s="300" t="e">
        <f t="shared" si="2"/>
        <v>#DIV/0!</v>
      </c>
      <c r="R39" s="300" t="e">
        <f t="shared" si="2"/>
        <v>#DIV/0!</v>
      </c>
      <c r="S39" s="300" t="e">
        <f t="shared" si="2"/>
        <v>#DIV/0!</v>
      </c>
      <c r="T39" s="300" t="e">
        <f t="shared" si="2"/>
        <v>#DIV/0!</v>
      </c>
      <c r="U39" s="300" t="e">
        <f t="shared" si="2"/>
        <v>#DIV/0!</v>
      </c>
      <c r="V39" s="300" t="e">
        <f t="shared" si="2"/>
        <v>#DIV/0!</v>
      </c>
      <c r="W39" s="300" t="e">
        <f t="shared" si="2"/>
        <v>#DIV/0!</v>
      </c>
      <c r="X39" s="300" t="e">
        <f t="shared" si="2"/>
        <v>#DIV/0!</v>
      </c>
      <c r="Y39" s="300" t="e">
        <f t="shared" si="2"/>
        <v>#DIV/0!</v>
      </c>
      <c r="Z39" s="300" t="e">
        <f t="shared" si="2"/>
        <v>#DIV/0!</v>
      </c>
      <c r="AA39" s="300" t="e">
        <f>SUM(AA4:AA38)/COUNT(AA4:AA38)</f>
        <v>#DIV/0!</v>
      </c>
      <c r="AB39" s="300" t="e">
        <f>SUM(AB4:AB38)/COUNT(AB4:AB38)</f>
        <v>#DIV/0!</v>
      </c>
      <c r="AC39" s="300" t="e">
        <f>SUM(AC4:AC38)/COUNT(AC4:AC38)</f>
        <v>#DIV/0!</v>
      </c>
      <c r="AD39" s="300" t="e">
        <f t="shared" si="2"/>
        <v>#DIV/0!</v>
      </c>
      <c r="AE39" s="410" t="e">
        <f t="shared" si="2"/>
        <v>#DIV/0!</v>
      </c>
      <c r="AF39" s="300" t="e">
        <f>SUM(AF4:AF38)/COUNT(#REF!)</f>
        <v>#DIV/0!</v>
      </c>
    </row>
    <row r="40" spans="1:32" s="232" customFormat="1" x14ac:dyDescent="0.2">
      <c r="A40" s="302"/>
      <c r="B40" s="302"/>
      <c r="C40" s="301" t="e">
        <f t="shared" ref="C40:AF40" si="3">+C39/C2</f>
        <v>#DIV/0!</v>
      </c>
      <c r="D40" s="301" t="e">
        <f t="shared" si="3"/>
        <v>#DIV/0!</v>
      </c>
      <c r="E40" s="301" t="e">
        <f t="shared" si="3"/>
        <v>#DIV/0!</v>
      </c>
      <c r="F40" s="301" t="e">
        <f t="shared" si="3"/>
        <v>#DIV/0!</v>
      </c>
      <c r="G40" s="301" t="e">
        <f t="shared" si="3"/>
        <v>#DIV/0!</v>
      </c>
      <c r="H40" s="301" t="e">
        <f t="shared" si="3"/>
        <v>#DIV/0!</v>
      </c>
      <c r="I40" s="301" t="e">
        <f t="shared" si="3"/>
        <v>#DIV/0!</v>
      </c>
      <c r="J40" s="301" t="e">
        <f t="shared" si="3"/>
        <v>#DIV/0!</v>
      </c>
      <c r="K40" s="301" t="e">
        <f t="shared" si="3"/>
        <v>#DIV/0!</v>
      </c>
      <c r="L40" s="301" t="e">
        <f t="shared" si="3"/>
        <v>#DIV/0!</v>
      </c>
      <c r="M40" s="301" t="e">
        <f t="shared" si="3"/>
        <v>#DIV/0!</v>
      </c>
      <c r="N40" s="301" t="e">
        <f t="shared" si="3"/>
        <v>#DIV/0!</v>
      </c>
      <c r="O40" s="301" t="e">
        <f t="shared" si="3"/>
        <v>#DIV/0!</v>
      </c>
      <c r="P40" s="301" t="e">
        <f t="shared" si="3"/>
        <v>#DIV/0!</v>
      </c>
      <c r="Q40" s="301" t="e">
        <f t="shared" si="3"/>
        <v>#DIV/0!</v>
      </c>
      <c r="R40" s="301" t="e">
        <f t="shared" si="3"/>
        <v>#DIV/0!</v>
      </c>
      <c r="S40" s="301" t="e">
        <f t="shared" si="3"/>
        <v>#DIV/0!</v>
      </c>
      <c r="T40" s="301" t="e">
        <f t="shared" si="3"/>
        <v>#DIV/0!</v>
      </c>
      <c r="U40" s="301" t="e">
        <f t="shared" si="3"/>
        <v>#DIV/0!</v>
      </c>
      <c r="V40" s="301" t="e">
        <f t="shared" si="3"/>
        <v>#DIV/0!</v>
      </c>
      <c r="W40" s="301" t="e">
        <f t="shared" si="3"/>
        <v>#DIV/0!</v>
      </c>
      <c r="X40" s="301" t="e">
        <f t="shared" si="3"/>
        <v>#DIV/0!</v>
      </c>
      <c r="Y40" s="301" t="e">
        <f t="shared" si="3"/>
        <v>#DIV/0!</v>
      </c>
      <c r="Z40" s="301" t="e">
        <f t="shared" si="3"/>
        <v>#DIV/0!</v>
      </c>
      <c r="AA40" s="301" t="e">
        <f>+AA39/AA2</f>
        <v>#DIV/0!</v>
      </c>
      <c r="AB40" s="301" t="e">
        <f>+AB39/AB2</f>
        <v>#DIV/0!</v>
      </c>
      <c r="AC40" s="301" t="e">
        <f>+AC39/AC2</f>
        <v>#DIV/0!</v>
      </c>
      <c r="AD40" s="301" t="e">
        <f t="shared" si="3"/>
        <v>#DIV/0!</v>
      </c>
      <c r="AE40" s="411" t="e">
        <f t="shared" si="3"/>
        <v>#DIV/0!</v>
      </c>
      <c r="AF40" s="301" t="e">
        <f t="shared" si="3"/>
        <v>#DIV/0!</v>
      </c>
    </row>
  </sheetData>
  <sheetProtection password="CC71" sheet="1" objects="1" scenarios="1"/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M22" sqref="M22"/>
    </sheetView>
  </sheetViews>
  <sheetFormatPr baseColWidth="10" defaultRowHeight="12.75" x14ac:dyDescent="0.2"/>
  <cols>
    <col min="1" max="1" width="19.140625" style="8" customWidth="1"/>
    <col min="2" max="2" width="8" style="8" customWidth="1"/>
    <col min="3" max="18" width="5.85546875" style="8" customWidth="1"/>
    <col min="19" max="16384" width="11.42578125" style="8"/>
  </cols>
  <sheetData>
    <row r="1" spans="1:18" x14ac:dyDescent="0.2">
      <c r="A1" s="8" t="str">
        <f>+AP!C2</f>
        <v/>
      </c>
      <c r="C1" s="8" t="s">
        <v>108</v>
      </c>
    </row>
    <row r="2" spans="1:18" x14ac:dyDescent="0.2">
      <c r="A2" s="8">
        <f>+AP!C3</f>
        <v>0</v>
      </c>
    </row>
    <row r="4" spans="1:18" x14ac:dyDescent="0.2">
      <c r="C4" s="514" t="s">
        <v>106</v>
      </c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</row>
    <row r="5" spans="1:18" x14ac:dyDescent="0.2">
      <c r="A5" s="9"/>
      <c r="B5" s="262" t="s">
        <v>105</v>
      </c>
      <c r="C5" s="349">
        <v>15</v>
      </c>
      <c r="D5" s="349">
        <v>14</v>
      </c>
      <c r="E5" s="349">
        <v>13</v>
      </c>
      <c r="F5" s="350">
        <v>12</v>
      </c>
      <c r="G5" s="350">
        <v>11</v>
      </c>
      <c r="H5" s="350">
        <v>10</v>
      </c>
      <c r="I5" s="349">
        <v>9</v>
      </c>
      <c r="J5" s="349">
        <v>8</v>
      </c>
      <c r="K5" s="349">
        <v>7</v>
      </c>
      <c r="L5" s="350">
        <v>6</v>
      </c>
      <c r="M5" s="350">
        <v>5</v>
      </c>
      <c r="N5" s="350">
        <v>4</v>
      </c>
      <c r="O5" s="349">
        <v>3</v>
      </c>
      <c r="P5" s="349">
        <v>2</v>
      </c>
      <c r="Q5" s="349">
        <v>1</v>
      </c>
      <c r="R5" s="350">
        <v>0</v>
      </c>
    </row>
    <row r="6" spans="1:18" x14ac:dyDescent="0.2">
      <c r="A6" s="9" t="str">
        <f ca="1">IF(+AP!B6="","",AP!B6)</f>
        <v/>
      </c>
      <c r="B6" s="263" t="str">
        <f>IF(AP!E6="","",IF(ROUNDUP((AP!E6+AP!C6)/2,2)&lt;1,0,ROUNDUP((AP!E6+AP!C6)/2,2)))</f>
        <v/>
      </c>
      <c r="C6" s="264" t="str">
        <f>IF(AP!$E6="","",IF(ROUNDUP((ROUNDUP((AP!$E6*2+C$5)/3,2)+AP!$C6)/2,2)&lt;1,0,ROUNDUP((ROUNDUP((AP!$E6*2+C$5)/3,2)+AP!$C6)/2,2)))</f>
        <v/>
      </c>
      <c r="D6" s="264" t="str">
        <f>IF(AP!$E6="","",IF(ROUNDUP((ROUNDUP((AP!$E6*2+D$5)/3,2)+AP!$C6)/2,2)&lt;1,0,ROUNDUP((ROUNDUP((AP!$E6*2+D$5)/3,2)+AP!$C6)/2,2)))</f>
        <v/>
      </c>
      <c r="E6" s="264" t="str">
        <f>IF(AP!$E6="","",IF(ROUNDUP((ROUNDUP((AP!$E6*2+E$5)/3,2)+AP!$C6)/2,2)&lt;1,0,ROUNDUP((ROUNDUP((AP!$E6*2+E$5)/3,2)+AP!$C6)/2,2)))</f>
        <v/>
      </c>
      <c r="F6" s="263" t="str">
        <f>IF(AP!$E6="","",IF(ROUNDUP((ROUNDUP((AP!$E6*2+F$5)/3,2)+AP!$C6)/2,2)&lt;1,0,ROUNDUP((ROUNDUP((AP!$E6*2+F$5)/3,2)+AP!$C6)/2,2)))</f>
        <v/>
      </c>
      <c r="G6" s="263" t="str">
        <f>IF(AP!$E6="","",IF(ROUNDUP((ROUNDUP((AP!$E6*2+G$5)/3,2)+AP!$C6)/2,2)&lt;1,0,ROUNDUP((ROUNDUP((AP!$E6*2+G$5)/3,2)+AP!$C6)/2,2)))</f>
        <v/>
      </c>
      <c r="H6" s="263" t="str">
        <f>IF(AP!$E6="","",IF(ROUNDUP((ROUNDUP((AP!$E6*2+H$5)/3,2)+AP!$C6)/2,2)&lt;1,0,ROUNDUP((ROUNDUP((AP!$E6*2+H$5)/3,2)+AP!$C6)/2,2)))</f>
        <v/>
      </c>
      <c r="I6" s="264" t="str">
        <f>IF(AP!$E6="","",IF(ROUNDUP((ROUNDUP((AP!$E6*2+I$5)/3,2)+AP!$C6)/2,2)&lt;1,0,ROUNDUP((ROUNDUP((AP!$E6*2+I$5)/3,2)+AP!$C6)/2,2)))</f>
        <v/>
      </c>
      <c r="J6" s="264" t="str">
        <f>IF(AP!$E6="","",IF(ROUNDUP((ROUNDUP((AP!$E6*2+J$5)/3,2)+AP!$C6)/2,2)&lt;1,0,ROUNDUP((ROUNDUP((AP!$E6*2+J$5)/3,2)+AP!$C6)/2,2)))</f>
        <v/>
      </c>
      <c r="K6" s="264" t="str">
        <f>IF(AP!$E6="","",IF(ROUNDUP((ROUNDUP((AP!$E6*2+K$5)/3,2)+AP!$C6)/2,2)&lt;1,0,ROUNDUP((ROUNDUP((AP!$E6*2+K$5)/3,2)+AP!$C6)/2,2)))</f>
        <v/>
      </c>
      <c r="L6" s="263" t="str">
        <f>IF(AP!$E6="","",IF(ROUNDUP((ROUNDUP((AP!$E6*2+L$5)/3,2)+AP!$C6)/2,2)&lt;1,0,ROUNDUP((ROUNDUP((AP!$E6*2+L$5)/3,2)+AP!$C6)/2,2)))</f>
        <v/>
      </c>
      <c r="M6" s="263" t="str">
        <f>IF(AP!$E6="","",IF(ROUNDUP((ROUNDUP((AP!$E6*2+M$5)/3,2)+AP!$C6)/2,2)&lt;1,0,ROUNDUP((ROUNDUP((AP!$E6*2+M$5)/3,2)+AP!$C6)/2,2)))</f>
        <v/>
      </c>
      <c r="N6" s="263" t="str">
        <f>IF(AP!$E6="","",IF(ROUNDUP((ROUNDUP((AP!$E6*2+N$5)/3,2)+AP!$C6)/2,2)&lt;1,0,ROUNDUP((ROUNDUP((AP!$E6*2+N$5)/3,2)+AP!$C6)/2,2)))</f>
        <v/>
      </c>
      <c r="O6" s="264" t="str">
        <f>IF(AP!$E6="","",IF(ROUNDUP((ROUNDUP((AP!$E6*2+O$5)/3,2)+AP!$C6)/2,2)&lt;1,0,ROUNDUP((ROUNDUP((AP!$E6*2+O$5)/3,2)+AP!$C6)/2,2)))</f>
        <v/>
      </c>
      <c r="P6" s="264" t="str">
        <f>IF(AP!$E6="","",IF(ROUNDUP((ROUNDUP((AP!$E6*2+P$5)/3,2)+AP!$C6)/2,2)&lt;1,0,ROUNDUP((ROUNDUP((AP!$E6*2+P$5)/3,2)+AP!$C6)/2,2)))</f>
        <v/>
      </c>
      <c r="Q6" s="264" t="str">
        <f>IF(AP!$E6="","",IF(ROUNDUP((ROUNDUP((AP!$E6*2+Q$5)/3,2)+AP!$C6)/2,2)&lt;1,0,ROUNDUP((ROUNDUP((AP!$E6*2+Q$5)/3,2)+AP!$C6)/2,2)))</f>
        <v/>
      </c>
      <c r="R6" s="263" t="str">
        <f>IF(AP!$E6="","",IF(ROUNDUP((ROUNDUP((AP!$E6*2+R$5)/3,2)+AP!$C6)/2,2)&lt;1,0,ROUNDUP((ROUNDUP((AP!$E6*2+R$5)/3,2)+AP!$C6)/2,2)))</f>
        <v/>
      </c>
    </row>
    <row r="7" spans="1:18" x14ac:dyDescent="0.2">
      <c r="A7" s="9" t="str">
        <f ca="1">IF(+AP!B7="","",AP!B7)</f>
        <v/>
      </c>
      <c r="B7" s="263" t="str">
        <f>IF(AP!E7="","",IF(ROUNDUP((AP!E7+AP!C7)/2,2)&lt;1,0,ROUNDUP((AP!E7+AP!C7)/2,2)))</f>
        <v/>
      </c>
      <c r="C7" s="264" t="str">
        <f>IF(AP!$E7="","",IF(ROUNDUP((ROUNDUP((AP!$E7*2+C$5)/3,2)+AP!$C7)/2,2)&lt;1,0,ROUNDUP((ROUNDUP((AP!$E7*2+C$5)/3,2)+AP!$C7)/2,2)))</f>
        <v/>
      </c>
      <c r="D7" s="264" t="str">
        <f>IF(AP!$E7="","",IF(ROUNDUP((ROUNDUP((AP!$E7*2+D$5)/3,2)+AP!$C7)/2,2)&lt;1,0,ROUNDUP((ROUNDUP((AP!$E7*2+D$5)/3,2)+AP!$C7)/2,2)))</f>
        <v/>
      </c>
      <c r="E7" s="264" t="str">
        <f>IF(AP!$E7="","",IF(ROUNDUP((ROUNDUP((AP!$E7*2+E$5)/3,2)+AP!$C7)/2,2)&lt;1,0,ROUNDUP((ROUNDUP((AP!$E7*2+E$5)/3,2)+AP!$C7)/2,2)))</f>
        <v/>
      </c>
      <c r="F7" s="263" t="str">
        <f>IF(AP!$E7="","",IF(ROUNDUP((ROUNDUP((AP!$E7*2+F$5)/3,2)+AP!$C7)/2,2)&lt;1,0,ROUNDUP((ROUNDUP((AP!$E7*2+F$5)/3,2)+AP!$C7)/2,2)))</f>
        <v/>
      </c>
      <c r="G7" s="263" t="str">
        <f>IF(AP!$E7="","",IF(ROUNDUP((ROUNDUP((AP!$E7*2+G$5)/3,2)+AP!$C7)/2,2)&lt;1,0,ROUNDUP((ROUNDUP((AP!$E7*2+G$5)/3,2)+AP!$C7)/2,2)))</f>
        <v/>
      </c>
      <c r="H7" s="263" t="str">
        <f>IF(AP!$E7="","",IF(ROUNDUP((ROUNDUP((AP!$E7*2+H$5)/3,2)+AP!$C7)/2,2)&lt;1,0,ROUNDUP((ROUNDUP((AP!$E7*2+H$5)/3,2)+AP!$C7)/2,2)))</f>
        <v/>
      </c>
      <c r="I7" s="264" t="str">
        <f>IF(AP!$E7="","",IF(ROUNDUP((ROUNDUP((AP!$E7*2+I$5)/3,2)+AP!$C7)/2,2)&lt;1,0,ROUNDUP((ROUNDUP((AP!$E7*2+I$5)/3,2)+AP!$C7)/2,2)))</f>
        <v/>
      </c>
      <c r="J7" s="264" t="str">
        <f>IF(AP!$E7="","",IF(ROUNDUP((ROUNDUP((AP!$E7*2+J$5)/3,2)+AP!$C7)/2,2)&lt;1,0,ROUNDUP((ROUNDUP((AP!$E7*2+J$5)/3,2)+AP!$C7)/2,2)))</f>
        <v/>
      </c>
      <c r="K7" s="264" t="str">
        <f>IF(AP!$E7="","",IF(ROUNDUP((ROUNDUP((AP!$E7*2+K$5)/3,2)+AP!$C7)/2,2)&lt;1,0,ROUNDUP((ROUNDUP((AP!$E7*2+K$5)/3,2)+AP!$C7)/2,2)))</f>
        <v/>
      </c>
      <c r="L7" s="263" t="str">
        <f>IF(AP!$E7="","",IF(ROUNDUP((ROUNDUP((AP!$E7*2+L$5)/3,2)+AP!$C7)/2,2)&lt;1,0,ROUNDUP((ROUNDUP((AP!$E7*2+L$5)/3,2)+AP!$C7)/2,2)))</f>
        <v/>
      </c>
      <c r="M7" s="263" t="str">
        <f>IF(AP!$E7="","",IF(ROUNDUP((ROUNDUP((AP!$E7*2+M$5)/3,2)+AP!$C7)/2,2)&lt;1,0,ROUNDUP((ROUNDUP((AP!$E7*2+M$5)/3,2)+AP!$C7)/2,2)))</f>
        <v/>
      </c>
      <c r="N7" s="263" t="str">
        <f>IF(AP!$E7="","",IF(ROUNDUP((ROUNDUP((AP!$E7*2+N$5)/3,2)+AP!$C7)/2,2)&lt;1,0,ROUNDUP((ROUNDUP((AP!$E7*2+N$5)/3,2)+AP!$C7)/2,2)))</f>
        <v/>
      </c>
      <c r="O7" s="264" t="str">
        <f>IF(AP!$E7="","",IF(ROUNDUP((ROUNDUP((AP!$E7*2+O$5)/3,2)+AP!$C7)/2,2)&lt;1,0,ROUNDUP((ROUNDUP((AP!$E7*2+O$5)/3,2)+AP!$C7)/2,2)))</f>
        <v/>
      </c>
      <c r="P7" s="264" t="str">
        <f>IF(AP!$E7="","",IF(ROUNDUP((ROUNDUP((AP!$E7*2+P$5)/3,2)+AP!$C7)/2,2)&lt;1,0,ROUNDUP((ROUNDUP((AP!$E7*2+P$5)/3,2)+AP!$C7)/2,2)))</f>
        <v/>
      </c>
      <c r="Q7" s="264" t="str">
        <f>IF(AP!$E7="","",IF(ROUNDUP((ROUNDUP((AP!$E7*2+Q$5)/3,2)+AP!$C7)/2,2)&lt;1,0,ROUNDUP((ROUNDUP((AP!$E7*2+Q$5)/3,2)+AP!$C7)/2,2)))</f>
        <v/>
      </c>
      <c r="R7" s="263" t="str">
        <f>IF(AP!$E7="","",IF(ROUNDUP((ROUNDUP((AP!$E7*2+R$5)/3,2)+AP!$C7)/2,2)&lt;1,0,ROUNDUP((ROUNDUP((AP!$E7*2+R$5)/3,2)+AP!$C7)/2,2)))</f>
        <v/>
      </c>
    </row>
    <row r="8" spans="1:18" x14ac:dyDescent="0.2">
      <c r="A8" s="9" t="str">
        <f ca="1">IF(+AP!B8="","",AP!B8)</f>
        <v/>
      </c>
      <c r="B8" s="263" t="str">
        <f>IF(AP!E8="","",IF(ROUNDUP((AP!E8+AP!C8)/2,2)&lt;1,0,ROUNDUP((AP!E8+AP!C8)/2,2)))</f>
        <v/>
      </c>
      <c r="C8" s="264" t="str">
        <f>IF(AP!$E8="","",IF(ROUNDUP((ROUNDUP((AP!$E8*2+C$5)/3,2)+AP!$C8)/2,2)&lt;1,0,ROUNDUP((ROUNDUP((AP!$E8*2+C$5)/3,2)+AP!$C8)/2,2)))</f>
        <v/>
      </c>
      <c r="D8" s="264" t="str">
        <f>IF(AP!$E8="","",IF(ROUNDUP((ROUNDUP((AP!$E8*2+D$5)/3,2)+AP!$C8)/2,2)&lt;1,0,ROUNDUP((ROUNDUP((AP!$E8*2+D$5)/3,2)+AP!$C8)/2,2)))</f>
        <v/>
      </c>
      <c r="E8" s="264" t="str">
        <f>IF(AP!$E8="","",IF(ROUNDUP((ROUNDUP((AP!$E8*2+E$5)/3,2)+AP!$C8)/2,2)&lt;1,0,ROUNDUP((ROUNDUP((AP!$E8*2+E$5)/3,2)+AP!$C8)/2,2)))</f>
        <v/>
      </c>
      <c r="F8" s="263" t="str">
        <f>IF(AP!$E8="","",IF(ROUNDUP((ROUNDUP((AP!$E8*2+F$5)/3,2)+AP!$C8)/2,2)&lt;1,0,ROUNDUP((ROUNDUP((AP!$E8*2+F$5)/3,2)+AP!$C8)/2,2)))</f>
        <v/>
      </c>
      <c r="G8" s="263" t="str">
        <f>IF(AP!$E8="","",IF(ROUNDUP((ROUNDUP((AP!$E8*2+G$5)/3,2)+AP!$C8)/2,2)&lt;1,0,ROUNDUP((ROUNDUP((AP!$E8*2+G$5)/3,2)+AP!$C8)/2,2)))</f>
        <v/>
      </c>
      <c r="H8" s="263" t="str">
        <f>IF(AP!$E8="","",IF(ROUNDUP((ROUNDUP((AP!$E8*2+H$5)/3,2)+AP!$C8)/2,2)&lt;1,0,ROUNDUP((ROUNDUP((AP!$E8*2+H$5)/3,2)+AP!$C8)/2,2)))</f>
        <v/>
      </c>
      <c r="I8" s="264" t="str">
        <f>IF(AP!$E8="","",IF(ROUNDUP((ROUNDUP((AP!$E8*2+I$5)/3,2)+AP!$C8)/2,2)&lt;1,0,ROUNDUP((ROUNDUP((AP!$E8*2+I$5)/3,2)+AP!$C8)/2,2)))</f>
        <v/>
      </c>
      <c r="J8" s="264" t="str">
        <f>IF(AP!$E8="","",IF(ROUNDUP((ROUNDUP((AP!$E8*2+J$5)/3,2)+AP!$C8)/2,2)&lt;1,0,ROUNDUP((ROUNDUP((AP!$E8*2+J$5)/3,2)+AP!$C8)/2,2)))</f>
        <v/>
      </c>
      <c r="K8" s="264" t="str">
        <f>IF(AP!$E8="","",IF(ROUNDUP((ROUNDUP((AP!$E8*2+K$5)/3,2)+AP!$C8)/2,2)&lt;1,0,ROUNDUP((ROUNDUP((AP!$E8*2+K$5)/3,2)+AP!$C8)/2,2)))</f>
        <v/>
      </c>
      <c r="L8" s="263" t="str">
        <f>IF(AP!$E8="","",IF(ROUNDUP((ROUNDUP((AP!$E8*2+L$5)/3,2)+AP!$C8)/2,2)&lt;1,0,ROUNDUP((ROUNDUP((AP!$E8*2+L$5)/3,2)+AP!$C8)/2,2)))</f>
        <v/>
      </c>
      <c r="M8" s="263" t="str">
        <f>IF(AP!$E8="","",IF(ROUNDUP((ROUNDUP((AP!$E8*2+M$5)/3,2)+AP!$C8)/2,2)&lt;1,0,ROUNDUP((ROUNDUP((AP!$E8*2+M$5)/3,2)+AP!$C8)/2,2)))</f>
        <v/>
      </c>
      <c r="N8" s="263" t="str">
        <f>IF(AP!$E8="","",IF(ROUNDUP((ROUNDUP((AP!$E8*2+N$5)/3,2)+AP!$C8)/2,2)&lt;1,0,ROUNDUP((ROUNDUP((AP!$E8*2+N$5)/3,2)+AP!$C8)/2,2)))</f>
        <v/>
      </c>
      <c r="O8" s="264" t="str">
        <f>IF(AP!$E8="","",IF(ROUNDUP((ROUNDUP((AP!$E8*2+O$5)/3,2)+AP!$C8)/2,2)&lt;1,0,ROUNDUP((ROUNDUP((AP!$E8*2+O$5)/3,2)+AP!$C8)/2,2)))</f>
        <v/>
      </c>
      <c r="P8" s="264" t="str">
        <f>IF(AP!$E8="","",IF(ROUNDUP((ROUNDUP((AP!$E8*2+P$5)/3,2)+AP!$C8)/2,2)&lt;1,0,ROUNDUP((ROUNDUP((AP!$E8*2+P$5)/3,2)+AP!$C8)/2,2)))</f>
        <v/>
      </c>
      <c r="Q8" s="264" t="str">
        <f>IF(AP!$E8="","",IF(ROUNDUP((ROUNDUP((AP!$E8*2+Q$5)/3,2)+AP!$C8)/2,2)&lt;1,0,ROUNDUP((ROUNDUP((AP!$E8*2+Q$5)/3,2)+AP!$C8)/2,2)))</f>
        <v/>
      </c>
      <c r="R8" s="263" t="str">
        <f>IF(AP!$E8="","",IF(ROUNDUP((ROUNDUP((AP!$E8*2+R$5)/3,2)+AP!$C8)/2,2)&lt;1,0,ROUNDUP((ROUNDUP((AP!$E8*2+R$5)/3,2)+AP!$C8)/2,2)))</f>
        <v/>
      </c>
    </row>
    <row r="9" spans="1:18" x14ac:dyDescent="0.2">
      <c r="A9" s="9" t="str">
        <f ca="1">IF(+AP!B9="","",AP!B9)</f>
        <v/>
      </c>
      <c r="B9" s="263" t="str">
        <f>IF(AP!E9="","",IF(ROUNDUP((AP!E9+AP!C9)/2,2)&lt;1,0,ROUNDUP((AP!E9+AP!C9)/2,2)))</f>
        <v/>
      </c>
      <c r="C9" s="264" t="str">
        <f>IF(AP!$E9="","",IF(ROUNDUP((ROUNDUP((AP!$E9*2+C$5)/3,2)+AP!$C9)/2,2)&lt;1,0,ROUNDUP((ROUNDUP((AP!$E9*2+C$5)/3,2)+AP!$C9)/2,2)))</f>
        <v/>
      </c>
      <c r="D9" s="264" t="str">
        <f>IF(AP!$E9="","",IF(ROUNDUP((ROUNDUP((AP!$E9*2+D$5)/3,2)+AP!$C9)/2,2)&lt;1,0,ROUNDUP((ROUNDUP((AP!$E9*2+D$5)/3,2)+AP!$C9)/2,2)))</f>
        <v/>
      </c>
      <c r="E9" s="264" t="str">
        <f>IF(AP!$E9="","",IF(ROUNDUP((ROUNDUP((AP!$E9*2+E$5)/3,2)+AP!$C9)/2,2)&lt;1,0,ROUNDUP((ROUNDUP((AP!$E9*2+E$5)/3,2)+AP!$C9)/2,2)))</f>
        <v/>
      </c>
      <c r="F9" s="263" t="str">
        <f>IF(AP!$E9="","",IF(ROUNDUP((ROUNDUP((AP!$E9*2+F$5)/3,2)+AP!$C9)/2,2)&lt;1,0,ROUNDUP((ROUNDUP((AP!$E9*2+F$5)/3,2)+AP!$C9)/2,2)))</f>
        <v/>
      </c>
      <c r="G9" s="263" t="str">
        <f>IF(AP!$E9="","",IF(ROUNDUP((ROUNDUP((AP!$E9*2+G$5)/3,2)+AP!$C9)/2,2)&lt;1,0,ROUNDUP((ROUNDUP((AP!$E9*2+G$5)/3,2)+AP!$C9)/2,2)))</f>
        <v/>
      </c>
      <c r="H9" s="263" t="str">
        <f>IF(AP!$E9="","",IF(ROUNDUP((ROUNDUP((AP!$E9*2+H$5)/3,2)+AP!$C9)/2,2)&lt;1,0,ROUNDUP((ROUNDUP((AP!$E9*2+H$5)/3,2)+AP!$C9)/2,2)))</f>
        <v/>
      </c>
      <c r="I9" s="264" t="str">
        <f>IF(AP!$E9="","",IF(ROUNDUP((ROUNDUP((AP!$E9*2+I$5)/3,2)+AP!$C9)/2,2)&lt;1,0,ROUNDUP((ROUNDUP((AP!$E9*2+I$5)/3,2)+AP!$C9)/2,2)))</f>
        <v/>
      </c>
      <c r="J9" s="264" t="str">
        <f>IF(AP!$E9="","",IF(ROUNDUP((ROUNDUP((AP!$E9*2+J$5)/3,2)+AP!$C9)/2,2)&lt;1,0,ROUNDUP((ROUNDUP((AP!$E9*2+J$5)/3,2)+AP!$C9)/2,2)))</f>
        <v/>
      </c>
      <c r="K9" s="264" t="str">
        <f>IF(AP!$E9="","",IF(ROUNDUP((ROUNDUP((AP!$E9*2+K$5)/3,2)+AP!$C9)/2,2)&lt;1,0,ROUNDUP((ROUNDUP((AP!$E9*2+K$5)/3,2)+AP!$C9)/2,2)))</f>
        <v/>
      </c>
      <c r="L9" s="263" t="str">
        <f>IF(AP!$E9="","",IF(ROUNDUP((ROUNDUP((AP!$E9*2+L$5)/3,2)+AP!$C9)/2,2)&lt;1,0,ROUNDUP((ROUNDUP((AP!$E9*2+L$5)/3,2)+AP!$C9)/2,2)))</f>
        <v/>
      </c>
      <c r="M9" s="263" t="str">
        <f>IF(AP!$E9="","",IF(ROUNDUP((ROUNDUP((AP!$E9*2+M$5)/3,2)+AP!$C9)/2,2)&lt;1,0,ROUNDUP((ROUNDUP((AP!$E9*2+M$5)/3,2)+AP!$C9)/2,2)))</f>
        <v/>
      </c>
      <c r="N9" s="263" t="str">
        <f>IF(AP!$E9="","",IF(ROUNDUP((ROUNDUP((AP!$E9*2+N$5)/3,2)+AP!$C9)/2,2)&lt;1,0,ROUNDUP((ROUNDUP((AP!$E9*2+N$5)/3,2)+AP!$C9)/2,2)))</f>
        <v/>
      </c>
      <c r="O9" s="264" t="str">
        <f>IF(AP!$E9="","",IF(ROUNDUP((ROUNDUP((AP!$E9*2+O$5)/3,2)+AP!$C9)/2,2)&lt;1,0,ROUNDUP((ROUNDUP((AP!$E9*2+O$5)/3,2)+AP!$C9)/2,2)))</f>
        <v/>
      </c>
      <c r="P9" s="264" t="str">
        <f>IF(AP!$E9="","",IF(ROUNDUP((ROUNDUP((AP!$E9*2+P$5)/3,2)+AP!$C9)/2,2)&lt;1,0,ROUNDUP((ROUNDUP((AP!$E9*2+P$5)/3,2)+AP!$C9)/2,2)))</f>
        <v/>
      </c>
      <c r="Q9" s="264" t="str">
        <f>IF(AP!$E9="","",IF(ROUNDUP((ROUNDUP((AP!$E9*2+Q$5)/3,2)+AP!$C9)/2,2)&lt;1,0,ROUNDUP((ROUNDUP((AP!$E9*2+Q$5)/3,2)+AP!$C9)/2,2)))</f>
        <v/>
      </c>
      <c r="R9" s="263" t="str">
        <f>IF(AP!$E9="","",IF(ROUNDUP((ROUNDUP((AP!$E9*2+R$5)/3,2)+AP!$C9)/2,2)&lt;1,0,ROUNDUP((ROUNDUP((AP!$E9*2+R$5)/3,2)+AP!$C9)/2,2)))</f>
        <v/>
      </c>
    </row>
    <row r="10" spans="1:18" x14ac:dyDescent="0.2">
      <c r="A10" s="9" t="str">
        <f ca="1">IF(+AP!B10="","",AP!B10)</f>
        <v/>
      </c>
      <c r="B10" s="263" t="str">
        <f>IF(AP!E10="","",IF(ROUNDUP((AP!E10+AP!C10)/2,2)&lt;1,0,ROUNDUP((AP!E10+AP!C10)/2,2)))</f>
        <v/>
      </c>
      <c r="C10" s="264" t="str">
        <f>IF(AP!$E10="","",IF(ROUNDUP((ROUNDUP((AP!$E10*2+C$5)/3,2)+AP!$C10)/2,2)&lt;1,0,ROUNDUP((ROUNDUP((AP!$E10*2+C$5)/3,2)+AP!$C10)/2,2)))</f>
        <v/>
      </c>
      <c r="D10" s="264" t="str">
        <f>IF(AP!$E10="","",IF(ROUNDUP((ROUNDUP((AP!$E10*2+D$5)/3,2)+AP!$C10)/2,2)&lt;1,0,ROUNDUP((ROUNDUP((AP!$E10*2+D$5)/3,2)+AP!$C10)/2,2)))</f>
        <v/>
      </c>
      <c r="E10" s="264" t="str">
        <f>IF(AP!$E10="","",IF(ROUNDUP((ROUNDUP((AP!$E10*2+E$5)/3,2)+AP!$C10)/2,2)&lt;1,0,ROUNDUP((ROUNDUP((AP!$E10*2+E$5)/3,2)+AP!$C10)/2,2)))</f>
        <v/>
      </c>
      <c r="F10" s="263" t="str">
        <f>IF(AP!$E10="","",IF(ROUNDUP((ROUNDUP((AP!$E10*2+F$5)/3,2)+AP!$C10)/2,2)&lt;1,0,ROUNDUP((ROUNDUP((AP!$E10*2+F$5)/3,2)+AP!$C10)/2,2)))</f>
        <v/>
      </c>
      <c r="G10" s="263" t="str">
        <f>IF(AP!$E10="","",IF(ROUNDUP((ROUNDUP((AP!$E10*2+G$5)/3,2)+AP!$C10)/2,2)&lt;1,0,ROUNDUP((ROUNDUP((AP!$E10*2+G$5)/3,2)+AP!$C10)/2,2)))</f>
        <v/>
      </c>
      <c r="H10" s="263" t="str">
        <f>IF(AP!$E10="","",IF(ROUNDUP((ROUNDUP((AP!$E10*2+H$5)/3,2)+AP!$C10)/2,2)&lt;1,0,ROUNDUP((ROUNDUP((AP!$E10*2+H$5)/3,2)+AP!$C10)/2,2)))</f>
        <v/>
      </c>
      <c r="I10" s="264" t="str">
        <f>IF(AP!$E10="","",IF(ROUNDUP((ROUNDUP((AP!$E10*2+I$5)/3,2)+AP!$C10)/2,2)&lt;1,0,ROUNDUP((ROUNDUP((AP!$E10*2+I$5)/3,2)+AP!$C10)/2,2)))</f>
        <v/>
      </c>
      <c r="J10" s="264" t="str">
        <f>IF(AP!$E10="","",IF(ROUNDUP((ROUNDUP((AP!$E10*2+J$5)/3,2)+AP!$C10)/2,2)&lt;1,0,ROUNDUP((ROUNDUP((AP!$E10*2+J$5)/3,2)+AP!$C10)/2,2)))</f>
        <v/>
      </c>
      <c r="K10" s="264" t="str">
        <f>IF(AP!$E10="","",IF(ROUNDUP((ROUNDUP((AP!$E10*2+K$5)/3,2)+AP!$C10)/2,2)&lt;1,0,ROUNDUP((ROUNDUP((AP!$E10*2+K$5)/3,2)+AP!$C10)/2,2)))</f>
        <v/>
      </c>
      <c r="L10" s="263" t="str">
        <f>IF(AP!$E10="","",IF(ROUNDUP((ROUNDUP((AP!$E10*2+L$5)/3,2)+AP!$C10)/2,2)&lt;1,0,ROUNDUP((ROUNDUP((AP!$E10*2+L$5)/3,2)+AP!$C10)/2,2)))</f>
        <v/>
      </c>
      <c r="M10" s="263" t="str">
        <f>IF(AP!$E10="","",IF(ROUNDUP((ROUNDUP((AP!$E10*2+M$5)/3,2)+AP!$C10)/2,2)&lt;1,0,ROUNDUP((ROUNDUP((AP!$E10*2+M$5)/3,2)+AP!$C10)/2,2)))</f>
        <v/>
      </c>
      <c r="N10" s="263" t="str">
        <f>IF(AP!$E10="","",IF(ROUNDUP((ROUNDUP((AP!$E10*2+N$5)/3,2)+AP!$C10)/2,2)&lt;1,0,ROUNDUP((ROUNDUP((AP!$E10*2+N$5)/3,2)+AP!$C10)/2,2)))</f>
        <v/>
      </c>
      <c r="O10" s="264" t="str">
        <f>IF(AP!$E10="","",IF(ROUNDUP((ROUNDUP((AP!$E10*2+O$5)/3,2)+AP!$C10)/2,2)&lt;1,0,ROUNDUP((ROUNDUP((AP!$E10*2+O$5)/3,2)+AP!$C10)/2,2)))</f>
        <v/>
      </c>
      <c r="P10" s="264" t="str">
        <f>IF(AP!$E10="","",IF(ROUNDUP((ROUNDUP((AP!$E10*2+P$5)/3,2)+AP!$C10)/2,2)&lt;1,0,ROUNDUP((ROUNDUP((AP!$E10*2+P$5)/3,2)+AP!$C10)/2,2)))</f>
        <v/>
      </c>
      <c r="Q10" s="264" t="str">
        <f>IF(AP!$E10="","",IF(ROUNDUP((ROUNDUP((AP!$E10*2+Q$5)/3,2)+AP!$C10)/2,2)&lt;1,0,ROUNDUP((ROUNDUP((AP!$E10*2+Q$5)/3,2)+AP!$C10)/2,2)))</f>
        <v/>
      </c>
      <c r="R10" s="263" t="str">
        <f>IF(AP!$E10="","",IF(ROUNDUP((ROUNDUP((AP!$E10*2+R$5)/3,2)+AP!$C10)/2,2)&lt;1,0,ROUNDUP((ROUNDUP((AP!$E10*2+R$5)/3,2)+AP!$C10)/2,2)))</f>
        <v/>
      </c>
    </row>
    <row r="11" spans="1:18" x14ac:dyDescent="0.2">
      <c r="A11" s="9" t="str">
        <f ca="1">IF(+AP!B11="","",AP!B11)</f>
        <v/>
      </c>
      <c r="B11" s="263" t="str">
        <f>IF(AP!E11="","",IF(ROUNDUP((AP!E11+AP!C11)/2,2)&lt;1,0,ROUNDUP((AP!E11+AP!C11)/2,2)))</f>
        <v/>
      </c>
      <c r="C11" s="264" t="str">
        <f>IF(AP!$E11="","",IF(ROUNDUP((ROUNDUP((AP!$E11*2+C$5)/3,2)+AP!$C11)/2,2)&lt;1,0,ROUNDUP((ROUNDUP((AP!$E11*2+C$5)/3,2)+AP!$C11)/2,2)))</f>
        <v/>
      </c>
      <c r="D11" s="264" t="str">
        <f>IF(AP!$E11="","",IF(ROUNDUP((ROUNDUP((AP!$E11*2+D$5)/3,2)+AP!$C11)/2,2)&lt;1,0,ROUNDUP((ROUNDUP((AP!$E11*2+D$5)/3,2)+AP!$C11)/2,2)))</f>
        <v/>
      </c>
      <c r="E11" s="264" t="str">
        <f>IF(AP!$E11="","",IF(ROUNDUP((ROUNDUP((AP!$E11*2+E$5)/3,2)+AP!$C11)/2,2)&lt;1,0,ROUNDUP((ROUNDUP((AP!$E11*2+E$5)/3,2)+AP!$C11)/2,2)))</f>
        <v/>
      </c>
      <c r="F11" s="263" t="str">
        <f>IF(AP!$E11="","",IF(ROUNDUP((ROUNDUP((AP!$E11*2+F$5)/3,2)+AP!$C11)/2,2)&lt;1,0,ROUNDUP((ROUNDUP((AP!$E11*2+F$5)/3,2)+AP!$C11)/2,2)))</f>
        <v/>
      </c>
      <c r="G11" s="263" t="str">
        <f>IF(AP!$E11="","",IF(ROUNDUP((ROUNDUP((AP!$E11*2+G$5)/3,2)+AP!$C11)/2,2)&lt;1,0,ROUNDUP((ROUNDUP((AP!$E11*2+G$5)/3,2)+AP!$C11)/2,2)))</f>
        <v/>
      </c>
      <c r="H11" s="263" t="str">
        <f>IF(AP!$E11="","",IF(ROUNDUP((ROUNDUP((AP!$E11*2+H$5)/3,2)+AP!$C11)/2,2)&lt;1,0,ROUNDUP((ROUNDUP((AP!$E11*2+H$5)/3,2)+AP!$C11)/2,2)))</f>
        <v/>
      </c>
      <c r="I11" s="264" t="str">
        <f>IF(AP!$E11="","",IF(ROUNDUP((ROUNDUP((AP!$E11*2+I$5)/3,2)+AP!$C11)/2,2)&lt;1,0,ROUNDUP((ROUNDUP((AP!$E11*2+I$5)/3,2)+AP!$C11)/2,2)))</f>
        <v/>
      </c>
      <c r="J11" s="264" t="str">
        <f>IF(AP!$E11="","",IF(ROUNDUP((ROUNDUP((AP!$E11*2+J$5)/3,2)+AP!$C11)/2,2)&lt;1,0,ROUNDUP((ROUNDUP((AP!$E11*2+J$5)/3,2)+AP!$C11)/2,2)))</f>
        <v/>
      </c>
      <c r="K11" s="264" t="str">
        <f>IF(AP!$E11="","",IF(ROUNDUP((ROUNDUP((AP!$E11*2+K$5)/3,2)+AP!$C11)/2,2)&lt;1,0,ROUNDUP((ROUNDUP((AP!$E11*2+K$5)/3,2)+AP!$C11)/2,2)))</f>
        <v/>
      </c>
      <c r="L11" s="263" t="str">
        <f>IF(AP!$E11="","",IF(ROUNDUP((ROUNDUP((AP!$E11*2+L$5)/3,2)+AP!$C11)/2,2)&lt;1,0,ROUNDUP((ROUNDUP((AP!$E11*2+L$5)/3,2)+AP!$C11)/2,2)))</f>
        <v/>
      </c>
      <c r="M11" s="263" t="str">
        <f>IF(AP!$E11="","",IF(ROUNDUP((ROUNDUP((AP!$E11*2+M$5)/3,2)+AP!$C11)/2,2)&lt;1,0,ROUNDUP((ROUNDUP((AP!$E11*2+M$5)/3,2)+AP!$C11)/2,2)))</f>
        <v/>
      </c>
      <c r="N11" s="263" t="str">
        <f>IF(AP!$E11="","",IF(ROUNDUP((ROUNDUP((AP!$E11*2+N$5)/3,2)+AP!$C11)/2,2)&lt;1,0,ROUNDUP((ROUNDUP((AP!$E11*2+N$5)/3,2)+AP!$C11)/2,2)))</f>
        <v/>
      </c>
      <c r="O11" s="264" t="str">
        <f>IF(AP!$E11="","",IF(ROUNDUP((ROUNDUP((AP!$E11*2+O$5)/3,2)+AP!$C11)/2,2)&lt;1,0,ROUNDUP((ROUNDUP((AP!$E11*2+O$5)/3,2)+AP!$C11)/2,2)))</f>
        <v/>
      </c>
      <c r="P11" s="264" t="str">
        <f>IF(AP!$E11="","",IF(ROUNDUP((ROUNDUP((AP!$E11*2+P$5)/3,2)+AP!$C11)/2,2)&lt;1,0,ROUNDUP((ROUNDUP((AP!$E11*2+P$5)/3,2)+AP!$C11)/2,2)))</f>
        <v/>
      </c>
      <c r="Q11" s="264" t="str">
        <f>IF(AP!$E11="","",IF(ROUNDUP((ROUNDUP((AP!$E11*2+Q$5)/3,2)+AP!$C11)/2,2)&lt;1,0,ROUNDUP((ROUNDUP((AP!$E11*2+Q$5)/3,2)+AP!$C11)/2,2)))</f>
        <v/>
      </c>
      <c r="R11" s="263" t="str">
        <f>IF(AP!$E11="","",IF(ROUNDUP((ROUNDUP((AP!$E11*2+R$5)/3,2)+AP!$C11)/2,2)&lt;1,0,ROUNDUP((ROUNDUP((AP!$E11*2+R$5)/3,2)+AP!$C11)/2,2)))</f>
        <v/>
      </c>
    </row>
    <row r="12" spans="1:18" x14ac:dyDescent="0.2">
      <c r="A12" s="9" t="str">
        <f ca="1">IF(+AP!B12="","",AP!B12)</f>
        <v/>
      </c>
      <c r="B12" s="263" t="str">
        <f>IF(AP!E12="","",IF(ROUNDUP((AP!E12+AP!C12)/2,2)&lt;1,0,ROUNDUP((AP!E12+AP!C12)/2,2)))</f>
        <v/>
      </c>
      <c r="C12" s="264" t="str">
        <f>IF(AP!$E12="","",IF(ROUNDUP((ROUNDUP((AP!$E12*2+C$5)/3,2)+AP!$C12)/2,2)&lt;1,0,ROUNDUP((ROUNDUP((AP!$E12*2+C$5)/3,2)+AP!$C12)/2,2)))</f>
        <v/>
      </c>
      <c r="D12" s="264" t="str">
        <f>IF(AP!$E12="","",IF(ROUNDUP((ROUNDUP((AP!$E12*2+D$5)/3,2)+AP!$C12)/2,2)&lt;1,0,ROUNDUP((ROUNDUP((AP!$E12*2+D$5)/3,2)+AP!$C12)/2,2)))</f>
        <v/>
      </c>
      <c r="E12" s="264" t="str">
        <f>IF(AP!$E12="","",IF(ROUNDUP((ROUNDUP((AP!$E12*2+E$5)/3,2)+AP!$C12)/2,2)&lt;1,0,ROUNDUP((ROUNDUP((AP!$E12*2+E$5)/3,2)+AP!$C12)/2,2)))</f>
        <v/>
      </c>
      <c r="F12" s="263" t="str">
        <f>IF(AP!$E12="","",IF(ROUNDUP((ROUNDUP((AP!$E12*2+F$5)/3,2)+AP!$C12)/2,2)&lt;1,0,ROUNDUP((ROUNDUP((AP!$E12*2+F$5)/3,2)+AP!$C12)/2,2)))</f>
        <v/>
      </c>
      <c r="G12" s="263" t="str">
        <f>IF(AP!$E12="","",IF(ROUNDUP((ROUNDUP((AP!$E12*2+G$5)/3,2)+AP!$C12)/2,2)&lt;1,0,ROUNDUP((ROUNDUP((AP!$E12*2+G$5)/3,2)+AP!$C12)/2,2)))</f>
        <v/>
      </c>
      <c r="H12" s="263" t="str">
        <f>IF(AP!$E12="","",IF(ROUNDUP((ROUNDUP((AP!$E12*2+H$5)/3,2)+AP!$C12)/2,2)&lt;1,0,ROUNDUP((ROUNDUP((AP!$E12*2+H$5)/3,2)+AP!$C12)/2,2)))</f>
        <v/>
      </c>
      <c r="I12" s="264" t="str">
        <f>IF(AP!$E12="","",IF(ROUNDUP((ROUNDUP((AP!$E12*2+I$5)/3,2)+AP!$C12)/2,2)&lt;1,0,ROUNDUP((ROUNDUP((AP!$E12*2+I$5)/3,2)+AP!$C12)/2,2)))</f>
        <v/>
      </c>
      <c r="J12" s="264" t="str">
        <f>IF(AP!$E12="","",IF(ROUNDUP((ROUNDUP((AP!$E12*2+J$5)/3,2)+AP!$C12)/2,2)&lt;1,0,ROUNDUP((ROUNDUP((AP!$E12*2+J$5)/3,2)+AP!$C12)/2,2)))</f>
        <v/>
      </c>
      <c r="K12" s="264" t="str">
        <f>IF(AP!$E12="","",IF(ROUNDUP((ROUNDUP((AP!$E12*2+K$5)/3,2)+AP!$C12)/2,2)&lt;1,0,ROUNDUP((ROUNDUP((AP!$E12*2+K$5)/3,2)+AP!$C12)/2,2)))</f>
        <v/>
      </c>
      <c r="L12" s="263" t="str">
        <f>IF(AP!$E12="","",IF(ROUNDUP((ROUNDUP((AP!$E12*2+L$5)/3,2)+AP!$C12)/2,2)&lt;1,0,ROUNDUP((ROUNDUP((AP!$E12*2+L$5)/3,2)+AP!$C12)/2,2)))</f>
        <v/>
      </c>
      <c r="M12" s="263" t="str">
        <f>IF(AP!$E12="","",IF(ROUNDUP((ROUNDUP((AP!$E12*2+M$5)/3,2)+AP!$C12)/2,2)&lt;1,0,ROUNDUP((ROUNDUP((AP!$E12*2+M$5)/3,2)+AP!$C12)/2,2)))</f>
        <v/>
      </c>
      <c r="N12" s="263" t="str">
        <f>IF(AP!$E12="","",IF(ROUNDUP((ROUNDUP((AP!$E12*2+N$5)/3,2)+AP!$C12)/2,2)&lt;1,0,ROUNDUP((ROUNDUP((AP!$E12*2+N$5)/3,2)+AP!$C12)/2,2)))</f>
        <v/>
      </c>
      <c r="O12" s="264" t="str">
        <f>IF(AP!$E12="","",IF(ROUNDUP((ROUNDUP((AP!$E12*2+O$5)/3,2)+AP!$C12)/2,2)&lt;1,0,ROUNDUP((ROUNDUP((AP!$E12*2+O$5)/3,2)+AP!$C12)/2,2)))</f>
        <v/>
      </c>
      <c r="P12" s="264" t="str">
        <f>IF(AP!$E12="","",IF(ROUNDUP((ROUNDUP((AP!$E12*2+P$5)/3,2)+AP!$C12)/2,2)&lt;1,0,ROUNDUP((ROUNDUP((AP!$E12*2+P$5)/3,2)+AP!$C12)/2,2)))</f>
        <v/>
      </c>
      <c r="Q12" s="264" t="str">
        <f>IF(AP!$E12="","",IF(ROUNDUP((ROUNDUP((AP!$E12*2+Q$5)/3,2)+AP!$C12)/2,2)&lt;1,0,ROUNDUP((ROUNDUP((AP!$E12*2+Q$5)/3,2)+AP!$C12)/2,2)))</f>
        <v/>
      </c>
      <c r="R12" s="263" t="str">
        <f>IF(AP!$E12="","",IF(ROUNDUP((ROUNDUP((AP!$E12*2+R$5)/3,2)+AP!$C12)/2,2)&lt;1,0,ROUNDUP((ROUNDUP((AP!$E12*2+R$5)/3,2)+AP!$C12)/2,2)))</f>
        <v/>
      </c>
    </row>
    <row r="13" spans="1:18" x14ac:dyDescent="0.2">
      <c r="A13" s="9" t="str">
        <f ca="1">IF(+AP!B13="","",AP!B13)</f>
        <v/>
      </c>
      <c r="B13" s="263" t="str">
        <f>IF(AP!E13="","",IF(ROUNDUP((AP!E13+AP!C13)/2,2)&lt;1,0,ROUNDUP((AP!E13+AP!C13)/2,2)))</f>
        <v/>
      </c>
      <c r="C13" s="264" t="str">
        <f>IF(AP!$E13="","",IF(ROUNDUP((ROUNDUP((AP!$E13*2+C$5)/3,2)+AP!$C13)/2,2)&lt;1,0,ROUNDUP((ROUNDUP((AP!$E13*2+C$5)/3,2)+AP!$C13)/2,2)))</f>
        <v/>
      </c>
      <c r="D13" s="264" t="str">
        <f>IF(AP!$E13="","",IF(ROUNDUP((ROUNDUP((AP!$E13*2+D$5)/3,2)+AP!$C13)/2,2)&lt;1,0,ROUNDUP((ROUNDUP((AP!$E13*2+D$5)/3,2)+AP!$C13)/2,2)))</f>
        <v/>
      </c>
      <c r="E13" s="264" t="str">
        <f>IF(AP!$E13="","",IF(ROUNDUP((ROUNDUP((AP!$E13*2+E$5)/3,2)+AP!$C13)/2,2)&lt;1,0,ROUNDUP((ROUNDUP((AP!$E13*2+E$5)/3,2)+AP!$C13)/2,2)))</f>
        <v/>
      </c>
      <c r="F13" s="263" t="str">
        <f>IF(AP!$E13="","",IF(ROUNDUP((ROUNDUP((AP!$E13*2+F$5)/3,2)+AP!$C13)/2,2)&lt;1,0,ROUNDUP((ROUNDUP((AP!$E13*2+F$5)/3,2)+AP!$C13)/2,2)))</f>
        <v/>
      </c>
      <c r="G13" s="263" t="str">
        <f>IF(AP!$E13="","",IF(ROUNDUP((ROUNDUP((AP!$E13*2+G$5)/3,2)+AP!$C13)/2,2)&lt;1,0,ROUNDUP((ROUNDUP((AP!$E13*2+G$5)/3,2)+AP!$C13)/2,2)))</f>
        <v/>
      </c>
      <c r="H13" s="263" t="str">
        <f>IF(AP!$E13="","",IF(ROUNDUP((ROUNDUP((AP!$E13*2+H$5)/3,2)+AP!$C13)/2,2)&lt;1,0,ROUNDUP((ROUNDUP((AP!$E13*2+H$5)/3,2)+AP!$C13)/2,2)))</f>
        <v/>
      </c>
      <c r="I13" s="264" t="str">
        <f>IF(AP!$E13="","",IF(ROUNDUP((ROUNDUP((AP!$E13*2+I$5)/3,2)+AP!$C13)/2,2)&lt;1,0,ROUNDUP((ROUNDUP((AP!$E13*2+I$5)/3,2)+AP!$C13)/2,2)))</f>
        <v/>
      </c>
      <c r="J13" s="264" t="str">
        <f>IF(AP!$E13="","",IF(ROUNDUP((ROUNDUP((AP!$E13*2+J$5)/3,2)+AP!$C13)/2,2)&lt;1,0,ROUNDUP((ROUNDUP((AP!$E13*2+J$5)/3,2)+AP!$C13)/2,2)))</f>
        <v/>
      </c>
      <c r="K13" s="264" t="str">
        <f>IF(AP!$E13="","",IF(ROUNDUP((ROUNDUP((AP!$E13*2+K$5)/3,2)+AP!$C13)/2,2)&lt;1,0,ROUNDUP((ROUNDUP((AP!$E13*2+K$5)/3,2)+AP!$C13)/2,2)))</f>
        <v/>
      </c>
      <c r="L13" s="263" t="str">
        <f>IF(AP!$E13="","",IF(ROUNDUP((ROUNDUP((AP!$E13*2+L$5)/3,2)+AP!$C13)/2,2)&lt;1,0,ROUNDUP((ROUNDUP((AP!$E13*2+L$5)/3,2)+AP!$C13)/2,2)))</f>
        <v/>
      </c>
      <c r="M13" s="263" t="str">
        <f>IF(AP!$E13="","",IF(ROUNDUP((ROUNDUP((AP!$E13*2+M$5)/3,2)+AP!$C13)/2,2)&lt;1,0,ROUNDUP((ROUNDUP((AP!$E13*2+M$5)/3,2)+AP!$C13)/2,2)))</f>
        <v/>
      </c>
      <c r="N13" s="263" t="str">
        <f>IF(AP!$E13="","",IF(ROUNDUP((ROUNDUP((AP!$E13*2+N$5)/3,2)+AP!$C13)/2,2)&lt;1,0,ROUNDUP((ROUNDUP((AP!$E13*2+N$5)/3,2)+AP!$C13)/2,2)))</f>
        <v/>
      </c>
      <c r="O13" s="264" t="str">
        <f>IF(AP!$E13="","",IF(ROUNDUP((ROUNDUP((AP!$E13*2+O$5)/3,2)+AP!$C13)/2,2)&lt;1,0,ROUNDUP((ROUNDUP((AP!$E13*2+O$5)/3,2)+AP!$C13)/2,2)))</f>
        <v/>
      </c>
      <c r="P13" s="264" t="str">
        <f>IF(AP!$E13="","",IF(ROUNDUP((ROUNDUP((AP!$E13*2+P$5)/3,2)+AP!$C13)/2,2)&lt;1,0,ROUNDUP((ROUNDUP((AP!$E13*2+P$5)/3,2)+AP!$C13)/2,2)))</f>
        <v/>
      </c>
      <c r="Q13" s="264" t="str">
        <f>IF(AP!$E13="","",IF(ROUNDUP((ROUNDUP((AP!$E13*2+Q$5)/3,2)+AP!$C13)/2,2)&lt;1,0,ROUNDUP((ROUNDUP((AP!$E13*2+Q$5)/3,2)+AP!$C13)/2,2)))</f>
        <v/>
      </c>
      <c r="R13" s="263" t="str">
        <f>IF(AP!$E13="","",IF(ROUNDUP((ROUNDUP((AP!$E13*2+R$5)/3,2)+AP!$C13)/2,2)&lt;1,0,ROUNDUP((ROUNDUP((AP!$E13*2+R$5)/3,2)+AP!$C13)/2,2)))</f>
        <v/>
      </c>
    </row>
    <row r="14" spans="1:18" x14ac:dyDescent="0.2">
      <c r="A14" s="9" t="str">
        <f ca="1">IF(+AP!B14="","",AP!B14)</f>
        <v/>
      </c>
      <c r="B14" s="263" t="str">
        <f>IF(AP!E14="","",IF(ROUNDUP((AP!E14+AP!C14)/2,2)&lt;1,0,ROUNDUP((AP!E14+AP!C14)/2,2)))</f>
        <v/>
      </c>
      <c r="C14" s="264" t="str">
        <f>IF(AP!$E14="","",IF(ROUNDUP((ROUNDUP((AP!$E14*2+C$5)/3,2)+AP!$C14)/2,2)&lt;1,0,ROUNDUP((ROUNDUP((AP!$E14*2+C$5)/3,2)+AP!$C14)/2,2)))</f>
        <v/>
      </c>
      <c r="D14" s="264" t="str">
        <f>IF(AP!$E14="","",IF(ROUNDUP((ROUNDUP((AP!$E14*2+D$5)/3,2)+AP!$C14)/2,2)&lt;1,0,ROUNDUP((ROUNDUP((AP!$E14*2+D$5)/3,2)+AP!$C14)/2,2)))</f>
        <v/>
      </c>
      <c r="E14" s="264" t="str">
        <f>IF(AP!$E14="","",IF(ROUNDUP((ROUNDUP((AP!$E14*2+E$5)/3,2)+AP!$C14)/2,2)&lt;1,0,ROUNDUP((ROUNDUP((AP!$E14*2+E$5)/3,2)+AP!$C14)/2,2)))</f>
        <v/>
      </c>
      <c r="F14" s="263" t="str">
        <f>IF(AP!$E14="","",IF(ROUNDUP((ROUNDUP((AP!$E14*2+F$5)/3,2)+AP!$C14)/2,2)&lt;1,0,ROUNDUP((ROUNDUP((AP!$E14*2+F$5)/3,2)+AP!$C14)/2,2)))</f>
        <v/>
      </c>
      <c r="G14" s="263" t="str">
        <f>IF(AP!$E14="","",IF(ROUNDUP((ROUNDUP((AP!$E14*2+G$5)/3,2)+AP!$C14)/2,2)&lt;1,0,ROUNDUP((ROUNDUP((AP!$E14*2+G$5)/3,2)+AP!$C14)/2,2)))</f>
        <v/>
      </c>
      <c r="H14" s="263" t="str">
        <f>IF(AP!$E14="","",IF(ROUNDUP((ROUNDUP((AP!$E14*2+H$5)/3,2)+AP!$C14)/2,2)&lt;1,0,ROUNDUP((ROUNDUP((AP!$E14*2+H$5)/3,2)+AP!$C14)/2,2)))</f>
        <v/>
      </c>
      <c r="I14" s="264" t="str">
        <f>IF(AP!$E14="","",IF(ROUNDUP((ROUNDUP((AP!$E14*2+I$5)/3,2)+AP!$C14)/2,2)&lt;1,0,ROUNDUP((ROUNDUP((AP!$E14*2+I$5)/3,2)+AP!$C14)/2,2)))</f>
        <v/>
      </c>
      <c r="J14" s="264" t="str">
        <f>IF(AP!$E14="","",IF(ROUNDUP((ROUNDUP((AP!$E14*2+J$5)/3,2)+AP!$C14)/2,2)&lt;1,0,ROUNDUP((ROUNDUP((AP!$E14*2+J$5)/3,2)+AP!$C14)/2,2)))</f>
        <v/>
      </c>
      <c r="K14" s="264" t="str">
        <f>IF(AP!$E14="","",IF(ROUNDUP((ROUNDUP((AP!$E14*2+K$5)/3,2)+AP!$C14)/2,2)&lt;1,0,ROUNDUP((ROUNDUP((AP!$E14*2+K$5)/3,2)+AP!$C14)/2,2)))</f>
        <v/>
      </c>
      <c r="L14" s="263" t="str">
        <f>IF(AP!$E14="","",IF(ROUNDUP((ROUNDUP((AP!$E14*2+L$5)/3,2)+AP!$C14)/2,2)&lt;1,0,ROUNDUP((ROUNDUP((AP!$E14*2+L$5)/3,2)+AP!$C14)/2,2)))</f>
        <v/>
      </c>
      <c r="M14" s="263" t="str">
        <f>IF(AP!$E14="","",IF(ROUNDUP((ROUNDUP((AP!$E14*2+M$5)/3,2)+AP!$C14)/2,2)&lt;1,0,ROUNDUP((ROUNDUP((AP!$E14*2+M$5)/3,2)+AP!$C14)/2,2)))</f>
        <v/>
      </c>
      <c r="N14" s="263" t="str">
        <f>IF(AP!$E14="","",IF(ROUNDUP((ROUNDUP((AP!$E14*2+N$5)/3,2)+AP!$C14)/2,2)&lt;1,0,ROUNDUP((ROUNDUP((AP!$E14*2+N$5)/3,2)+AP!$C14)/2,2)))</f>
        <v/>
      </c>
      <c r="O14" s="264" t="str">
        <f>IF(AP!$E14="","",IF(ROUNDUP((ROUNDUP((AP!$E14*2+O$5)/3,2)+AP!$C14)/2,2)&lt;1,0,ROUNDUP((ROUNDUP((AP!$E14*2+O$5)/3,2)+AP!$C14)/2,2)))</f>
        <v/>
      </c>
      <c r="P14" s="264" t="str">
        <f>IF(AP!$E14="","",IF(ROUNDUP((ROUNDUP((AP!$E14*2+P$5)/3,2)+AP!$C14)/2,2)&lt;1,0,ROUNDUP((ROUNDUP((AP!$E14*2+P$5)/3,2)+AP!$C14)/2,2)))</f>
        <v/>
      </c>
      <c r="Q14" s="264" t="str">
        <f>IF(AP!$E14="","",IF(ROUNDUP((ROUNDUP((AP!$E14*2+Q$5)/3,2)+AP!$C14)/2,2)&lt;1,0,ROUNDUP((ROUNDUP((AP!$E14*2+Q$5)/3,2)+AP!$C14)/2,2)))</f>
        <v/>
      </c>
      <c r="R14" s="263" t="str">
        <f>IF(AP!$E14="","",IF(ROUNDUP((ROUNDUP((AP!$E14*2+R$5)/3,2)+AP!$C14)/2,2)&lt;1,0,ROUNDUP((ROUNDUP((AP!$E14*2+R$5)/3,2)+AP!$C14)/2,2)))</f>
        <v/>
      </c>
    </row>
    <row r="15" spans="1:18" x14ac:dyDescent="0.2">
      <c r="A15" s="9" t="str">
        <f ca="1">IF(+AP!B15="","",AP!B15)</f>
        <v/>
      </c>
      <c r="B15" s="263" t="str">
        <f>IF(AP!E15="","",IF(ROUNDUP((AP!E15+AP!C15)/2,2)&lt;1,0,ROUNDUP((AP!E15+AP!C15)/2,2)))</f>
        <v/>
      </c>
      <c r="C15" s="264" t="str">
        <f>IF(AP!$E15="","",IF(ROUNDUP((ROUNDUP((AP!$E15*2+C$5)/3,2)+AP!$C15)/2,2)&lt;1,0,ROUNDUP((ROUNDUP((AP!$E15*2+C$5)/3,2)+AP!$C15)/2,2)))</f>
        <v/>
      </c>
      <c r="D15" s="264" t="str">
        <f>IF(AP!$E15="","",IF(ROUNDUP((ROUNDUP((AP!$E15*2+D$5)/3,2)+AP!$C15)/2,2)&lt;1,0,ROUNDUP((ROUNDUP((AP!$E15*2+D$5)/3,2)+AP!$C15)/2,2)))</f>
        <v/>
      </c>
      <c r="E15" s="264" t="str">
        <f>IF(AP!$E15="","",IF(ROUNDUP((ROUNDUP((AP!$E15*2+E$5)/3,2)+AP!$C15)/2,2)&lt;1,0,ROUNDUP((ROUNDUP((AP!$E15*2+E$5)/3,2)+AP!$C15)/2,2)))</f>
        <v/>
      </c>
      <c r="F15" s="263" t="str">
        <f>IF(AP!$E15="","",IF(ROUNDUP((ROUNDUP((AP!$E15*2+F$5)/3,2)+AP!$C15)/2,2)&lt;1,0,ROUNDUP((ROUNDUP((AP!$E15*2+F$5)/3,2)+AP!$C15)/2,2)))</f>
        <v/>
      </c>
      <c r="G15" s="263" t="str">
        <f>IF(AP!$E15="","",IF(ROUNDUP((ROUNDUP((AP!$E15*2+G$5)/3,2)+AP!$C15)/2,2)&lt;1,0,ROUNDUP((ROUNDUP((AP!$E15*2+G$5)/3,2)+AP!$C15)/2,2)))</f>
        <v/>
      </c>
      <c r="H15" s="263" t="str">
        <f>IF(AP!$E15="","",IF(ROUNDUP((ROUNDUP((AP!$E15*2+H$5)/3,2)+AP!$C15)/2,2)&lt;1,0,ROUNDUP((ROUNDUP((AP!$E15*2+H$5)/3,2)+AP!$C15)/2,2)))</f>
        <v/>
      </c>
      <c r="I15" s="264" t="str">
        <f>IF(AP!$E15="","",IF(ROUNDUP((ROUNDUP((AP!$E15*2+I$5)/3,2)+AP!$C15)/2,2)&lt;1,0,ROUNDUP((ROUNDUP((AP!$E15*2+I$5)/3,2)+AP!$C15)/2,2)))</f>
        <v/>
      </c>
      <c r="J15" s="264" t="str">
        <f>IF(AP!$E15="","",IF(ROUNDUP((ROUNDUP((AP!$E15*2+J$5)/3,2)+AP!$C15)/2,2)&lt;1,0,ROUNDUP((ROUNDUP((AP!$E15*2+J$5)/3,2)+AP!$C15)/2,2)))</f>
        <v/>
      </c>
      <c r="K15" s="264" t="str">
        <f>IF(AP!$E15="","",IF(ROUNDUP((ROUNDUP((AP!$E15*2+K$5)/3,2)+AP!$C15)/2,2)&lt;1,0,ROUNDUP((ROUNDUP((AP!$E15*2+K$5)/3,2)+AP!$C15)/2,2)))</f>
        <v/>
      </c>
      <c r="L15" s="263" t="str">
        <f>IF(AP!$E15="","",IF(ROUNDUP((ROUNDUP((AP!$E15*2+L$5)/3,2)+AP!$C15)/2,2)&lt;1,0,ROUNDUP((ROUNDUP((AP!$E15*2+L$5)/3,2)+AP!$C15)/2,2)))</f>
        <v/>
      </c>
      <c r="M15" s="263" t="str">
        <f>IF(AP!$E15="","",IF(ROUNDUP((ROUNDUP((AP!$E15*2+M$5)/3,2)+AP!$C15)/2,2)&lt;1,0,ROUNDUP((ROUNDUP((AP!$E15*2+M$5)/3,2)+AP!$C15)/2,2)))</f>
        <v/>
      </c>
      <c r="N15" s="263" t="str">
        <f>IF(AP!$E15="","",IF(ROUNDUP((ROUNDUP((AP!$E15*2+N$5)/3,2)+AP!$C15)/2,2)&lt;1,0,ROUNDUP((ROUNDUP((AP!$E15*2+N$5)/3,2)+AP!$C15)/2,2)))</f>
        <v/>
      </c>
      <c r="O15" s="264" t="str">
        <f>IF(AP!$E15="","",IF(ROUNDUP((ROUNDUP((AP!$E15*2+O$5)/3,2)+AP!$C15)/2,2)&lt;1,0,ROUNDUP((ROUNDUP((AP!$E15*2+O$5)/3,2)+AP!$C15)/2,2)))</f>
        <v/>
      </c>
      <c r="P15" s="264" t="str">
        <f>IF(AP!$E15="","",IF(ROUNDUP((ROUNDUP((AP!$E15*2+P$5)/3,2)+AP!$C15)/2,2)&lt;1,0,ROUNDUP((ROUNDUP((AP!$E15*2+P$5)/3,2)+AP!$C15)/2,2)))</f>
        <v/>
      </c>
      <c r="Q15" s="264" t="str">
        <f>IF(AP!$E15="","",IF(ROUNDUP((ROUNDUP((AP!$E15*2+Q$5)/3,2)+AP!$C15)/2,2)&lt;1,0,ROUNDUP((ROUNDUP((AP!$E15*2+Q$5)/3,2)+AP!$C15)/2,2)))</f>
        <v/>
      </c>
      <c r="R15" s="263" t="str">
        <f>IF(AP!$E15="","",IF(ROUNDUP((ROUNDUP((AP!$E15*2+R$5)/3,2)+AP!$C15)/2,2)&lt;1,0,ROUNDUP((ROUNDUP((AP!$E15*2+R$5)/3,2)+AP!$C15)/2,2)))</f>
        <v/>
      </c>
    </row>
    <row r="16" spans="1:18" x14ac:dyDescent="0.2">
      <c r="A16" s="9" t="str">
        <f ca="1">IF(+AP!B16="","",AP!B16)</f>
        <v/>
      </c>
      <c r="B16" s="263" t="str">
        <f>IF(AP!E16="","",IF(ROUNDUP((AP!E16+AP!C16)/2,2)&lt;1,0,ROUNDUP((AP!E16+AP!C16)/2,2)))</f>
        <v/>
      </c>
      <c r="C16" s="264" t="str">
        <f>IF(AP!$E16="","",IF(ROUNDUP((ROUNDUP((AP!$E16*2+C$5)/3,2)+AP!$C16)/2,2)&lt;1,0,ROUNDUP((ROUNDUP((AP!$E16*2+C$5)/3,2)+AP!$C16)/2,2)))</f>
        <v/>
      </c>
      <c r="D16" s="264" t="str">
        <f>IF(AP!$E16="","",IF(ROUNDUP((ROUNDUP((AP!$E16*2+D$5)/3,2)+AP!$C16)/2,2)&lt;1,0,ROUNDUP((ROUNDUP((AP!$E16*2+D$5)/3,2)+AP!$C16)/2,2)))</f>
        <v/>
      </c>
      <c r="E16" s="264" t="str">
        <f>IF(AP!$E16="","",IF(ROUNDUP((ROUNDUP((AP!$E16*2+E$5)/3,2)+AP!$C16)/2,2)&lt;1,0,ROUNDUP((ROUNDUP((AP!$E16*2+E$5)/3,2)+AP!$C16)/2,2)))</f>
        <v/>
      </c>
      <c r="F16" s="263" t="str">
        <f>IF(AP!$E16="","",IF(ROUNDUP((ROUNDUP((AP!$E16*2+F$5)/3,2)+AP!$C16)/2,2)&lt;1,0,ROUNDUP((ROUNDUP((AP!$E16*2+F$5)/3,2)+AP!$C16)/2,2)))</f>
        <v/>
      </c>
      <c r="G16" s="263" t="str">
        <f>IF(AP!$E16="","",IF(ROUNDUP((ROUNDUP((AP!$E16*2+G$5)/3,2)+AP!$C16)/2,2)&lt;1,0,ROUNDUP((ROUNDUP((AP!$E16*2+G$5)/3,2)+AP!$C16)/2,2)))</f>
        <v/>
      </c>
      <c r="H16" s="263" t="str">
        <f>IF(AP!$E16="","",IF(ROUNDUP((ROUNDUP((AP!$E16*2+H$5)/3,2)+AP!$C16)/2,2)&lt;1,0,ROUNDUP((ROUNDUP((AP!$E16*2+H$5)/3,2)+AP!$C16)/2,2)))</f>
        <v/>
      </c>
      <c r="I16" s="264" t="str">
        <f>IF(AP!$E16="","",IF(ROUNDUP((ROUNDUP((AP!$E16*2+I$5)/3,2)+AP!$C16)/2,2)&lt;1,0,ROUNDUP((ROUNDUP((AP!$E16*2+I$5)/3,2)+AP!$C16)/2,2)))</f>
        <v/>
      </c>
      <c r="J16" s="264" t="str">
        <f>IF(AP!$E16="","",IF(ROUNDUP((ROUNDUP((AP!$E16*2+J$5)/3,2)+AP!$C16)/2,2)&lt;1,0,ROUNDUP((ROUNDUP((AP!$E16*2+J$5)/3,2)+AP!$C16)/2,2)))</f>
        <v/>
      </c>
      <c r="K16" s="264" t="str">
        <f>IF(AP!$E16="","",IF(ROUNDUP((ROUNDUP((AP!$E16*2+K$5)/3,2)+AP!$C16)/2,2)&lt;1,0,ROUNDUP((ROUNDUP((AP!$E16*2+K$5)/3,2)+AP!$C16)/2,2)))</f>
        <v/>
      </c>
      <c r="L16" s="263" t="str">
        <f>IF(AP!$E16="","",IF(ROUNDUP((ROUNDUP((AP!$E16*2+L$5)/3,2)+AP!$C16)/2,2)&lt;1,0,ROUNDUP((ROUNDUP((AP!$E16*2+L$5)/3,2)+AP!$C16)/2,2)))</f>
        <v/>
      </c>
      <c r="M16" s="263" t="str">
        <f>IF(AP!$E16="","",IF(ROUNDUP((ROUNDUP((AP!$E16*2+M$5)/3,2)+AP!$C16)/2,2)&lt;1,0,ROUNDUP((ROUNDUP((AP!$E16*2+M$5)/3,2)+AP!$C16)/2,2)))</f>
        <v/>
      </c>
      <c r="N16" s="263" t="str">
        <f>IF(AP!$E16="","",IF(ROUNDUP((ROUNDUP((AP!$E16*2+N$5)/3,2)+AP!$C16)/2,2)&lt;1,0,ROUNDUP((ROUNDUP((AP!$E16*2+N$5)/3,2)+AP!$C16)/2,2)))</f>
        <v/>
      </c>
      <c r="O16" s="264" t="str">
        <f>IF(AP!$E16="","",IF(ROUNDUP((ROUNDUP((AP!$E16*2+O$5)/3,2)+AP!$C16)/2,2)&lt;1,0,ROUNDUP((ROUNDUP((AP!$E16*2+O$5)/3,2)+AP!$C16)/2,2)))</f>
        <v/>
      </c>
      <c r="P16" s="264" t="str">
        <f>IF(AP!$E16="","",IF(ROUNDUP((ROUNDUP((AP!$E16*2+P$5)/3,2)+AP!$C16)/2,2)&lt;1,0,ROUNDUP((ROUNDUP((AP!$E16*2+P$5)/3,2)+AP!$C16)/2,2)))</f>
        <v/>
      </c>
      <c r="Q16" s="264" t="str">
        <f>IF(AP!$E16="","",IF(ROUNDUP((ROUNDUP((AP!$E16*2+Q$5)/3,2)+AP!$C16)/2,2)&lt;1,0,ROUNDUP((ROUNDUP((AP!$E16*2+Q$5)/3,2)+AP!$C16)/2,2)))</f>
        <v/>
      </c>
      <c r="R16" s="263" t="str">
        <f>IF(AP!$E16="","",IF(ROUNDUP((ROUNDUP((AP!$E16*2+R$5)/3,2)+AP!$C16)/2,2)&lt;1,0,ROUNDUP((ROUNDUP((AP!$E16*2+R$5)/3,2)+AP!$C16)/2,2)))</f>
        <v/>
      </c>
    </row>
    <row r="17" spans="1:18" x14ac:dyDescent="0.2">
      <c r="A17" s="9" t="str">
        <f ca="1">IF(+AP!B17="","",AP!B17)</f>
        <v/>
      </c>
      <c r="B17" s="263" t="str">
        <f>IF(AP!E17="","",IF(ROUNDUP((AP!E17+AP!C17)/2,2)&lt;1,0,ROUNDUP((AP!E17+AP!C17)/2,2)))</f>
        <v/>
      </c>
      <c r="C17" s="264" t="str">
        <f>IF(AP!$E17="","",IF(ROUNDUP((ROUNDUP((AP!$E17*2+C$5)/3,2)+AP!$C17)/2,2)&lt;1,0,ROUNDUP((ROUNDUP((AP!$E17*2+C$5)/3,2)+AP!$C17)/2,2)))</f>
        <v/>
      </c>
      <c r="D17" s="264" t="str">
        <f>IF(AP!$E17="","",IF(ROUNDUP((ROUNDUP((AP!$E17*2+D$5)/3,2)+AP!$C17)/2,2)&lt;1,0,ROUNDUP((ROUNDUP((AP!$E17*2+D$5)/3,2)+AP!$C17)/2,2)))</f>
        <v/>
      </c>
      <c r="E17" s="264" t="str">
        <f>IF(AP!$E17="","",IF(ROUNDUP((ROUNDUP((AP!$E17*2+E$5)/3,2)+AP!$C17)/2,2)&lt;1,0,ROUNDUP((ROUNDUP((AP!$E17*2+E$5)/3,2)+AP!$C17)/2,2)))</f>
        <v/>
      </c>
      <c r="F17" s="263" t="str">
        <f>IF(AP!$E17="","",IF(ROUNDUP((ROUNDUP((AP!$E17*2+F$5)/3,2)+AP!$C17)/2,2)&lt;1,0,ROUNDUP((ROUNDUP((AP!$E17*2+F$5)/3,2)+AP!$C17)/2,2)))</f>
        <v/>
      </c>
      <c r="G17" s="263" t="str">
        <f>IF(AP!$E17="","",IF(ROUNDUP((ROUNDUP((AP!$E17*2+G$5)/3,2)+AP!$C17)/2,2)&lt;1,0,ROUNDUP((ROUNDUP((AP!$E17*2+G$5)/3,2)+AP!$C17)/2,2)))</f>
        <v/>
      </c>
      <c r="H17" s="263" t="str">
        <f>IF(AP!$E17="","",IF(ROUNDUP((ROUNDUP((AP!$E17*2+H$5)/3,2)+AP!$C17)/2,2)&lt;1,0,ROUNDUP((ROUNDUP((AP!$E17*2+H$5)/3,2)+AP!$C17)/2,2)))</f>
        <v/>
      </c>
      <c r="I17" s="264" t="str">
        <f>IF(AP!$E17="","",IF(ROUNDUP((ROUNDUP((AP!$E17*2+I$5)/3,2)+AP!$C17)/2,2)&lt;1,0,ROUNDUP((ROUNDUP((AP!$E17*2+I$5)/3,2)+AP!$C17)/2,2)))</f>
        <v/>
      </c>
      <c r="J17" s="264" t="str">
        <f>IF(AP!$E17="","",IF(ROUNDUP((ROUNDUP((AP!$E17*2+J$5)/3,2)+AP!$C17)/2,2)&lt;1,0,ROUNDUP((ROUNDUP((AP!$E17*2+J$5)/3,2)+AP!$C17)/2,2)))</f>
        <v/>
      </c>
      <c r="K17" s="264" t="str">
        <f>IF(AP!$E17="","",IF(ROUNDUP((ROUNDUP((AP!$E17*2+K$5)/3,2)+AP!$C17)/2,2)&lt;1,0,ROUNDUP((ROUNDUP((AP!$E17*2+K$5)/3,2)+AP!$C17)/2,2)))</f>
        <v/>
      </c>
      <c r="L17" s="263" t="str">
        <f>IF(AP!$E17="","",IF(ROUNDUP((ROUNDUP((AP!$E17*2+L$5)/3,2)+AP!$C17)/2,2)&lt;1,0,ROUNDUP((ROUNDUP((AP!$E17*2+L$5)/3,2)+AP!$C17)/2,2)))</f>
        <v/>
      </c>
      <c r="M17" s="263" t="str">
        <f>IF(AP!$E17="","",IF(ROUNDUP((ROUNDUP((AP!$E17*2+M$5)/3,2)+AP!$C17)/2,2)&lt;1,0,ROUNDUP((ROUNDUP((AP!$E17*2+M$5)/3,2)+AP!$C17)/2,2)))</f>
        <v/>
      </c>
      <c r="N17" s="263" t="str">
        <f>IF(AP!$E17="","",IF(ROUNDUP((ROUNDUP((AP!$E17*2+N$5)/3,2)+AP!$C17)/2,2)&lt;1,0,ROUNDUP((ROUNDUP((AP!$E17*2+N$5)/3,2)+AP!$C17)/2,2)))</f>
        <v/>
      </c>
      <c r="O17" s="264" t="str">
        <f>IF(AP!$E17="","",IF(ROUNDUP((ROUNDUP((AP!$E17*2+O$5)/3,2)+AP!$C17)/2,2)&lt;1,0,ROUNDUP((ROUNDUP((AP!$E17*2+O$5)/3,2)+AP!$C17)/2,2)))</f>
        <v/>
      </c>
      <c r="P17" s="264" t="str">
        <f>IF(AP!$E17="","",IF(ROUNDUP((ROUNDUP((AP!$E17*2+P$5)/3,2)+AP!$C17)/2,2)&lt;1,0,ROUNDUP((ROUNDUP((AP!$E17*2+P$5)/3,2)+AP!$C17)/2,2)))</f>
        <v/>
      </c>
      <c r="Q17" s="264" t="str">
        <f>IF(AP!$E17="","",IF(ROUNDUP((ROUNDUP((AP!$E17*2+Q$5)/3,2)+AP!$C17)/2,2)&lt;1,0,ROUNDUP((ROUNDUP((AP!$E17*2+Q$5)/3,2)+AP!$C17)/2,2)))</f>
        <v/>
      </c>
      <c r="R17" s="263" t="str">
        <f>IF(AP!$E17="","",IF(ROUNDUP((ROUNDUP((AP!$E17*2+R$5)/3,2)+AP!$C17)/2,2)&lt;1,0,ROUNDUP((ROUNDUP((AP!$E17*2+R$5)/3,2)+AP!$C17)/2,2)))</f>
        <v/>
      </c>
    </row>
    <row r="18" spans="1:18" x14ac:dyDescent="0.2">
      <c r="A18" s="9" t="str">
        <f ca="1">IF(+AP!B18="","",AP!B18)</f>
        <v/>
      </c>
      <c r="B18" s="263" t="str">
        <f>IF(AP!E18="","",IF(ROUNDUP((AP!E18+AP!C18)/2,2)&lt;1,0,ROUNDUP((AP!E18+AP!C18)/2,2)))</f>
        <v/>
      </c>
      <c r="C18" s="264" t="str">
        <f>IF(AP!$E18="","",IF(ROUNDUP((ROUNDUP((AP!$E18*2+C$5)/3,2)+AP!$C18)/2,2)&lt;1,0,ROUNDUP((ROUNDUP((AP!$E18*2+C$5)/3,2)+AP!$C18)/2,2)))</f>
        <v/>
      </c>
      <c r="D18" s="264" t="str">
        <f>IF(AP!$E18="","",IF(ROUNDUP((ROUNDUP((AP!$E18*2+D$5)/3,2)+AP!$C18)/2,2)&lt;1,0,ROUNDUP((ROUNDUP((AP!$E18*2+D$5)/3,2)+AP!$C18)/2,2)))</f>
        <v/>
      </c>
      <c r="E18" s="264" t="str">
        <f>IF(AP!$E18="","",IF(ROUNDUP((ROUNDUP((AP!$E18*2+E$5)/3,2)+AP!$C18)/2,2)&lt;1,0,ROUNDUP((ROUNDUP((AP!$E18*2+E$5)/3,2)+AP!$C18)/2,2)))</f>
        <v/>
      </c>
      <c r="F18" s="263" t="str">
        <f>IF(AP!$E18="","",IF(ROUNDUP((ROUNDUP((AP!$E18*2+F$5)/3,2)+AP!$C18)/2,2)&lt;1,0,ROUNDUP((ROUNDUP((AP!$E18*2+F$5)/3,2)+AP!$C18)/2,2)))</f>
        <v/>
      </c>
      <c r="G18" s="263" t="str">
        <f>IF(AP!$E18="","",IF(ROUNDUP((ROUNDUP((AP!$E18*2+G$5)/3,2)+AP!$C18)/2,2)&lt;1,0,ROUNDUP((ROUNDUP((AP!$E18*2+G$5)/3,2)+AP!$C18)/2,2)))</f>
        <v/>
      </c>
      <c r="H18" s="263" t="str">
        <f>IF(AP!$E18="","",IF(ROUNDUP((ROUNDUP((AP!$E18*2+H$5)/3,2)+AP!$C18)/2,2)&lt;1,0,ROUNDUP((ROUNDUP((AP!$E18*2+H$5)/3,2)+AP!$C18)/2,2)))</f>
        <v/>
      </c>
      <c r="I18" s="264" t="str">
        <f>IF(AP!$E18="","",IF(ROUNDUP((ROUNDUP((AP!$E18*2+I$5)/3,2)+AP!$C18)/2,2)&lt;1,0,ROUNDUP((ROUNDUP((AP!$E18*2+I$5)/3,2)+AP!$C18)/2,2)))</f>
        <v/>
      </c>
      <c r="J18" s="264" t="str">
        <f>IF(AP!$E18="","",IF(ROUNDUP((ROUNDUP((AP!$E18*2+J$5)/3,2)+AP!$C18)/2,2)&lt;1,0,ROUNDUP((ROUNDUP((AP!$E18*2+J$5)/3,2)+AP!$C18)/2,2)))</f>
        <v/>
      </c>
      <c r="K18" s="264" t="str">
        <f>IF(AP!$E18="","",IF(ROUNDUP((ROUNDUP((AP!$E18*2+K$5)/3,2)+AP!$C18)/2,2)&lt;1,0,ROUNDUP((ROUNDUP((AP!$E18*2+K$5)/3,2)+AP!$C18)/2,2)))</f>
        <v/>
      </c>
      <c r="L18" s="263" t="str">
        <f>IF(AP!$E18="","",IF(ROUNDUP((ROUNDUP((AP!$E18*2+L$5)/3,2)+AP!$C18)/2,2)&lt;1,0,ROUNDUP((ROUNDUP((AP!$E18*2+L$5)/3,2)+AP!$C18)/2,2)))</f>
        <v/>
      </c>
      <c r="M18" s="263" t="str">
        <f>IF(AP!$E18="","",IF(ROUNDUP((ROUNDUP((AP!$E18*2+M$5)/3,2)+AP!$C18)/2,2)&lt;1,0,ROUNDUP((ROUNDUP((AP!$E18*2+M$5)/3,2)+AP!$C18)/2,2)))</f>
        <v/>
      </c>
      <c r="N18" s="263" t="str">
        <f>IF(AP!$E18="","",IF(ROUNDUP((ROUNDUP((AP!$E18*2+N$5)/3,2)+AP!$C18)/2,2)&lt;1,0,ROUNDUP((ROUNDUP((AP!$E18*2+N$5)/3,2)+AP!$C18)/2,2)))</f>
        <v/>
      </c>
      <c r="O18" s="264" t="str">
        <f>IF(AP!$E18="","",IF(ROUNDUP((ROUNDUP((AP!$E18*2+O$5)/3,2)+AP!$C18)/2,2)&lt;1,0,ROUNDUP((ROUNDUP((AP!$E18*2+O$5)/3,2)+AP!$C18)/2,2)))</f>
        <v/>
      </c>
      <c r="P18" s="264" t="str">
        <f>IF(AP!$E18="","",IF(ROUNDUP((ROUNDUP((AP!$E18*2+P$5)/3,2)+AP!$C18)/2,2)&lt;1,0,ROUNDUP((ROUNDUP((AP!$E18*2+P$5)/3,2)+AP!$C18)/2,2)))</f>
        <v/>
      </c>
      <c r="Q18" s="264" t="str">
        <f>IF(AP!$E18="","",IF(ROUNDUP((ROUNDUP((AP!$E18*2+Q$5)/3,2)+AP!$C18)/2,2)&lt;1,0,ROUNDUP((ROUNDUP((AP!$E18*2+Q$5)/3,2)+AP!$C18)/2,2)))</f>
        <v/>
      </c>
      <c r="R18" s="263" t="str">
        <f>IF(AP!$E18="","",IF(ROUNDUP((ROUNDUP((AP!$E18*2+R$5)/3,2)+AP!$C18)/2,2)&lt;1,0,ROUNDUP((ROUNDUP((AP!$E18*2+R$5)/3,2)+AP!$C18)/2,2)))</f>
        <v/>
      </c>
    </row>
    <row r="19" spans="1:18" x14ac:dyDescent="0.2">
      <c r="A19" s="9" t="str">
        <f ca="1">IF(+AP!B19="","",AP!B19)</f>
        <v/>
      </c>
      <c r="B19" s="263" t="str">
        <f>IF(AP!E19="","",IF(ROUNDUP((AP!E19+AP!C19)/2,2)&lt;1,0,ROUNDUP((AP!E19+AP!C19)/2,2)))</f>
        <v/>
      </c>
      <c r="C19" s="264" t="str">
        <f>IF(AP!$E19="","",IF(ROUNDUP((ROUNDUP((AP!$E19*2+C$5)/3,2)+AP!$C19)/2,2)&lt;1,0,ROUNDUP((ROUNDUP((AP!$E19*2+C$5)/3,2)+AP!$C19)/2,2)))</f>
        <v/>
      </c>
      <c r="D19" s="264" t="str">
        <f>IF(AP!$E19="","",IF(ROUNDUP((ROUNDUP((AP!$E19*2+D$5)/3,2)+AP!$C19)/2,2)&lt;1,0,ROUNDUP((ROUNDUP((AP!$E19*2+D$5)/3,2)+AP!$C19)/2,2)))</f>
        <v/>
      </c>
      <c r="E19" s="264" t="str">
        <f>IF(AP!$E19="","",IF(ROUNDUP((ROUNDUP((AP!$E19*2+E$5)/3,2)+AP!$C19)/2,2)&lt;1,0,ROUNDUP((ROUNDUP((AP!$E19*2+E$5)/3,2)+AP!$C19)/2,2)))</f>
        <v/>
      </c>
      <c r="F19" s="263" t="str">
        <f>IF(AP!$E19="","",IF(ROUNDUP((ROUNDUP((AP!$E19*2+F$5)/3,2)+AP!$C19)/2,2)&lt;1,0,ROUNDUP((ROUNDUP((AP!$E19*2+F$5)/3,2)+AP!$C19)/2,2)))</f>
        <v/>
      </c>
      <c r="G19" s="263" t="str">
        <f>IF(AP!$E19="","",IF(ROUNDUP((ROUNDUP((AP!$E19*2+G$5)/3,2)+AP!$C19)/2,2)&lt;1,0,ROUNDUP((ROUNDUP((AP!$E19*2+G$5)/3,2)+AP!$C19)/2,2)))</f>
        <v/>
      </c>
      <c r="H19" s="263" t="str">
        <f>IF(AP!$E19="","",IF(ROUNDUP((ROUNDUP((AP!$E19*2+H$5)/3,2)+AP!$C19)/2,2)&lt;1,0,ROUNDUP((ROUNDUP((AP!$E19*2+H$5)/3,2)+AP!$C19)/2,2)))</f>
        <v/>
      </c>
      <c r="I19" s="264" t="str">
        <f>IF(AP!$E19="","",IF(ROUNDUP((ROUNDUP((AP!$E19*2+I$5)/3,2)+AP!$C19)/2,2)&lt;1,0,ROUNDUP((ROUNDUP((AP!$E19*2+I$5)/3,2)+AP!$C19)/2,2)))</f>
        <v/>
      </c>
      <c r="J19" s="264" t="str">
        <f>IF(AP!$E19="","",IF(ROUNDUP((ROUNDUP((AP!$E19*2+J$5)/3,2)+AP!$C19)/2,2)&lt;1,0,ROUNDUP((ROUNDUP((AP!$E19*2+J$5)/3,2)+AP!$C19)/2,2)))</f>
        <v/>
      </c>
      <c r="K19" s="264" t="str">
        <f>IF(AP!$E19="","",IF(ROUNDUP((ROUNDUP((AP!$E19*2+K$5)/3,2)+AP!$C19)/2,2)&lt;1,0,ROUNDUP((ROUNDUP((AP!$E19*2+K$5)/3,2)+AP!$C19)/2,2)))</f>
        <v/>
      </c>
      <c r="L19" s="263" t="str">
        <f>IF(AP!$E19="","",IF(ROUNDUP((ROUNDUP((AP!$E19*2+L$5)/3,2)+AP!$C19)/2,2)&lt;1,0,ROUNDUP((ROUNDUP((AP!$E19*2+L$5)/3,2)+AP!$C19)/2,2)))</f>
        <v/>
      </c>
      <c r="M19" s="263" t="str">
        <f>IF(AP!$E19="","",IF(ROUNDUP((ROUNDUP((AP!$E19*2+M$5)/3,2)+AP!$C19)/2,2)&lt;1,0,ROUNDUP((ROUNDUP((AP!$E19*2+M$5)/3,2)+AP!$C19)/2,2)))</f>
        <v/>
      </c>
      <c r="N19" s="263" t="str">
        <f>IF(AP!$E19="","",IF(ROUNDUP((ROUNDUP((AP!$E19*2+N$5)/3,2)+AP!$C19)/2,2)&lt;1,0,ROUNDUP((ROUNDUP((AP!$E19*2+N$5)/3,2)+AP!$C19)/2,2)))</f>
        <v/>
      </c>
      <c r="O19" s="264" t="str">
        <f>IF(AP!$E19="","",IF(ROUNDUP((ROUNDUP((AP!$E19*2+O$5)/3,2)+AP!$C19)/2,2)&lt;1,0,ROUNDUP((ROUNDUP((AP!$E19*2+O$5)/3,2)+AP!$C19)/2,2)))</f>
        <v/>
      </c>
      <c r="P19" s="264" t="str">
        <f>IF(AP!$E19="","",IF(ROUNDUP((ROUNDUP((AP!$E19*2+P$5)/3,2)+AP!$C19)/2,2)&lt;1,0,ROUNDUP((ROUNDUP((AP!$E19*2+P$5)/3,2)+AP!$C19)/2,2)))</f>
        <v/>
      </c>
      <c r="Q19" s="264" t="str">
        <f>IF(AP!$E19="","",IF(ROUNDUP((ROUNDUP((AP!$E19*2+Q$5)/3,2)+AP!$C19)/2,2)&lt;1,0,ROUNDUP((ROUNDUP((AP!$E19*2+Q$5)/3,2)+AP!$C19)/2,2)))</f>
        <v/>
      </c>
      <c r="R19" s="263" t="str">
        <f>IF(AP!$E19="","",IF(ROUNDUP((ROUNDUP((AP!$E19*2+R$5)/3,2)+AP!$C19)/2,2)&lt;1,0,ROUNDUP((ROUNDUP((AP!$E19*2+R$5)/3,2)+AP!$C19)/2,2)))</f>
        <v/>
      </c>
    </row>
    <row r="20" spans="1:18" x14ac:dyDescent="0.2">
      <c r="A20" s="9" t="str">
        <f ca="1">IF(+AP!B20="","",AP!B20)</f>
        <v/>
      </c>
      <c r="B20" s="263" t="str">
        <f>IF(AP!E20="","",IF(ROUNDUP((AP!E20+AP!C20)/2,2)&lt;1,0,ROUNDUP((AP!E20+AP!C20)/2,2)))</f>
        <v/>
      </c>
      <c r="C20" s="264" t="str">
        <f>IF(AP!$E20="","",IF(ROUNDUP((ROUNDUP((AP!$E20*2+C$5)/3,2)+AP!$C20)/2,2)&lt;1,0,ROUNDUP((ROUNDUP((AP!$E20*2+C$5)/3,2)+AP!$C20)/2,2)))</f>
        <v/>
      </c>
      <c r="D20" s="264" t="str">
        <f>IF(AP!$E20="","",IF(ROUNDUP((ROUNDUP((AP!$E20*2+D$5)/3,2)+AP!$C20)/2,2)&lt;1,0,ROUNDUP((ROUNDUP((AP!$E20*2+D$5)/3,2)+AP!$C20)/2,2)))</f>
        <v/>
      </c>
      <c r="E20" s="264" t="str">
        <f>IF(AP!$E20="","",IF(ROUNDUP((ROUNDUP((AP!$E20*2+E$5)/3,2)+AP!$C20)/2,2)&lt;1,0,ROUNDUP((ROUNDUP((AP!$E20*2+E$5)/3,2)+AP!$C20)/2,2)))</f>
        <v/>
      </c>
      <c r="F20" s="263" t="str">
        <f>IF(AP!$E20="","",IF(ROUNDUP((ROUNDUP((AP!$E20*2+F$5)/3,2)+AP!$C20)/2,2)&lt;1,0,ROUNDUP((ROUNDUP((AP!$E20*2+F$5)/3,2)+AP!$C20)/2,2)))</f>
        <v/>
      </c>
      <c r="G20" s="263" t="str">
        <f>IF(AP!$E20="","",IF(ROUNDUP((ROUNDUP((AP!$E20*2+G$5)/3,2)+AP!$C20)/2,2)&lt;1,0,ROUNDUP((ROUNDUP((AP!$E20*2+G$5)/3,2)+AP!$C20)/2,2)))</f>
        <v/>
      </c>
      <c r="H20" s="263" t="str">
        <f>IF(AP!$E20="","",IF(ROUNDUP((ROUNDUP((AP!$E20*2+H$5)/3,2)+AP!$C20)/2,2)&lt;1,0,ROUNDUP((ROUNDUP((AP!$E20*2+H$5)/3,2)+AP!$C20)/2,2)))</f>
        <v/>
      </c>
      <c r="I20" s="264" t="str">
        <f>IF(AP!$E20="","",IF(ROUNDUP((ROUNDUP((AP!$E20*2+I$5)/3,2)+AP!$C20)/2,2)&lt;1,0,ROUNDUP((ROUNDUP((AP!$E20*2+I$5)/3,2)+AP!$C20)/2,2)))</f>
        <v/>
      </c>
      <c r="J20" s="264" t="str">
        <f>IF(AP!$E20="","",IF(ROUNDUP((ROUNDUP((AP!$E20*2+J$5)/3,2)+AP!$C20)/2,2)&lt;1,0,ROUNDUP((ROUNDUP((AP!$E20*2+J$5)/3,2)+AP!$C20)/2,2)))</f>
        <v/>
      </c>
      <c r="K20" s="264" t="str">
        <f>IF(AP!$E20="","",IF(ROUNDUP((ROUNDUP((AP!$E20*2+K$5)/3,2)+AP!$C20)/2,2)&lt;1,0,ROUNDUP((ROUNDUP((AP!$E20*2+K$5)/3,2)+AP!$C20)/2,2)))</f>
        <v/>
      </c>
      <c r="L20" s="263" t="str">
        <f>IF(AP!$E20="","",IF(ROUNDUP((ROUNDUP((AP!$E20*2+L$5)/3,2)+AP!$C20)/2,2)&lt;1,0,ROUNDUP((ROUNDUP((AP!$E20*2+L$5)/3,2)+AP!$C20)/2,2)))</f>
        <v/>
      </c>
      <c r="M20" s="263" t="str">
        <f>IF(AP!$E20="","",IF(ROUNDUP((ROUNDUP((AP!$E20*2+M$5)/3,2)+AP!$C20)/2,2)&lt;1,0,ROUNDUP((ROUNDUP((AP!$E20*2+M$5)/3,2)+AP!$C20)/2,2)))</f>
        <v/>
      </c>
      <c r="N20" s="263" t="str">
        <f>IF(AP!$E20="","",IF(ROUNDUP((ROUNDUP((AP!$E20*2+N$5)/3,2)+AP!$C20)/2,2)&lt;1,0,ROUNDUP((ROUNDUP((AP!$E20*2+N$5)/3,2)+AP!$C20)/2,2)))</f>
        <v/>
      </c>
      <c r="O20" s="264" t="str">
        <f>IF(AP!$E20="","",IF(ROUNDUP((ROUNDUP((AP!$E20*2+O$5)/3,2)+AP!$C20)/2,2)&lt;1,0,ROUNDUP((ROUNDUP((AP!$E20*2+O$5)/3,2)+AP!$C20)/2,2)))</f>
        <v/>
      </c>
      <c r="P20" s="264" t="str">
        <f>IF(AP!$E20="","",IF(ROUNDUP((ROUNDUP((AP!$E20*2+P$5)/3,2)+AP!$C20)/2,2)&lt;1,0,ROUNDUP((ROUNDUP((AP!$E20*2+P$5)/3,2)+AP!$C20)/2,2)))</f>
        <v/>
      </c>
      <c r="Q20" s="264" t="str">
        <f>IF(AP!$E20="","",IF(ROUNDUP((ROUNDUP((AP!$E20*2+Q$5)/3,2)+AP!$C20)/2,2)&lt;1,0,ROUNDUP((ROUNDUP((AP!$E20*2+Q$5)/3,2)+AP!$C20)/2,2)))</f>
        <v/>
      </c>
      <c r="R20" s="263" t="str">
        <f>IF(AP!$E20="","",IF(ROUNDUP((ROUNDUP((AP!$E20*2+R$5)/3,2)+AP!$C20)/2,2)&lt;1,0,ROUNDUP((ROUNDUP((AP!$E20*2+R$5)/3,2)+AP!$C20)/2,2)))</f>
        <v/>
      </c>
    </row>
    <row r="21" spans="1:18" x14ac:dyDescent="0.2">
      <c r="A21" s="9" t="str">
        <f ca="1">IF(+AP!B21="","",AP!B21)</f>
        <v/>
      </c>
      <c r="B21" s="263" t="str">
        <f>IF(AP!E21="","",IF(ROUNDUP((AP!E21+AP!C21)/2,2)&lt;1,0,ROUNDUP((AP!E21+AP!C21)/2,2)))</f>
        <v/>
      </c>
      <c r="C21" s="264" t="str">
        <f>IF(AP!$E21="","",IF(ROUNDUP((ROUNDUP((AP!$E21*2+C$5)/3,2)+AP!$C21)/2,2)&lt;1,0,ROUNDUP((ROUNDUP((AP!$E21*2+C$5)/3,2)+AP!$C21)/2,2)))</f>
        <v/>
      </c>
      <c r="D21" s="264" t="str">
        <f>IF(AP!$E21="","",IF(ROUNDUP((ROUNDUP((AP!$E21*2+D$5)/3,2)+AP!$C21)/2,2)&lt;1,0,ROUNDUP((ROUNDUP((AP!$E21*2+D$5)/3,2)+AP!$C21)/2,2)))</f>
        <v/>
      </c>
      <c r="E21" s="264" t="str">
        <f>IF(AP!$E21="","",IF(ROUNDUP((ROUNDUP((AP!$E21*2+E$5)/3,2)+AP!$C21)/2,2)&lt;1,0,ROUNDUP((ROUNDUP((AP!$E21*2+E$5)/3,2)+AP!$C21)/2,2)))</f>
        <v/>
      </c>
      <c r="F21" s="263" t="str">
        <f>IF(AP!$E21="","",IF(ROUNDUP((ROUNDUP((AP!$E21*2+F$5)/3,2)+AP!$C21)/2,2)&lt;1,0,ROUNDUP((ROUNDUP((AP!$E21*2+F$5)/3,2)+AP!$C21)/2,2)))</f>
        <v/>
      </c>
      <c r="G21" s="263" t="str">
        <f>IF(AP!$E21="","",IF(ROUNDUP((ROUNDUP((AP!$E21*2+G$5)/3,2)+AP!$C21)/2,2)&lt;1,0,ROUNDUP((ROUNDUP((AP!$E21*2+G$5)/3,2)+AP!$C21)/2,2)))</f>
        <v/>
      </c>
      <c r="H21" s="263" t="str">
        <f>IF(AP!$E21="","",IF(ROUNDUP((ROUNDUP((AP!$E21*2+H$5)/3,2)+AP!$C21)/2,2)&lt;1,0,ROUNDUP((ROUNDUP((AP!$E21*2+H$5)/3,2)+AP!$C21)/2,2)))</f>
        <v/>
      </c>
      <c r="I21" s="264" t="str">
        <f>IF(AP!$E21="","",IF(ROUNDUP((ROUNDUP((AP!$E21*2+I$5)/3,2)+AP!$C21)/2,2)&lt;1,0,ROUNDUP((ROUNDUP((AP!$E21*2+I$5)/3,2)+AP!$C21)/2,2)))</f>
        <v/>
      </c>
      <c r="J21" s="264" t="str">
        <f>IF(AP!$E21="","",IF(ROUNDUP((ROUNDUP((AP!$E21*2+J$5)/3,2)+AP!$C21)/2,2)&lt;1,0,ROUNDUP((ROUNDUP((AP!$E21*2+J$5)/3,2)+AP!$C21)/2,2)))</f>
        <v/>
      </c>
      <c r="K21" s="264" t="str">
        <f>IF(AP!$E21="","",IF(ROUNDUP((ROUNDUP((AP!$E21*2+K$5)/3,2)+AP!$C21)/2,2)&lt;1,0,ROUNDUP((ROUNDUP((AP!$E21*2+K$5)/3,2)+AP!$C21)/2,2)))</f>
        <v/>
      </c>
      <c r="L21" s="263" t="str">
        <f>IF(AP!$E21="","",IF(ROUNDUP((ROUNDUP((AP!$E21*2+L$5)/3,2)+AP!$C21)/2,2)&lt;1,0,ROUNDUP((ROUNDUP((AP!$E21*2+L$5)/3,2)+AP!$C21)/2,2)))</f>
        <v/>
      </c>
      <c r="M21" s="263" t="str">
        <f>IF(AP!$E21="","",IF(ROUNDUP((ROUNDUP((AP!$E21*2+M$5)/3,2)+AP!$C21)/2,2)&lt;1,0,ROUNDUP((ROUNDUP((AP!$E21*2+M$5)/3,2)+AP!$C21)/2,2)))</f>
        <v/>
      </c>
      <c r="N21" s="263" t="str">
        <f>IF(AP!$E21="","",IF(ROUNDUP((ROUNDUP((AP!$E21*2+N$5)/3,2)+AP!$C21)/2,2)&lt;1,0,ROUNDUP((ROUNDUP((AP!$E21*2+N$5)/3,2)+AP!$C21)/2,2)))</f>
        <v/>
      </c>
      <c r="O21" s="264" t="str">
        <f>IF(AP!$E21="","",IF(ROUNDUP((ROUNDUP((AP!$E21*2+O$5)/3,2)+AP!$C21)/2,2)&lt;1,0,ROUNDUP((ROUNDUP((AP!$E21*2+O$5)/3,2)+AP!$C21)/2,2)))</f>
        <v/>
      </c>
      <c r="P21" s="264" t="str">
        <f>IF(AP!$E21="","",IF(ROUNDUP((ROUNDUP((AP!$E21*2+P$5)/3,2)+AP!$C21)/2,2)&lt;1,0,ROUNDUP((ROUNDUP((AP!$E21*2+P$5)/3,2)+AP!$C21)/2,2)))</f>
        <v/>
      </c>
      <c r="Q21" s="264" t="str">
        <f>IF(AP!$E21="","",IF(ROUNDUP((ROUNDUP((AP!$E21*2+Q$5)/3,2)+AP!$C21)/2,2)&lt;1,0,ROUNDUP((ROUNDUP((AP!$E21*2+Q$5)/3,2)+AP!$C21)/2,2)))</f>
        <v/>
      </c>
      <c r="R21" s="263" t="str">
        <f>IF(AP!$E21="","",IF(ROUNDUP((ROUNDUP((AP!$E21*2+R$5)/3,2)+AP!$C21)/2,2)&lt;1,0,ROUNDUP((ROUNDUP((AP!$E21*2+R$5)/3,2)+AP!$C21)/2,2)))</f>
        <v/>
      </c>
    </row>
    <row r="22" spans="1:18" x14ac:dyDescent="0.2">
      <c r="A22" s="9" t="str">
        <f ca="1">IF(+AP!B22="","",AP!B22)</f>
        <v/>
      </c>
      <c r="B22" s="263" t="str">
        <f>IF(AP!E22="","",IF(ROUNDUP((AP!E22+AP!C22)/2,2)&lt;1,0,ROUNDUP((AP!E22+AP!C22)/2,2)))</f>
        <v/>
      </c>
      <c r="C22" s="264" t="str">
        <f>IF(AP!$E22="","",IF(ROUNDUP((ROUNDUP((AP!$E22*2+C$5)/3,2)+AP!$C22)/2,2)&lt;1,0,ROUNDUP((ROUNDUP((AP!$E22*2+C$5)/3,2)+AP!$C22)/2,2)))</f>
        <v/>
      </c>
      <c r="D22" s="264" t="str">
        <f>IF(AP!$E22="","",IF(ROUNDUP((ROUNDUP((AP!$E22*2+D$5)/3,2)+AP!$C22)/2,2)&lt;1,0,ROUNDUP((ROUNDUP((AP!$E22*2+D$5)/3,2)+AP!$C22)/2,2)))</f>
        <v/>
      </c>
      <c r="E22" s="264" t="str">
        <f>IF(AP!$E22="","",IF(ROUNDUP((ROUNDUP((AP!$E22*2+E$5)/3,2)+AP!$C22)/2,2)&lt;1,0,ROUNDUP((ROUNDUP((AP!$E22*2+E$5)/3,2)+AP!$C22)/2,2)))</f>
        <v/>
      </c>
      <c r="F22" s="263" t="str">
        <f>IF(AP!$E22="","",IF(ROUNDUP((ROUNDUP((AP!$E22*2+F$5)/3,2)+AP!$C22)/2,2)&lt;1,0,ROUNDUP((ROUNDUP((AP!$E22*2+F$5)/3,2)+AP!$C22)/2,2)))</f>
        <v/>
      </c>
      <c r="G22" s="263" t="str">
        <f>IF(AP!$E22="","",IF(ROUNDUP((ROUNDUP((AP!$E22*2+G$5)/3,2)+AP!$C22)/2,2)&lt;1,0,ROUNDUP((ROUNDUP((AP!$E22*2+G$5)/3,2)+AP!$C22)/2,2)))</f>
        <v/>
      </c>
      <c r="H22" s="263" t="str">
        <f>IF(AP!$E22="","",IF(ROUNDUP((ROUNDUP((AP!$E22*2+H$5)/3,2)+AP!$C22)/2,2)&lt;1,0,ROUNDUP((ROUNDUP((AP!$E22*2+H$5)/3,2)+AP!$C22)/2,2)))</f>
        <v/>
      </c>
      <c r="I22" s="264" t="str">
        <f>IF(AP!$E22="","",IF(ROUNDUP((ROUNDUP((AP!$E22*2+I$5)/3,2)+AP!$C22)/2,2)&lt;1,0,ROUNDUP((ROUNDUP((AP!$E22*2+I$5)/3,2)+AP!$C22)/2,2)))</f>
        <v/>
      </c>
      <c r="J22" s="264" t="str">
        <f>IF(AP!$E22="","",IF(ROUNDUP((ROUNDUP((AP!$E22*2+J$5)/3,2)+AP!$C22)/2,2)&lt;1,0,ROUNDUP((ROUNDUP((AP!$E22*2+J$5)/3,2)+AP!$C22)/2,2)))</f>
        <v/>
      </c>
      <c r="K22" s="264" t="str">
        <f>IF(AP!$E22="","",IF(ROUNDUP((ROUNDUP((AP!$E22*2+K$5)/3,2)+AP!$C22)/2,2)&lt;1,0,ROUNDUP((ROUNDUP((AP!$E22*2+K$5)/3,2)+AP!$C22)/2,2)))</f>
        <v/>
      </c>
      <c r="L22" s="263" t="str">
        <f>IF(AP!$E22="","",IF(ROUNDUP((ROUNDUP((AP!$E22*2+L$5)/3,2)+AP!$C22)/2,2)&lt;1,0,ROUNDUP((ROUNDUP((AP!$E22*2+L$5)/3,2)+AP!$C22)/2,2)))</f>
        <v/>
      </c>
      <c r="M22" s="263" t="str">
        <f>IF(AP!$E22="","",IF(ROUNDUP((ROUNDUP((AP!$E22*2+M$5)/3,2)+AP!$C22)/2,2)&lt;1,0,ROUNDUP((ROUNDUP((AP!$E22*2+M$5)/3,2)+AP!$C22)/2,2)))</f>
        <v/>
      </c>
      <c r="N22" s="263" t="str">
        <f>IF(AP!$E22="","",IF(ROUNDUP((ROUNDUP((AP!$E22*2+N$5)/3,2)+AP!$C22)/2,2)&lt;1,0,ROUNDUP((ROUNDUP((AP!$E22*2+N$5)/3,2)+AP!$C22)/2,2)))</f>
        <v/>
      </c>
      <c r="O22" s="264" t="str">
        <f>IF(AP!$E22="","",IF(ROUNDUP((ROUNDUP((AP!$E22*2+O$5)/3,2)+AP!$C22)/2,2)&lt;1,0,ROUNDUP((ROUNDUP((AP!$E22*2+O$5)/3,2)+AP!$C22)/2,2)))</f>
        <v/>
      </c>
      <c r="P22" s="264" t="str">
        <f>IF(AP!$E22="","",IF(ROUNDUP((ROUNDUP((AP!$E22*2+P$5)/3,2)+AP!$C22)/2,2)&lt;1,0,ROUNDUP((ROUNDUP((AP!$E22*2+P$5)/3,2)+AP!$C22)/2,2)))</f>
        <v/>
      </c>
      <c r="Q22" s="264" t="str">
        <f>IF(AP!$E22="","",IF(ROUNDUP((ROUNDUP((AP!$E22*2+Q$5)/3,2)+AP!$C22)/2,2)&lt;1,0,ROUNDUP((ROUNDUP((AP!$E22*2+Q$5)/3,2)+AP!$C22)/2,2)))</f>
        <v/>
      </c>
      <c r="R22" s="263" t="str">
        <f>IF(AP!$E22="","",IF(ROUNDUP((ROUNDUP((AP!$E22*2+R$5)/3,2)+AP!$C22)/2,2)&lt;1,0,ROUNDUP((ROUNDUP((AP!$E22*2+R$5)/3,2)+AP!$C22)/2,2)))</f>
        <v/>
      </c>
    </row>
    <row r="23" spans="1:18" x14ac:dyDescent="0.2">
      <c r="A23" s="9" t="str">
        <f ca="1">IF(+AP!B23="","",AP!B23)</f>
        <v/>
      </c>
      <c r="B23" s="263" t="str">
        <f>IF(AP!E23="","",IF(ROUNDUP((AP!E23+AP!C23)/2,2)&lt;1,0,ROUNDUP((AP!E23+AP!C23)/2,2)))</f>
        <v/>
      </c>
      <c r="C23" s="264" t="str">
        <f>IF(AP!$E23="","",IF(ROUNDUP((ROUNDUP((AP!$E23*2+C$5)/3,2)+AP!$C23)/2,2)&lt;1,0,ROUNDUP((ROUNDUP((AP!$E23*2+C$5)/3,2)+AP!$C23)/2,2)))</f>
        <v/>
      </c>
      <c r="D23" s="264" t="str">
        <f>IF(AP!$E23="","",IF(ROUNDUP((ROUNDUP((AP!$E23*2+D$5)/3,2)+AP!$C23)/2,2)&lt;1,0,ROUNDUP((ROUNDUP((AP!$E23*2+D$5)/3,2)+AP!$C23)/2,2)))</f>
        <v/>
      </c>
      <c r="E23" s="264" t="str">
        <f>IF(AP!$E23="","",IF(ROUNDUP((ROUNDUP((AP!$E23*2+E$5)/3,2)+AP!$C23)/2,2)&lt;1,0,ROUNDUP((ROUNDUP((AP!$E23*2+E$5)/3,2)+AP!$C23)/2,2)))</f>
        <v/>
      </c>
      <c r="F23" s="263" t="str">
        <f>IF(AP!$E23="","",IF(ROUNDUP((ROUNDUP((AP!$E23*2+F$5)/3,2)+AP!$C23)/2,2)&lt;1,0,ROUNDUP((ROUNDUP((AP!$E23*2+F$5)/3,2)+AP!$C23)/2,2)))</f>
        <v/>
      </c>
      <c r="G23" s="263" t="str">
        <f>IF(AP!$E23="","",IF(ROUNDUP((ROUNDUP((AP!$E23*2+G$5)/3,2)+AP!$C23)/2,2)&lt;1,0,ROUNDUP((ROUNDUP((AP!$E23*2+G$5)/3,2)+AP!$C23)/2,2)))</f>
        <v/>
      </c>
      <c r="H23" s="263" t="str">
        <f>IF(AP!$E23="","",IF(ROUNDUP((ROUNDUP((AP!$E23*2+H$5)/3,2)+AP!$C23)/2,2)&lt;1,0,ROUNDUP((ROUNDUP((AP!$E23*2+H$5)/3,2)+AP!$C23)/2,2)))</f>
        <v/>
      </c>
      <c r="I23" s="264" t="str">
        <f>IF(AP!$E23="","",IF(ROUNDUP((ROUNDUP((AP!$E23*2+I$5)/3,2)+AP!$C23)/2,2)&lt;1,0,ROUNDUP((ROUNDUP((AP!$E23*2+I$5)/3,2)+AP!$C23)/2,2)))</f>
        <v/>
      </c>
      <c r="J23" s="264" t="str">
        <f>IF(AP!$E23="","",IF(ROUNDUP((ROUNDUP((AP!$E23*2+J$5)/3,2)+AP!$C23)/2,2)&lt;1,0,ROUNDUP((ROUNDUP((AP!$E23*2+J$5)/3,2)+AP!$C23)/2,2)))</f>
        <v/>
      </c>
      <c r="K23" s="264" t="str">
        <f>IF(AP!$E23="","",IF(ROUNDUP((ROUNDUP((AP!$E23*2+K$5)/3,2)+AP!$C23)/2,2)&lt;1,0,ROUNDUP((ROUNDUP((AP!$E23*2+K$5)/3,2)+AP!$C23)/2,2)))</f>
        <v/>
      </c>
      <c r="L23" s="263" t="str">
        <f>IF(AP!$E23="","",IF(ROUNDUP((ROUNDUP((AP!$E23*2+L$5)/3,2)+AP!$C23)/2,2)&lt;1,0,ROUNDUP((ROUNDUP((AP!$E23*2+L$5)/3,2)+AP!$C23)/2,2)))</f>
        <v/>
      </c>
      <c r="M23" s="263" t="str">
        <f>IF(AP!$E23="","",IF(ROUNDUP((ROUNDUP((AP!$E23*2+M$5)/3,2)+AP!$C23)/2,2)&lt;1,0,ROUNDUP((ROUNDUP((AP!$E23*2+M$5)/3,2)+AP!$C23)/2,2)))</f>
        <v/>
      </c>
      <c r="N23" s="263" t="str">
        <f>IF(AP!$E23="","",IF(ROUNDUP((ROUNDUP((AP!$E23*2+N$5)/3,2)+AP!$C23)/2,2)&lt;1,0,ROUNDUP((ROUNDUP((AP!$E23*2+N$5)/3,2)+AP!$C23)/2,2)))</f>
        <v/>
      </c>
      <c r="O23" s="264" t="str">
        <f>IF(AP!$E23="","",IF(ROUNDUP((ROUNDUP((AP!$E23*2+O$5)/3,2)+AP!$C23)/2,2)&lt;1,0,ROUNDUP((ROUNDUP((AP!$E23*2+O$5)/3,2)+AP!$C23)/2,2)))</f>
        <v/>
      </c>
      <c r="P23" s="264" t="str">
        <f>IF(AP!$E23="","",IF(ROUNDUP((ROUNDUP((AP!$E23*2+P$5)/3,2)+AP!$C23)/2,2)&lt;1,0,ROUNDUP((ROUNDUP((AP!$E23*2+P$5)/3,2)+AP!$C23)/2,2)))</f>
        <v/>
      </c>
      <c r="Q23" s="264" t="str">
        <f>IF(AP!$E23="","",IF(ROUNDUP((ROUNDUP((AP!$E23*2+Q$5)/3,2)+AP!$C23)/2,2)&lt;1,0,ROUNDUP((ROUNDUP((AP!$E23*2+Q$5)/3,2)+AP!$C23)/2,2)))</f>
        <v/>
      </c>
      <c r="R23" s="263" t="str">
        <f>IF(AP!$E23="","",IF(ROUNDUP((ROUNDUP((AP!$E23*2+R$5)/3,2)+AP!$C23)/2,2)&lt;1,0,ROUNDUP((ROUNDUP((AP!$E23*2+R$5)/3,2)+AP!$C23)/2,2)))</f>
        <v/>
      </c>
    </row>
    <row r="24" spans="1:18" x14ac:dyDescent="0.2">
      <c r="A24" s="9" t="str">
        <f ca="1">IF(+AP!B24="","",AP!B24)</f>
        <v/>
      </c>
      <c r="B24" s="263" t="str">
        <f>IF(AP!E24="","",IF(ROUNDUP((AP!E24+AP!C24)/2,2)&lt;1,0,ROUNDUP((AP!E24+AP!C24)/2,2)))</f>
        <v/>
      </c>
      <c r="C24" s="264" t="str">
        <f>IF(AP!$E24="","",IF(ROUNDUP((ROUNDUP((AP!$E24*2+C$5)/3,2)+AP!$C24)/2,2)&lt;1,0,ROUNDUP((ROUNDUP((AP!$E24*2+C$5)/3,2)+AP!$C24)/2,2)))</f>
        <v/>
      </c>
      <c r="D24" s="264" t="str">
        <f>IF(AP!$E24="","",IF(ROUNDUP((ROUNDUP((AP!$E24*2+D$5)/3,2)+AP!$C24)/2,2)&lt;1,0,ROUNDUP((ROUNDUP((AP!$E24*2+D$5)/3,2)+AP!$C24)/2,2)))</f>
        <v/>
      </c>
      <c r="E24" s="264" t="str">
        <f>IF(AP!$E24="","",IF(ROUNDUP((ROUNDUP((AP!$E24*2+E$5)/3,2)+AP!$C24)/2,2)&lt;1,0,ROUNDUP((ROUNDUP((AP!$E24*2+E$5)/3,2)+AP!$C24)/2,2)))</f>
        <v/>
      </c>
      <c r="F24" s="263" t="str">
        <f>IF(AP!$E24="","",IF(ROUNDUP((ROUNDUP((AP!$E24*2+F$5)/3,2)+AP!$C24)/2,2)&lt;1,0,ROUNDUP((ROUNDUP((AP!$E24*2+F$5)/3,2)+AP!$C24)/2,2)))</f>
        <v/>
      </c>
      <c r="G24" s="263" t="str">
        <f>IF(AP!$E24="","",IF(ROUNDUP((ROUNDUP((AP!$E24*2+G$5)/3,2)+AP!$C24)/2,2)&lt;1,0,ROUNDUP((ROUNDUP((AP!$E24*2+G$5)/3,2)+AP!$C24)/2,2)))</f>
        <v/>
      </c>
      <c r="H24" s="263" t="str">
        <f>IF(AP!$E24="","",IF(ROUNDUP((ROUNDUP((AP!$E24*2+H$5)/3,2)+AP!$C24)/2,2)&lt;1,0,ROUNDUP((ROUNDUP((AP!$E24*2+H$5)/3,2)+AP!$C24)/2,2)))</f>
        <v/>
      </c>
      <c r="I24" s="264" t="str">
        <f>IF(AP!$E24="","",IF(ROUNDUP((ROUNDUP((AP!$E24*2+I$5)/3,2)+AP!$C24)/2,2)&lt;1,0,ROUNDUP((ROUNDUP((AP!$E24*2+I$5)/3,2)+AP!$C24)/2,2)))</f>
        <v/>
      </c>
      <c r="J24" s="264" t="str">
        <f>IF(AP!$E24="","",IF(ROUNDUP((ROUNDUP((AP!$E24*2+J$5)/3,2)+AP!$C24)/2,2)&lt;1,0,ROUNDUP((ROUNDUP((AP!$E24*2+J$5)/3,2)+AP!$C24)/2,2)))</f>
        <v/>
      </c>
      <c r="K24" s="264" t="str">
        <f>IF(AP!$E24="","",IF(ROUNDUP((ROUNDUP((AP!$E24*2+K$5)/3,2)+AP!$C24)/2,2)&lt;1,0,ROUNDUP((ROUNDUP((AP!$E24*2+K$5)/3,2)+AP!$C24)/2,2)))</f>
        <v/>
      </c>
      <c r="L24" s="263" t="str">
        <f>IF(AP!$E24="","",IF(ROUNDUP((ROUNDUP((AP!$E24*2+L$5)/3,2)+AP!$C24)/2,2)&lt;1,0,ROUNDUP((ROUNDUP((AP!$E24*2+L$5)/3,2)+AP!$C24)/2,2)))</f>
        <v/>
      </c>
      <c r="M24" s="263" t="str">
        <f>IF(AP!$E24="","",IF(ROUNDUP((ROUNDUP((AP!$E24*2+M$5)/3,2)+AP!$C24)/2,2)&lt;1,0,ROUNDUP((ROUNDUP((AP!$E24*2+M$5)/3,2)+AP!$C24)/2,2)))</f>
        <v/>
      </c>
      <c r="N24" s="263" t="str">
        <f>IF(AP!$E24="","",IF(ROUNDUP((ROUNDUP((AP!$E24*2+N$5)/3,2)+AP!$C24)/2,2)&lt;1,0,ROUNDUP((ROUNDUP((AP!$E24*2+N$5)/3,2)+AP!$C24)/2,2)))</f>
        <v/>
      </c>
      <c r="O24" s="264" t="str">
        <f>IF(AP!$E24="","",IF(ROUNDUP((ROUNDUP((AP!$E24*2+O$5)/3,2)+AP!$C24)/2,2)&lt;1,0,ROUNDUP((ROUNDUP((AP!$E24*2+O$5)/3,2)+AP!$C24)/2,2)))</f>
        <v/>
      </c>
      <c r="P24" s="264" t="str">
        <f>IF(AP!$E24="","",IF(ROUNDUP((ROUNDUP((AP!$E24*2+P$5)/3,2)+AP!$C24)/2,2)&lt;1,0,ROUNDUP((ROUNDUP((AP!$E24*2+P$5)/3,2)+AP!$C24)/2,2)))</f>
        <v/>
      </c>
      <c r="Q24" s="264" t="str">
        <f>IF(AP!$E24="","",IF(ROUNDUP((ROUNDUP((AP!$E24*2+Q$5)/3,2)+AP!$C24)/2,2)&lt;1,0,ROUNDUP((ROUNDUP((AP!$E24*2+Q$5)/3,2)+AP!$C24)/2,2)))</f>
        <v/>
      </c>
      <c r="R24" s="263" t="str">
        <f>IF(AP!$E24="","",IF(ROUNDUP((ROUNDUP((AP!$E24*2+R$5)/3,2)+AP!$C24)/2,2)&lt;1,0,ROUNDUP((ROUNDUP((AP!$E24*2+R$5)/3,2)+AP!$C24)/2,2)))</f>
        <v/>
      </c>
    </row>
    <row r="25" spans="1:18" x14ac:dyDescent="0.2">
      <c r="A25" s="9" t="str">
        <f ca="1">IF(+AP!B25="","",AP!B25)</f>
        <v/>
      </c>
      <c r="B25" s="263" t="str">
        <f>IF(AP!E25="","",IF(ROUNDUP((AP!E25+AP!C25)/2,2)&lt;1,0,ROUNDUP((AP!E25+AP!C25)/2,2)))</f>
        <v/>
      </c>
      <c r="C25" s="264" t="str">
        <f>IF(AP!$E25="","",IF(ROUNDUP((ROUNDUP((AP!$E25*2+C$5)/3,2)+AP!$C25)/2,2)&lt;1,0,ROUNDUP((ROUNDUP((AP!$E25*2+C$5)/3,2)+AP!$C25)/2,2)))</f>
        <v/>
      </c>
      <c r="D25" s="264" t="str">
        <f>IF(AP!$E25="","",IF(ROUNDUP((ROUNDUP((AP!$E25*2+D$5)/3,2)+AP!$C25)/2,2)&lt;1,0,ROUNDUP((ROUNDUP((AP!$E25*2+D$5)/3,2)+AP!$C25)/2,2)))</f>
        <v/>
      </c>
      <c r="E25" s="264" t="str">
        <f>IF(AP!$E25="","",IF(ROUNDUP((ROUNDUP((AP!$E25*2+E$5)/3,2)+AP!$C25)/2,2)&lt;1,0,ROUNDUP((ROUNDUP((AP!$E25*2+E$5)/3,2)+AP!$C25)/2,2)))</f>
        <v/>
      </c>
      <c r="F25" s="263" t="str">
        <f>IF(AP!$E25="","",IF(ROUNDUP((ROUNDUP((AP!$E25*2+F$5)/3,2)+AP!$C25)/2,2)&lt;1,0,ROUNDUP((ROUNDUP((AP!$E25*2+F$5)/3,2)+AP!$C25)/2,2)))</f>
        <v/>
      </c>
      <c r="G25" s="263" t="str">
        <f>IF(AP!$E25="","",IF(ROUNDUP((ROUNDUP((AP!$E25*2+G$5)/3,2)+AP!$C25)/2,2)&lt;1,0,ROUNDUP((ROUNDUP((AP!$E25*2+G$5)/3,2)+AP!$C25)/2,2)))</f>
        <v/>
      </c>
      <c r="H25" s="263" t="str">
        <f>IF(AP!$E25="","",IF(ROUNDUP((ROUNDUP((AP!$E25*2+H$5)/3,2)+AP!$C25)/2,2)&lt;1,0,ROUNDUP((ROUNDUP((AP!$E25*2+H$5)/3,2)+AP!$C25)/2,2)))</f>
        <v/>
      </c>
      <c r="I25" s="264" t="str">
        <f>IF(AP!$E25="","",IF(ROUNDUP((ROUNDUP((AP!$E25*2+I$5)/3,2)+AP!$C25)/2,2)&lt;1,0,ROUNDUP((ROUNDUP((AP!$E25*2+I$5)/3,2)+AP!$C25)/2,2)))</f>
        <v/>
      </c>
      <c r="J25" s="264" t="str">
        <f>IF(AP!$E25="","",IF(ROUNDUP((ROUNDUP((AP!$E25*2+J$5)/3,2)+AP!$C25)/2,2)&lt;1,0,ROUNDUP((ROUNDUP((AP!$E25*2+J$5)/3,2)+AP!$C25)/2,2)))</f>
        <v/>
      </c>
      <c r="K25" s="264" t="str">
        <f>IF(AP!$E25="","",IF(ROUNDUP((ROUNDUP((AP!$E25*2+K$5)/3,2)+AP!$C25)/2,2)&lt;1,0,ROUNDUP((ROUNDUP((AP!$E25*2+K$5)/3,2)+AP!$C25)/2,2)))</f>
        <v/>
      </c>
      <c r="L25" s="263" t="str">
        <f>IF(AP!$E25="","",IF(ROUNDUP((ROUNDUP((AP!$E25*2+L$5)/3,2)+AP!$C25)/2,2)&lt;1,0,ROUNDUP((ROUNDUP((AP!$E25*2+L$5)/3,2)+AP!$C25)/2,2)))</f>
        <v/>
      </c>
      <c r="M25" s="263" t="str">
        <f>IF(AP!$E25="","",IF(ROUNDUP((ROUNDUP((AP!$E25*2+M$5)/3,2)+AP!$C25)/2,2)&lt;1,0,ROUNDUP((ROUNDUP((AP!$E25*2+M$5)/3,2)+AP!$C25)/2,2)))</f>
        <v/>
      </c>
      <c r="N25" s="263" t="str">
        <f>IF(AP!$E25="","",IF(ROUNDUP((ROUNDUP((AP!$E25*2+N$5)/3,2)+AP!$C25)/2,2)&lt;1,0,ROUNDUP((ROUNDUP((AP!$E25*2+N$5)/3,2)+AP!$C25)/2,2)))</f>
        <v/>
      </c>
      <c r="O25" s="264" t="str">
        <f>IF(AP!$E25="","",IF(ROUNDUP((ROUNDUP((AP!$E25*2+O$5)/3,2)+AP!$C25)/2,2)&lt;1,0,ROUNDUP((ROUNDUP((AP!$E25*2+O$5)/3,2)+AP!$C25)/2,2)))</f>
        <v/>
      </c>
      <c r="P25" s="264" t="str">
        <f>IF(AP!$E25="","",IF(ROUNDUP((ROUNDUP((AP!$E25*2+P$5)/3,2)+AP!$C25)/2,2)&lt;1,0,ROUNDUP((ROUNDUP((AP!$E25*2+P$5)/3,2)+AP!$C25)/2,2)))</f>
        <v/>
      </c>
      <c r="Q25" s="264" t="str">
        <f>IF(AP!$E25="","",IF(ROUNDUP((ROUNDUP((AP!$E25*2+Q$5)/3,2)+AP!$C25)/2,2)&lt;1,0,ROUNDUP((ROUNDUP((AP!$E25*2+Q$5)/3,2)+AP!$C25)/2,2)))</f>
        <v/>
      </c>
      <c r="R25" s="263" t="str">
        <f>IF(AP!$E25="","",IF(ROUNDUP((ROUNDUP((AP!$E25*2+R$5)/3,2)+AP!$C25)/2,2)&lt;1,0,ROUNDUP((ROUNDUP((AP!$E25*2+R$5)/3,2)+AP!$C25)/2,2)))</f>
        <v/>
      </c>
    </row>
    <row r="26" spans="1:18" x14ac:dyDescent="0.2">
      <c r="A26" s="9" t="str">
        <f ca="1">IF(+AP!B26="","",AP!B26)</f>
        <v/>
      </c>
      <c r="B26" s="263" t="str">
        <f>IF(AP!E26="","",IF(ROUNDUP((AP!E26+AP!C26)/2,2)&lt;1,0,ROUNDUP((AP!E26+AP!C26)/2,2)))</f>
        <v/>
      </c>
      <c r="C26" s="264" t="str">
        <f>IF(AP!$E26="","",IF(ROUNDUP((ROUNDUP((AP!$E26*2+C$5)/3,2)+AP!$C26)/2,2)&lt;1,0,ROUNDUP((ROUNDUP((AP!$E26*2+C$5)/3,2)+AP!$C26)/2,2)))</f>
        <v/>
      </c>
      <c r="D26" s="264" t="str">
        <f>IF(AP!$E26="","",IF(ROUNDUP((ROUNDUP((AP!$E26*2+D$5)/3,2)+AP!$C26)/2,2)&lt;1,0,ROUNDUP((ROUNDUP((AP!$E26*2+D$5)/3,2)+AP!$C26)/2,2)))</f>
        <v/>
      </c>
      <c r="E26" s="264" t="str">
        <f>IF(AP!$E26="","",IF(ROUNDUP((ROUNDUP((AP!$E26*2+E$5)/3,2)+AP!$C26)/2,2)&lt;1,0,ROUNDUP((ROUNDUP((AP!$E26*2+E$5)/3,2)+AP!$C26)/2,2)))</f>
        <v/>
      </c>
      <c r="F26" s="263" t="str">
        <f>IF(AP!$E26="","",IF(ROUNDUP((ROUNDUP((AP!$E26*2+F$5)/3,2)+AP!$C26)/2,2)&lt;1,0,ROUNDUP((ROUNDUP((AP!$E26*2+F$5)/3,2)+AP!$C26)/2,2)))</f>
        <v/>
      </c>
      <c r="G26" s="263" t="str">
        <f>IF(AP!$E26="","",IF(ROUNDUP((ROUNDUP((AP!$E26*2+G$5)/3,2)+AP!$C26)/2,2)&lt;1,0,ROUNDUP((ROUNDUP((AP!$E26*2+G$5)/3,2)+AP!$C26)/2,2)))</f>
        <v/>
      </c>
      <c r="H26" s="263" t="str">
        <f>IF(AP!$E26="","",IF(ROUNDUP((ROUNDUP((AP!$E26*2+H$5)/3,2)+AP!$C26)/2,2)&lt;1,0,ROUNDUP((ROUNDUP((AP!$E26*2+H$5)/3,2)+AP!$C26)/2,2)))</f>
        <v/>
      </c>
      <c r="I26" s="264" t="str">
        <f>IF(AP!$E26="","",IF(ROUNDUP((ROUNDUP((AP!$E26*2+I$5)/3,2)+AP!$C26)/2,2)&lt;1,0,ROUNDUP((ROUNDUP((AP!$E26*2+I$5)/3,2)+AP!$C26)/2,2)))</f>
        <v/>
      </c>
      <c r="J26" s="264" t="str">
        <f>IF(AP!$E26="","",IF(ROUNDUP((ROUNDUP((AP!$E26*2+J$5)/3,2)+AP!$C26)/2,2)&lt;1,0,ROUNDUP((ROUNDUP((AP!$E26*2+J$5)/3,2)+AP!$C26)/2,2)))</f>
        <v/>
      </c>
      <c r="K26" s="264" t="str">
        <f>IF(AP!$E26="","",IF(ROUNDUP((ROUNDUP((AP!$E26*2+K$5)/3,2)+AP!$C26)/2,2)&lt;1,0,ROUNDUP((ROUNDUP((AP!$E26*2+K$5)/3,2)+AP!$C26)/2,2)))</f>
        <v/>
      </c>
      <c r="L26" s="263" t="str">
        <f>IF(AP!$E26="","",IF(ROUNDUP((ROUNDUP((AP!$E26*2+L$5)/3,2)+AP!$C26)/2,2)&lt;1,0,ROUNDUP((ROUNDUP((AP!$E26*2+L$5)/3,2)+AP!$C26)/2,2)))</f>
        <v/>
      </c>
      <c r="M26" s="263" t="str">
        <f>IF(AP!$E26="","",IF(ROUNDUP((ROUNDUP((AP!$E26*2+M$5)/3,2)+AP!$C26)/2,2)&lt;1,0,ROUNDUP((ROUNDUP((AP!$E26*2+M$5)/3,2)+AP!$C26)/2,2)))</f>
        <v/>
      </c>
      <c r="N26" s="263" t="str">
        <f>IF(AP!$E26="","",IF(ROUNDUP((ROUNDUP((AP!$E26*2+N$5)/3,2)+AP!$C26)/2,2)&lt;1,0,ROUNDUP((ROUNDUP((AP!$E26*2+N$5)/3,2)+AP!$C26)/2,2)))</f>
        <v/>
      </c>
      <c r="O26" s="264" t="str">
        <f>IF(AP!$E26="","",IF(ROUNDUP((ROUNDUP((AP!$E26*2+O$5)/3,2)+AP!$C26)/2,2)&lt;1,0,ROUNDUP((ROUNDUP((AP!$E26*2+O$5)/3,2)+AP!$C26)/2,2)))</f>
        <v/>
      </c>
      <c r="P26" s="264" t="str">
        <f>IF(AP!$E26="","",IF(ROUNDUP((ROUNDUP((AP!$E26*2+P$5)/3,2)+AP!$C26)/2,2)&lt;1,0,ROUNDUP((ROUNDUP((AP!$E26*2+P$5)/3,2)+AP!$C26)/2,2)))</f>
        <v/>
      </c>
      <c r="Q26" s="264" t="str">
        <f>IF(AP!$E26="","",IF(ROUNDUP((ROUNDUP((AP!$E26*2+Q$5)/3,2)+AP!$C26)/2,2)&lt;1,0,ROUNDUP((ROUNDUP((AP!$E26*2+Q$5)/3,2)+AP!$C26)/2,2)))</f>
        <v/>
      </c>
      <c r="R26" s="263" t="str">
        <f>IF(AP!$E26="","",IF(ROUNDUP((ROUNDUP((AP!$E26*2+R$5)/3,2)+AP!$C26)/2,2)&lt;1,0,ROUNDUP((ROUNDUP((AP!$E26*2+R$5)/3,2)+AP!$C26)/2,2)))</f>
        <v/>
      </c>
    </row>
    <row r="27" spans="1:18" x14ac:dyDescent="0.2">
      <c r="A27" s="9" t="str">
        <f ca="1">IF(+AP!B27="","",AP!B27)</f>
        <v/>
      </c>
      <c r="B27" s="263" t="str">
        <f>IF(AP!E27="","",IF(ROUNDUP((AP!E27+AP!C27)/2,2)&lt;1,0,ROUNDUP((AP!E27+AP!C27)/2,2)))</f>
        <v/>
      </c>
      <c r="C27" s="264" t="str">
        <f>IF(AP!$E27="","",IF(ROUNDUP((ROUNDUP((AP!$E27*2+C$5)/3,2)+AP!$C27)/2,2)&lt;1,0,ROUNDUP((ROUNDUP((AP!$E27*2+C$5)/3,2)+AP!$C27)/2,2)))</f>
        <v/>
      </c>
      <c r="D27" s="264" t="str">
        <f>IF(AP!$E27="","",IF(ROUNDUP((ROUNDUP((AP!$E27*2+D$5)/3,2)+AP!$C27)/2,2)&lt;1,0,ROUNDUP((ROUNDUP((AP!$E27*2+D$5)/3,2)+AP!$C27)/2,2)))</f>
        <v/>
      </c>
      <c r="E27" s="264" t="str">
        <f>IF(AP!$E27="","",IF(ROUNDUP((ROUNDUP((AP!$E27*2+E$5)/3,2)+AP!$C27)/2,2)&lt;1,0,ROUNDUP((ROUNDUP((AP!$E27*2+E$5)/3,2)+AP!$C27)/2,2)))</f>
        <v/>
      </c>
      <c r="F27" s="263" t="str">
        <f>IF(AP!$E27="","",IF(ROUNDUP((ROUNDUP((AP!$E27*2+F$5)/3,2)+AP!$C27)/2,2)&lt;1,0,ROUNDUP((ROUNDUP((AP!$E27*2+F$5)/3,2)+AP!$C27)/2,2)))</f>
        <v/>
      </c>
      <c r="G27" s="263" t="str">
        <f>IF(AP!$E27="","",IF(ROUNDUP((ROUNDUP((AP!$E27*2+G$5)/3,2)+AP!$C27)/2,2)&lt;1,0,ROUNDUP((ROUNDUP((AP!$E27*2+G$5)/3,2)+AP!$C27)/2,2)))</f>
        <v/>
      </c>
      <c r="H27" s="263" t="str">
        <f>IF(AP!$E27="","",IF(ROUNDUP((ROUNDUP((AP!$E27*2+H$5)/3,2)+AP!$C27)/2,2)&lt;1,0,ROUNDUP((ROUNDUP((AP!$E27*2+H$5)/3,2)+AP!$C27)/2,2)))</f>
        <v/>
      </c>
      <c r="I27" s="264" t="str">
        <f>IF(AP!$E27="","",IF(ROUNDUP((ROUNDUP((AP!$E27*2+I$5)/3,2)+AP!$C27)/2,2)&lt;1,0,ROUNDUP((ROUNDUP((AP!$E27*2+I$5)/3,2)+AP!$C27)/2,2)))</f>
        <v/>
      </c>
      <c r="J27" s="264" t="str">
        <f>IF(AP!$E27="","",IF(ROUNDUP((ROUNDUP((AP!$E27*2+J$5)/3,2)+AP!$C27)/2,2)&lt;1,0,ROUNDUP((ROUNDUP((AP!$E27*2+J$5)/3,2)+AP!$C27)/2,2)))</f>
        <v/>
      </c>
      <c r="K27" s="264" t="str">
        <f>IF(AP!$E27="","",IF(ROUNDUP((ROUNDUP((AP!$E27*2+K$5)/3,2)+AP!$C27)/2,2)&lt;1,0,ROUNDUP((ROUNDUP((AP!$E27*2+K$5)/3,2)+AP!$C27)/2,2)))</f>
        <v/>
      </c>
      <c r="L27" s="263" t="str">
        <f>IF(AP!$E27="","",IF(ROUNDUP((ROUNDUP((AP!$E27*2+L$5)/3,2)+AP!$C27)/2,2)&lt;1,0,ROUNDUP((ROUNDUP((AP!$E27*2+L$5)/3,2)+AP!$C27)/2,2)))</f>
        <v/>
      </c>
      <c r="M27" s="263" t="str">
        <f>IF(AP!$E27="","",IF(ROUNDUP((ROUNDUP((AP!$E27*2+M$5)/3,2)+AP!$C27)/2,2)&lt;1,0,ROUNDUP((ROUNDUP((AP!$E27*2+M$5)/3,2)+AP!$C27)/2,2)))</f>
        <v/>
      </c>
      <c r="N27" s="263" t="str">
        <f>IF(AP!$E27="","",IF(ROUNDUP((ROUNDUP((AP!$E27*2+N$5)/3,2)+AP!$C27)/2,2)&lt;1,0,ROUNDUP((ROUNDUP((AP!$E27*2+N$5)/3,2)+AP!$C27)/2,2)))</f>
        <v/>
      </c>
      <c r="O27" s="264" t="str">
        <f>IF(AP!$E27="","",IF(ROUNDUP((ROUNDUP((AP!$E27*2+O$5)/3,2)+AP!$C27)/2,2)&lt;1,0,ROUNDUP((ROUNDUP((AP!$E27*2+O$5)/3,2)+AP!$C27)/2,2)))</f>
        <v/>
      </c>
      <c r="P27" s="264" t="str">
        <f>IF(AP!$E27="","",IF(ROUNDUP((ROUNDUP((AP!$E27*2+P$5)/3,2)+AP!$C27)/2,2)&lt;1,0,ROUNDUP((ROUNDUP((AP!$E27*2+P$5)/3,2)+AP!$C27)/2,2)))</f>
        <v/>
      </c>
      <c r="Q27" s="264" t="str">
        <f>IF(AP!$E27="","",IF(ROUNDUP((ROUNDUP((AP!$E27*2+Q$5)/3,2)+AP!$C27)/2,2)&lt;1,0,ROUNDUP((ROUNDUP((AP!$E27*2+Q$5)/3,2)+AP!$C27)/2,2)))</f>
        <v/>
      </c>
      <c r="R27" s="263" t="str">
        <f>IF(AP!$E27="","",IF(ROUNDUP((ROUNDUP((AP!$E27*2+R$5)/3,2)+AP!$C27)/2,2)&lt;1,0,ROUNDUP((ROUNDUP((AP!$E27*2+R$5)/3,2)+AP!$C27)/2,2)))</f>
        <v/>
      </c>
    </row>
    <row r="28" spans="1:18" x14ac:dyDescent="0.2">
      <c r="A28" s="9" t="str">
        <f ca="1">IF(+AP!B28="","",AP!B28)</f>
        <v/>
      </c>
      <c r="B28" s="263" t="str">
        <f>IF(AP!E28="","",IF(ROUNDUP((AP!E28+AP!C28)/2,2)&lt;1,0,ROUNDUP((AP!E28+AP!C28)/2,2)))</f>
        <v/>
      </c>
      <c r="C28" s="264" t="str">
        <f>IF(AP!$E28="","",IF(ROUNDUP((ROUNDUP((AP!$E28*2+C$5)/3,2)+AP!$C28)/2,2)&lt;1,0,ROUNDUP((ROUNDUP((AP!$E28*2+C$5)/3,2)+AP!$C28)/2,2)))</f>
        <v/>
      </c>
      <c r="D28" s="264" t="str">
        <f>IF(AP!$E28="","",IF(ROUNDUP((ROUNDUP((AP!$E28*2+D$5)/3,2)+AP!$C28)/2,2)&lt;1,0,ROUNDUP((ROUNDUP((AP!$E28*2+D$5)/3,2)+AP!$C28)/2,2)))</f>
        <v/>
      </c>
      <c r="E28" s="264" t="str">
        <f>IF(AP!$E28="","",IF(ROUNDUP((ROUNDUP((AP!$E28*2+E$5)/3,2)+AP!$C28)/2,2)&lt;1,0,ROUNDUP((ROUNDUP((AP!$E28*2+E$5)/3,2)+AP!$C28)/2,2)))</f>
        <v/>
      </c>
      <c r="F28" s="263" t="str">
        <f>IF(AP!$E28="","",IF(ROUNDUP((ROUNDUP((AP!$E28*2+F$5)/3,2)+AP!$C28)/2,2)&lt;1,0,ROUNDUP((ROUNDUP((AP!$E28*2+F$5)/3,2)+AP!$C28)/2,2)))</f>
        <v/>
      </c>
      <c r="G28" s="263" t="str">
        <f>IF(AP!$E28="","",IF(ROUNDUP((ROUNDUP((AP!$E28*2+G$5)/3,2)+AP!$C28)/2,2)&lt;1,0,ROUNDUP((ROUNDUP((AP!$E28*2+G$5)/3,2)+AP!$C28)/2,2)))</f>
        <v/>
      </c>
      <c r="H28" s="263" t="str">
        <f>IF(AP!$E28="","",IF(ROUNDUP((ROUNDUP((AP!$E28*2+H$5)/3,2)+AP!$C28)/2,2)&lt;1,0,ROUNDUP((ROUNDUP((AP!$E28*2+H$5)/3,2)+AP!$C28)/2,2)))</f>
        <v/>
      </c>
      <c r="I28" s="264" t="str">
        <f>IF(AP!$E28="","",IF(ROUNDUP((ROUNDUP((AP!$E28*2+I$5)/3,2)+AP!$C28)/2,2)&lt;1,0,ROUNDUP((ROUNDUP((AP!$E28*2+I$5)/3,2)+AP!$C28)/2,2)))</f>
        <v/>
      </c>
      <c r="J28" s="264" t="str">
        <f>IF(AP!$E28="","",IF(ROUNDUP((ROUNDUP((AP!$E28*2+J$5)/3,2)+AP!$C28)/2,2)&lt;1,0,ROUNDUP((ROUNDUP((AP!$E28*2+J$5)/3,2)+AP!$C28)/2,2)))</f>
        <v/>
      </c>
      <c r="K28" s="264" t="str">
        <f>IF(AP!$E28="","",IF(ROUNDUP((ROUNDUP((AP!$E28*2+K$5)/3,2)+AP!$C28)/2,2)&lt;1,0,ROUNDUP((ROUNDUP((AP!$E28*2+K$5)/3,2)+AP!$C28)/2,2)))</f>
        <v/>
      </c>
      <c r="L28" s="263" t="str">
        <f>IF(AP!$E28="","",IF(ROUNDUP((ROUNDUP((AP!$E28*2+L$5)/3,2)+AP!$C28)/2,2)&lt;1,0,ROUNDUP((ROUNDUP((AP!$E28*2+L$5)/3,2)+AP!$C28)/2,2)))</f>
        <v/>
      </c>
      <c r="M28" s="263" t="str">
        <f>IF(AP!$E28="","",IF(ROUNDUP((ROUNDUP((AP!$E28*2+M$5)/3,2)+AP!$C28)/2,2)&lt;1,0,ROUNDUP((ROUNDUP((AP!$E28*2+M$5)/3,2)+AP!$C28)/2,2)))</f>
        <v/>
      </c>
      <c r="N28" s="263" t="str">
        <f>IF(AP!$E28="","",IF(ROUNDUP((ROUNDUP((AP!$E28*2+N$5)/3,2)+AP!$C28)/2,2)&lt;1,0,ROUNDUP((ROUNDUP((AP!$E28*2+N$5)/3,2)+AP!$C28)/2,2)))</f>
        <v/>
      </c>
      <c r="O28" s="264" t="str">
        <f>IF(AP!$E28="","",IF(ROUNDUP((ROUNDUP((AP!$E28*2+O$5)/3,2)+AP!$C28)/2,2)&lt;1,0,ROUNDUP((ROUNDUP((AP!$E28*2+O$5)/3,2)+AP!$C28)/2,2)))</f>
        <v/>
      </c>
      <c r="P28" s="264" t="str">
        <f>IF(AP!$E28="","",IF(ROUNDUP((ROUNDUP((AP!$E28*2+P$5)/3,2)+AP!$C28)/2,2)&lt;1,0,ROUNDUP((ROUNDUP((AP!$E28*2+P$5)/3,2)+AP!$C28)/2,2)))</f>
        <v/>
      </c>
      <c r="Q28" s="264" t="str">
        <f>IF(AP!$E28="","",IF(ROUNDUP((ROUNDUP((AP!$E28*2+Q$5)/3,2)+AP!$C28)/2,2)&lt;1,0,ROUNDUP((ROUNDUP((AP!$E28*2+Q$5)/3,2)+AP!$C28)/2,2)))</f>
        <v/>
      </c>
      <c r="R28" s="263" t="str">
        <f>IF(AP!$E28="","",IF(ROUNDUP((ROUNDUP((AP!$E28*2+R$5)/3,2)+AP!$C28)/2,2)&lt;1,0,ROUNDUP((ROUNDUP((AP!$E28*2+R$5)/3,2)+AP!$C28)/2,2)))</f>
        <v/>
      </c>
    </row>
    <row r="29" spans="1:18" x14ac:dyDescent="0.2">
      <c r="A29" s="9" t="str">
        <f ca="1">IF(+AP!B29="","",AP!B29)</f>
        <v/>
      </c>
      <c r="B29" s="263" t="str">
        <f>IF(AP!E29="","",IF(ROUNDUP((AP!E29+AP!C29)/2,2)&lt;1,0,ROUNDUP((AP!E29+AP!C29)/2,2)))</f>
        <v/>
      </c>
      <c r="C29" s="264" t="str">
        <f>IF(AP!$E29="","",IF(ROUNDUP((ROUNDUP((AP!$E29*2+C$5)/3,2)+AP!$C29)/2,2)&lt;1,0,ROUNDUP((ROUNDUP((AP!$E29*2+C$5)/3,2)+AP!$C29)/2,2)))</f>
        <v/>
      </c>
      <c r="D29" s="264" t="str">
        <f>IF(AP!$E29="","",IF(ROUNDUP((ROUNDUP((AP!$E29*2+D$5)/3,2)+AP!$C29)/2,2)&lt;1,0,ROUNDUP((ROUNDUP((AP!$E29*2+D$5)/3,2)+AP!$C29)/2,2)))</f>
        <v/>
      </c>
      <c r="E29" s="264" t="str">
        <f>IF(AP!$E29="","",IF(ROUNDUP((ROUNDUP((AP!$E29*2+E$5)/3,2)+AP!$C29)/2,2)&lt;1,0,ROUNDUP((ROUNDUP((AP!$E29*2+E$5)/3,2)+AP!$C29)/2,2)))</f>
        <v/>
      </c>
      <c r="F29" s="263" t="str">
        <f>IF(AP!$E29="","",IF(ROUNDUP((ROUNDUP((AP!$E29*2+F$5)/3,2)+AP!$C29)/2,2)&lt;1,0,ROUNDUP((ROUNDUP((AP!$E29*2+F$5)/3,2)+AP!$C29)/2,2)))</f>
        <v/>
      </c>
      <c r="G29" s="263" t="str">
        <f>IF(AP!$E29="","",IF(ROUNDUP((ROUNDUP((AP!$E29*2+G$5)/3,2)+AP!$C29)/2,2)&lt;1,0,ROUNDUP((ROUNDUP((AP!$E29*2+G$5)/3,2)+AP!$C29)/2,2)))</f>
        <v/>
      </c>
      <c r="H29" s="263" t="str">
        <f>IF(AP!$E29="","",IF(ROUNDUP((ROUNDUP((AP!$E29*2+H$5)/3,2)+AP!$C29)/2,2)&lt;1,0,ROUNDUP((ROUNDUP((AP!$E29*2+H$5)/3,2)+AP!$C29)/2,2)))</f>
        <v/>
      </c>
      <c r="I29" s="264" t="str">
        <f>IF(AP!$E29="","",IF(ROUNDUP((ROUNDUP((AP!$E29*2+I$5)/3,2)+AP!$C29)/2,2)&lt;1,0,ROUNDUP((ROUNDUP((AP!$E29*2+I$5)/3,2)+AP!$C29)/2,2)))</f>
        <v/>
      </c>
      <c r="J29" s="264" t="str">
        <f>IF(AP!$E29="","",IF(ROUNDUP((ROUNDUP((AP!$E29*2+J$5)/3,2)+AP!$C29)/2,2)&lt;1,0,ROUNDUP((ROUNDUP((AP!$E29*2+J$5)/3,2)+AP!$C29)/2,2)))</f>
        <v/>
      </c>
      <c r="K29" s="264" t="str">
        <f>IF(AP!$E29="","",IF(ROUNDUP((ROUNDUP((AP!$E29*2+K$5)/3,2)+AP!$C29)/2,2)&lt;1,0,ROUNDUP((ROUNDUP((AP!$E29*2+K$5)/3,2)+AP!$C29)/2,2)))</f>
        <v/>
      </c>
      <c r="L29" s="263" t="str">
        <f>IF(AP!$E29="","",IF(ROUNDUP((ROUNDUP((AP!$E29*2+L$5)/3,2)+AP!$C29)/2,2)&lt;1,0,ROUNDUP((ROUNDUP((AP!$E29*2+L$5)/3,2)+AP!$C29)/2,2)))</f>
        <v/>
      </c>
      <c r="M29" s="263" t="str">
        <f>IF(AP!$E29="","",IF(ROUNDUP((ROUNDUP((AP!$E29*2+M$5)/3,2)+AP!$C29)/2,2)&lt;1,0,ROUNDUP((ROUNDUP((AP!$E29*2+M$5)/3,2)+AP!$C29)/2,2)))</f>
        <v/>
      </c>
      <c r="N29" s="263" t="str">
        <f>IF(AP!$E29="","",IF(ROUNDUP((ROUNDUP((AP!$E29*2+N$5)/3,2)+AP!$C29)/2,2)&lt;1,0,ROUNDUP((ROUNDUP((AP!$E29*2+N$5)/3,2)+AP!$C29)/2,2)))</f>
        <v/>
      </c>
      <c r="O29" s="264" t="str">
        <f>IF(AP!$E29="","",IF(ROUNDUP((ROUNDUP((AP!$E29*2+O$5)/3,2)+AP!$C29)/2,2)&lt;1,0,ROUNDUP((ROUNDUP((AP!$E29*2+O$5)/3,2)+AP!$C29)/2,2)))</f>
        <v/>
      </c>
      <c r="P29" s="264" t="str">
        <f>IF(AP!$E29="","",IF(ROUNDUP((ROUNDUP((AP!$E29*2+P$5)/3,2)+AP!$C29)/2,2)&lt;1,0,ROUNDUP((ROUNDUP((AP!$E29*2+P$5)/3,2)+AP!$C29)/2,2)))</f>
        <v/>
      </c>
      <c r="Q29" s="264" t="str">
        <f>IF(AP!$E29="","",IF(ROUNDUP((ROUNDUP((AP!$E29*2+Q$5)/3,2)+AP!$C29)/2,2)&lt;1,0,ROUNDUP((ROUNDUP((AP!$E29*2+Q$5)/3,2)+AP!$C29)/2,2)))</f>
        <v/>
      </c>
      <c r="R29" s="263" t="str">
        <f>IF(AP!$E29="","",IF(ROUNDUP((ROUNDUP((AP!$E29*2+R$5)/3,2)+AP!$C29)/2,2)&lt;1,0,ROUNDUP((ROUNDUP((AP!$E29*2+R$5)/3,2)+AP!$C29)/2,2)))</f>
        <v/>
      </c>
    </row>
    <row r="30" spans="1:18" x14ac:dyDescent="0.2">
      <c r="A30" s="9" t="str">
        <f ca="1">IF(+AP!B30="","",AP!B30)</f>
        <v/>
      </c>
      <c r="B30" s="263" t="str">
        <f>IF(AP!E30="","",IF(ROUNDUP((AP!E30+AP!C30)/2,2)&lt;1,0,ROUNDUP((AP!E30+AP!C30)/2,2)))</f>
        <v/>
      </c>
      <c r="C30" s="264" t="str">
        <f>IF(AP!$E30="","",IF(ROUNDUP((ROUNDUP((AP!$E30*2+C$5)/3,2)+AP!$C30)/2,2)&lt;1,0,ROUNDUP((ROUNDUP((AP!$E30*2+C$5)/3,2)+AP!$C30)/2,2)))</f>
        <v/>
      </c>
      <c r="D30" s="264" t="str">
        <f>IF(AP!$E30="","",IF(ROUNDUP((ROUNDUP((AP!$E30*2+D$5)/3,2)+AP!$C30)/2,2)&lt;1,0,ROUNDUP((ROUNDUP((AP!$E30*2+D$5)/3,2)+AP!$C30)/2,2)))</f>
        <v/>
      </c>
      <c r="E30" s="264" t="str">
        <f>IF(AP!$E30="","",IF(ROUNDUP((ROUNDUP((AP!$E30*2+E$5)/3,2)+AP!$C30)/2,2)&lt;1,0,ROUNDUP((ROUNDUP((AP!$E30*2+E$5)/3,2)+AP!$C30)/2,2)))</f>
        <v/>
      </c>
      <c r="F30" s="263" t="str">
        <f>IF(AP!$E30="","",IF(ROUNDUP((ROUNDUP((AP!$E30*2+F$5)/3,2)+AP!$C30)/2,2)&lt;1,0,ROUNDUP((ROUNDUP((AP!$E30*2+F$5)/3,2)+AP!$C30)/2,2)))</f>
        <v/>
      </c>
      <c r="G30" s="263" t="str">
        <f>IF(AP!$E30="","",IF(ROUNDUP((ROUNDUP((AP!$E30*2+G$5)/3,2)+AP!$C30)/2,2)&lt;1,0,ROUNDUP((ROUNDUP((AP!$E30*2+G$5)/3,2)+AP!$C30)/2,2)))</f>
        <v/>
      </c>
      <c r="H30" s="263" t="str">
        <f>IF(AP!$E30="","",IF(ROUNDUP((ROUNDUP((AP!$E30*2+H$5)/3,2)+AP!$C30)/2,2)&lt;1,0,ROUNDUP((ROUNDUP((AP!$E30*2+H$5)/3,2)+AP!$C30)/2,2)))</f>
        <v/>
      </c>
      <c r="I30" s="264" t="str">
        <f>IF(AP!$E30="","",IF(ROUNDUP((ROUNDUP((AP!$E30*2+I$5)/3,2)+AP!$C30)/2,2)&lt;1,0,ROUNDUP((ROUNDUP((AP!$E30*2+I$5)/3,2)+AP!$C30)/2,2)))</f>
        <v/>
      </c>
      <c r="J30" s="264" t="str">
        <f>IF(AP!$E30="","",IF(ROUNDUP((ROUNDUP((AP!$E30*2+J$5)/3,2)+AP!$C30)/2,2)&lt;1,0,ROUNDUP((ROUNDUP((AP!$E30*2+J$5)/3,2)+AP!$C30)/2,2)))</f>
        <v/>
      </c>
      <c r="K30" s="264" t="str">
        <f>IF(AP!$E30="","",IF(ROUNDUP((ROUNDUP((AP!$E30*2+K$5)/3,2)+AP!$C30)/2,2)&lt;1,0,ROUNDUP((ROUNDUP((AP!$E30*2+K$5)/3,2)+AP!$C30)/2,2)))</f>
        <v/>
      </c>
      <c r="L30" s="263" t="str">
        <f>IF(AP!$E30="","",IF(ROUNDUP((ROUNDUP((AP!$E30*2+L$5)/3,2)+AP!$C30)/2,2)&lt;1,0,ROUNDUP((ROUNDUP((AP!$E30*2+L$5)/3,2)+AP!$C30)/2,2)))</f>
        <v/>
      </c>
      <c r="M30" s="263" t="str">
        <f>IF(AP!$E30="","",IF(ROUNDUP((ROUNDUP((AP!$E30*2+M$5)/3,2)+AP!$C30)/2,2)&lt;1,0,ROUNDUP((ROUNDUP((AP!$E30*2+M$5)/3,2)+AP!$C30)/2,2)))</f>
        <v/>
      </c>
      <c r="N30" s="263" t="str">
        <f>IF(AP!$E30="","",IF(ROUNDUP((ROUNDUP((AP!$E30*2+N$5)/3,2)+AP!$C30)/2,2)&lt;1,0,ROUNDUP((ROUNDUP((AP!$E30*2+N$5)/3,2)+AP!$C30)/2,2)))</f>
        <v/>
      </c>
      <c r="O30" s="264" t="str">
        <f>IF(AP!$E30="","",IF(ROUNDUP((ROUNDUP((AP!$E30*2+O$5)/3,2)+AP!$C30)/2,2)&lt;1,0,ROUNDUP((ROUNDUP((AP!$E30*2+O$5)/3,2)+AP!$C30)/2,2)))</f>
        <v/>
      </c>
      <c r="P30" s="264" t="str">
        <f>IF(AP!$E30="","",IF(ROUNDUP((ROUNDUP((AP!$E30*2+P$5)/3,2)+AP!$C30)/2,2)&lt;1,0,ROUNDUP((ROUNDUP((AP!$E30*2+P$5)/3,2)+AP!$C30)/2,2)))</f>
        <v/>
      </c>
      <c r="Q30" s="264" t="str">
        <f>IF(AP!$E30="","",IF(ROUNDUP((ROUNDUP((AP!$E30*2+Q$5)/3,2)+AP!$C30)/2,2)&lt;1,0,ROUNDUP((ROUNDUP((AP!$E30*2+Q$5)/3,2)+AP!$C30)/2,2)))</f>
        <v/>
      </c>
      <c r="R30" s="263" t="str">
        <f>IF(AP!$E30="","",IF(ROUNDUP((ROUNDUP((AP!$E30*2+R$5)/3,2)+AP!$C30)/2,2)&lt;1,0,ROUNDUP((ROUNDUP((AP!$E30*2+R$5)/3,2)+AP!$C30)/2,2)))</f>
        <v/>
      </c>
    </row>
    <row r="31" spans="1:18" x14ac:dyDescent="0.2">
      <c r="A31" s="9" t="str">
        <f ca="1">IF(+AP!B31="","",AP!B31)</f>
        <v/>
      </c>
      <c r="B31" s="263" t="str">
        <f>IF(AP!E31="","",IF(ROUNDUP((AP!E31+AP!C31)/2,2)&lt;1,0,ROUNDUP((AP!E31+AP!C31)/2,2)))</f>
        <v/>
      </c>
      <c r="C31" s="264" t="str">
        <f>IF(AP!$E31="","",IF(ROUNDUP((ROUNDUP((AP!$E31*2+C$5)/3,2)+AP!$C31)/2,2)&lt;1,0,ROUNDUP((ROUNDUP((AP!$E31*2+C$5)/3,2)+AP!$C31)/2,2)))</f>
        <v/>
      </c>
      <c r="D31" s="264" t="str">
        <f>IF(AP!$E31="","",IF(ROUNDUP((ROUNDUP((AP!$E31*2+D$5)/3,2)+AP!$C31)/2,2)&lt;1,0,ROUNDUP((ROUNDUP((AP!$E31*2+D$5)/3,2)+AP!$C31)/2,2)))</f>
        <v/>
      </c>
      <c r="E31" s="264" t="str">
        <f>IF(AP!$E31="","",IF(ROUNDUP((ROUNDUP((AP!$E31*2+E$5)/3,2)+AP!$C31)/2,2)&lt;1,0,ROUNDUP((ROUNDUP((AP!$E31*2+E$5)/3,2)+AP!$C31)/2,2)))</f>
        <v/>
      </c>
      <c r="F31" s="263" t="str">
        <f>IF(AP!$E31="","",IF(ROUNDUP((ROUNDUP((AP!$E31*2+F$5)/3,2)+AP!$C31)/2,2)&lt;1,0,ROUNDUP((ROUNDUP((AP!$E31*2+F$5)/3,2)+AP!$C31)/2,2)))</f>
        <v/>
      </c>
      <c r="G31" s="263" t="str">
        <f>IF(AP!$E31="","",IF(ROUNDUP((ROUNDUP((AP!$E31*2+G$5)/3,2)+AP!$C31)/2,2)&lt;1,0,ROUNDUP((ROUNDUP((AP!$E31*2+G$5)/3,2)+AP!$C31)/2,2)))</f>
        <v/>
      </c>
      <c r="H31" s="263" t="str">
        <f>IF(AP!$E31="","",IF(ROUNDUP((ROUNDUP((AP!$E31*2+H$5)/3,2)+AP!$C31)/2,2)&lt;1,0,ROUNDUP((ROUNDUP((AP!$E31*2+H$5)/3,2)+AP!$C31)/2,2)))</f>
        <v/>
      </c>
      <c r="I31" s="264" t="str">
        <f>IF(AP!$E31="","",IF(ROUNDUP((ROUNDUP((AP!$E31*2+I$5)/3,2)+AP!$C31)/2,2)&lt;1,0,ROUNDUP((ROUNDUP((AP!$E31*2+I$5)/3,2)+AP!$C31)/2,2)))</f>
        <v/>
      </c>
      <c r="J31" s="264" t="str">
        <f>IF(AP!$E31="","",IF(ROUNDUP((ROUNDUP((AP!$E31*2+J$5)/3,2)+AP!$C31)/2,2)&lt;1,0,ROUNDUP((ROUNDUP((AP!$E31*2+J$5)/3,2)+AP!$C31)/2,2)))</f>
        <v/>
      </c>
      <c r="K31" s="264" t="str">
        <f>IF(AP!$E31="","",IF(ROUNDUP((ROUNDUP((AP!$E31*2+K$5)/3,2)+AP!$C31)/2,2)&lt;1,0,ROUNDUP((ROUNDUP((AP!$E31*2+K$5)/3,2)+AP!$C31)/2,2)))</f>
        <v/>
      </c>
      <c r="L31" s="263" t="str">
        <f>IF(AP!$E31="","",IF(ROUNDUP((ROUNDUP((AP!$E31*2+L$5)/3,2)+AP!$C31)/2,2)&lt;1,0,ROUNDUP((ROUNDUP((AP!$E31*2+L$5)/3,2)+AP!$C31)/2,2)))</f>
        <v/>
      </c>
      <c r="M31" s="263" t="str">
        <f>IF(AP!$E31="","",IF(ROUNDUP((ROUNDUP((AP!$E31*2+M$5)/3,2)+AP!$C31)/2,2)&lt;1,0,ROUNDUP((ROUNDUP((AP!$E31*2+M$5)/3,2)+AP!$C31)/2,2)))</f>
        <v/>
      </c>
      <c r="N31" s="263" t="str">
        <f>IF(AP!$E31="","",IF(ROUNDUP((ROUNDUP((AP!$E31*2+N$5)/3,2)+AP!$C31)/2,2)&lt;1,0,ROUNDUP((ROUNDUP((AP!$E31*2+N$5)/3,2)+AP!$C31)/2,2)))</f>
        <v/>
      </c>
      <c r="O31" s="264" t="str">
        <f>IF(AP!$E31="","",IF(ROUNDUP((ROUNDUP((AP!$E31*2+O$5)/3,2)+AP!$C31)/2,2)&lt;1,0,ROUNDUP((ROUNDUP((AP!$E31*2+O$5)/3,2)+AP!$C31)/2,2)))</f>
        <v/>
      </c>
      <c r="P31" s="264" t="str">
        <f>IF(AP!$E31="","",IF(ROUNDUP((ROUNDUP((AP!$E31*2+P$5)/3,2)+AP!$C31)/2,2)&lt;1,0,ROUNDUP((ROUNDUP((AP!$E31*2+P$5)/3,2)+AP!$C31)/2,2)))</f>
        <v/>
      </c>
      <c r="Q31" s="264" t="str">
        <f>IF(AP!$E31="","",IF(ROUNDUP((ROUNDUP((AP!$E31*2+Q$5)/3,2)+AP!$C31)/2,2)&lt;1,0,ROUNDUP((ROUNDUP((AP!$E31*2+Q$5)/3,2)+AP!$C31)/2,2)))</f>
        <v/>
      </c>
      <c r="R31" s="263" t="str">
        <f>IF(AP!$E31="","",IF(ROUNDUP((ROUNDUP((AP!$E31*2+R$5)/3,2)+AP!$C31)/2,2)&lt;1,0,ROUNDUP((ROUNDUP((AP!$E31*2+R$5)/3,2)+AP!$C31)/2,2)))</f>
        <v/>
      </c>
    </row>
    <row r="32" spans="1:18" x14ac:dyDescent="0.2">
      <c r="A32" s="9" t="str">
        <f ca="1">IF(+AP!B32="","",AP!B32)</f>
        <v/>
      </c>
      <c r="B32" s="263" t="str">
        <f>IF(AP!E32="","",IF(ROUNDUP((AP!E32+AP!C32)/2,2)&lt;1,0,ROUNDUP((AP!E32+AP!C32)/2,2)))</f>
        <v/>
      </c>
      <c r="C32" s="264" t="str">
        <f>IF(AP!$E32="","",IF(ROUNDUP((ROUNDUP((AP!$E32*2+C$5)/3,2)+AP!$C32)/2,2)&lt;1,0,ROUNDUP((ROUNDUP((AP!$E32*2+C$5)/3,2)+AP!$C32)/2,2)))</f>
        <v/>
      </c>
      <c r="D32" s="264" t="str">
        <f>IF(AP!$E32="","",IF(ROUNDUP((ROUNDUP((AP!$E32*2+D$5)/3,2)+AP!$C32)/2,2)&lt;1,0,ROUNDUP((ROUNDUP((AP!$E32*2+D$5)/3,2)+AP!$C32)/2,2)))</f>
        <v/>
      </c>
      <c r="E32" s="264" t="str">
        <f>IF(AP!$E32="","",IF(ROUNDUP((ROUNDUP((AP!$E32*2+E$5)/3,2)+AP!$C32)/2,2)&lt;1,0,ROUNDUP((ROUNDUP((AP!$E32*2+E$5)/3,2)+AP!$C32)/2,2)))</f>
        <v/>
      </c>
      <c r="F32" s="263" t="str">
        <f>IF(AP!$E32="","",IF(ROUNDUP((ROUNDUP((AP!$E32*2+F$5)/3,2)+AP!$C32)/2,2)&lt;1,0,ROUNDUP((ROUNDUP((AP!$E32*2+F$5)/3,2)+AP!$C32)/2,2)))</f>
        <v/>
      </c>
      <c r="G32" s="263" t="str">
        <f>IF(AP!$E32="","",IF(ROUNDUP((ROUNDUP((AP!$E32*2+G$5)/3,2)+AP!$C32)/2,2)&lt;1,0,ROUNDUP((ROUNDUP((AP!$E32*2+G$5)/3,2)+AP!$C32)/2,2)))</f>
        <v/>
      </c>
      <c r="H32" s="263" t="str">
        <f>IF(AP!$E32="","",IF(ROUNDUP((ROUNDUP((AP!$E32*2+H$5)/3,2)+AP!$C32)/2,2)&lt;1,0,ROUNDUP((ROUNDUP((AP!$E32*2+H$5)/3,2)+AP!$C32)/2,2)))</f>
        <v/>
      </c>
      <c r="I32" s="264" t="str">
        <f>IF(AP!$E32="","",IF(ROUNDUP((ROUNDUP((AP!$E32*2+I$5)/3,2)+AP!$C32)/2,2)&lt;1,0,ROUNDUP((ROUNDUP((AP!$E32*2+I$5)/3,2)+AP!$C32)/2,2)))</f>
        <v/>
      </c>
      <c r="J32" s="264" t="str">
        <f>IF(AP!$E32="","",IF(ROUNDUP((ROUNDUP((AP!$E32*2+J$5)/3,2)+AP!$C32)/2,2)&lt;1,0,ROUNDUP((ROUNDUP((AP!$E32*2+J$5)/3,2)+AP!$C32)/2,2)))</f>
        <v/>
      </c>
      <c r="K32" s="264" t="str">
        <f>IF(AP!$E32="","",IF(ROUNDUP((ROUNDUP((AP!$E32*2+K$5)/3,2)+AP!$C32)/2,2)&lt;1,0,ROUNDUP((ROUNDUP((AP!$E32*2+K$5)/3,2)+AP!$C32)/2,2)))</f>
        <v/>
      </c>
      <c r="L32" s="263" t="str">
        <f>IF(AP!$E32="","",IF(ROUNDUP((ROUNDUP((AP!$E32*2+L$5)/3,2)+AP!$C32)/2,2)&lt;1,0,ROUNDUP((ROUNDUP((AP!$E32*2+L$5)/3,2)+AP!$C32)/2,2)))</f>
        <v/>
      </c>
      <c r="M32" s="263" t="str">
        <f>IF(AP!$E32="","",IF(ROUNDUP((ROUNDUP((AP!$E32*2+M$5)/3,2)+AP!$C32)/2,2)&lt;1,0,ROUNDUP((ROUNDUP((AP!$E32*2+M$5)/3,2)+AP!$C32)/2,2)))</f>
        <v/>
      </c>
      <c r="N32" s="263" t="str">
        <f>IF(AP!$E32="","",IF(ROUNDUP((ROUNDUP((AP!$E32*2+N$5)/3,2)+AP!$C32)/2,2)&lt;1,0,ROUNDUP((ROUNDUP((AP!$E32*2+N$5)/3,2)+AP!$C32)/2,2)))</f>
        <v/>
      </c>
      <c r="O32" s="264" t="str">
        <f>IF(AP!$E32="","",IF(ROUNDUP((ROUNDUP((AP!$E32*2+O$5)/3,2)+AP!$C32)/2,2)&lt;1,0,ROUNDUP((ROUNDUP((AP!$E32*2+O$5)/3,2)+AP!$C32)/2,2)))</f>
        <v/>
      </c>
      <c r="P32" s="264" t="str">
        <f>IF(AP!$E32="","",IF(ROUNDUP((ROUNDUP((AP!$E32*2+P$5)/3,2)+AP!$C32)/2,2)&lt;1,0,ROUNDUP((ROUNDUP((AP!$E32*2+P$5)/3,2)+AP!$C32)/2,2)))</f>
        <v/>
      </c>
      <c r="Q32" s="264" t="str">
        <f>IF(AP!$E32="","",IF(ROUNDUP((ROUNDUP((AP!$E32*2+Q$5)/3,2)+AP!$C32)/2,2)&lt;1,0,ROUNDUP((ROUNDUP((AP!$E32*2+Q$5)/3,2)+AP!$C32)/2,2)))</f>
        <v/>
      </c>
      <c r="R32" s="263" t="str">
        <f>IF(AP!$E32="","",IF(ROUNDUP((ROUNDUP((AP!$E32*2+R$5)/3,2)+AP!$C32)/2,2)&lt;1,0,ROUNDUP((ROUNDUP((AP!$E32*2+R$5)/3,2)+AP!$C32)/2,2)))</f>
        <v/>
      </c>
    </row>
    <row r="33" spans="1:18" x14ac:dyDescent="0.2">
      <c r="A33" s="9" t="str">
        <f ca="1">IF(+AP!B33="","",AP!B33)</f>
        <v/>
      </c>
      <c r="B33" s="263" t="str">
        <f>IF(AP!E33="","",IF(ROUNDUP((AP!E33+AP!C33)/2,2)&lt;1,0,ROUNDUP((AP!E33+AP!C33)/2,2)))</f>
        <v/>
      </c>
      <c r="C33" s="264" t="str">
        <f>IF(AP!$E33="","",IF(ROUNDUP((ROUNDUP((AP!$E33*2+C$5)/3,2)+AP!$C33)/2,2)&lt;1,0,ROUNDUP((ROUNDUP((AP!$E33*2+C$5)/3,2)+AP!$C33)/2,2)))</f>
        <v/>
      </c>
      <c r="D33" s="264" t="str">
        <f>IF(AP!$E33="","",IF(ROUNDUP((ROUNDUP((AP!$E33*2+D$5)/3,2)+AP!$C33)/2,2)&lt;1,0,ROUNDUP((ROUNDUP((AP!$E33*2+D$5)/3,2)+AP!$C33)/2,2)))</f>
        <v/>
      </c>
      <c r="E33" s="264" t="str">
        <f>IF(AP!$E33="","",IF(ROUNDUP((ROUNDUP((AP!$E33*2+E$5)/3,2)+AP!$C33)/2,2)&lt;1,0,ROUNDUP((ROUNDUP((AP!$E33*2+E$5)/3,2)+AP!$C33)/2,2)))</f>
        <v/>
      </c>
      <c r="F33" s="263" t="str">
        <f>IF(AP!$E33="","",IF(ROUNDUP((ROUNDUP((AP!$E33*2+F$5)/3,2)+AP!$C33)/2,2)&lt;1,0,ROUNDUP((ROUNDUP((AP!$E33*2+F$5)/3,2)+AP!$C33)/2,2)))</f>
        <v/>
      </c>
      <c r="G33" s="263" t="str">
        <f>IF(AP!$E33="","",IF(ROUNDUP((ROUNDUP((AP!$E33*2+G$5)/3,2)+AP!$C33)/2,2)&lt;1,0,ROUNDUP((ROUNDUP((AP!$E33*2+G$5)/3,2)+AP!$C33)/2,2)))</f>
        <v/>
      </c>
      <c r="H33" s="263" t="str">
        <f>IF(AP!$E33="","",IF(ROUNDUP((ROUNDUP((AP!$E33*2+H$5)/3,2)+AP!$C33)/2,2)&lt;1,0,ROUNDUP((ROUNDUP((AP!$E33*2+H$5)/3,2)+AP!$C33)/2,2)))</f>
        <v/>
      </c>
      <c r="I33" s="264" t="str">
        <f>IF(AP!$E33="","",IF(ROUNDUP((ROUNDUP((AP!$E33*2+I$5)/3,2)+AP!$C33)/2,2)&lt;1,0,ROUNDUP((ROUNDUP((AP!$E33*2+I$5)/3,2)+AP!$C33)/2,2)))</f>
        <v/>
      </c>
      <c r="J33" s="264" t="str">
        <f>IF(AP!$E33="","",IF(ROUNDUP((ROUNDUP((AP!$E33*2+J$5)/3,2)+AP!$C33)/2,2)&lt;1,0,ROUNDUP((ROUNDUP((AP!$E33*2+J$5)/3,2)+AP!$C33)/2,2)))</f>
        <v/>
      </c>
      <c r="K33" s="264" t="str">
        <f>IF(AP!$E33="","",IF(ROUNDUP((ROUNDUP((AP!$E33*2+K$5)/3,2)+AP!$C33)/2,2)&lt;1,0,ROUNDUP((ROUNDUP((AP!$E33*2+K$5)/3,2)+AP!$C33)/2,2)))</f>
        <v/>
      </c>
      <c r="L33" s="263" t="str">
        <f>IF(AP!$E33="","",IF(ROUNDUP((ROUNDUP((AP!$E33*2+L$5)/3,2)+AP!$C33)/2,2)&lt;1,0,ROUNDUP((ROUNDUP((AP!$E33*2+L$5)/3,2)+AP!$C33)/2,2)))</f>
        <v/>
      </c>
      <c r="M33" s="263" t="str">
        <f>IF(AP!$E33="","",IF(ROUNDUP((ROUNDUP((AP!$E33*2+M$5)/3,2)+AP!$C33)/2,2)&lt;1,0,ROUNDUP((ROUNDUP((AP!$E33*2+M$5)/3,2)+AP!$C33)/2,2)))</f>
        <v/>
      </c>
      <c r="N33" s="263" t="str">
        <f>IF(AP!$E33="","",IF(ROUNDUP((ROUNDUP((AP!$E33*2+N$5)/3,2)+AP!$C33)/2,2)&lt;1,0,ROUNDUP((ROUNDUP((AP!$E33*2+N$5)/3,2)+AP!$C33)/2,2)))</f>
        <v/>
      </c>
      <c r="O33" s="264" t="str">
        <f>IF(AP!$E33="","",IF(ROUNDUP((ROUNDUP((AP!$E33*2+O$5)/3,2)+AP!$C33)/2,2)&lt;1,0,ROUNDUP((ROUNDUP((AP!$E33*2+O$5)/3,2)+AP!$C33)/2,2)))</f>
        <v/>
      </c>
      <c r="P33" s="264" t="str">
        <f>IF(AP!$E33="","",IF(ROUNDUP((ROUNDUP((AP!$E33*2+P$5)/3,2)+AP!$C33)/2,2)&lt;1,0,ROUNDUP((ROUNDUP((AP!$E33*2+P$5)/3,2)+AP!$C33)/2,2)))</f>
        <v/>
      </c>
      <c r="Q33" s="264" t="str">
        <f>IF(AP!$E33="","",IF(ROUNDUP((ROUNDUP((AP!$E33*2+Q$5)/3,2)+AP!$C33)/2,2)&lt;1,0,ROUNDUP((ROUNDUP((AP!$E33*2+Q$5)/3,2)+AP!$C33)/2,2)))</f>
        <v/>
      </c>
      <c r="R33" s="263" t="str">
        <f>IF(AP!$E33="","",IF(ROUNDUP((ROUNDUP((AP!$E33*2+R$5)/3,2)+AP!$C33)/2,2)&lt;1,0,ROUNDUP((ROUNDUP((AP!$E33*2+R$5)/3,2)+AP!$C33)/2,2)))</f>
        <v/>
      </c>
    </row>
    <row r="34" spans="1:18" x14ac:dyDescent="0.2">
      <c r="A34" s="9" t="str">
        <f ca="1">IF(+AP!B34="","",AP!B34)</f>
        <v/>
      </c>
      <c r="B34" s="263" t="str">
        <f>IF(AP!E34="","",IF(ROUNDUP((AP!E34+AP!C34)/2,2)&lt;1,0,ROUNDUP((AP!E34+AP!C34)/2,2)))</f>
        <v/>
      </c>
      <c r="C34" s="264" t="str">
        <f>IF(AP!$E34="","",IF(ROUNDUP((ROUNDUP((AP!$E34*2+C$5)/3,2)+AP!$C34)/2,2)&lt;1,0,ROUNDUP((ROUNDUP((AP!$E34*2+C$5)/3,2)+AP!$C34)/2,2)))</f>
        <v/>
      </c>
      <c r="D34" s="264" t="str">
        <f>IF(AP!$E34="","",IF(ROUNDUP((ROUNDUP((AP!$E34*2+D$5)/3,2)+AP!$C34)/2,2)&lt;1,0,ROUNDUP((ROUNDUP((AP!$E34*2+D$5)/3,2)+AP!$C34)/2,2)))</f>
        <v/>
      </c>
      <c r="E34" s="264" t="str">
        <f>IF(AP!$E34="","",IF(ROUNDUP((ROUNDUP((AP!$E34*2+E$5)/3,2)+AP!$C34)/2,2)&lt;1,0,ROUNDUP((ROUNDUP((AP!$E34*2+E$5)/3,2)+AP!$C34)/2,2)))</f>
        <v/>
      </c>
      <c r="F34" s="263" t="str">
        <f>IF(AP!$E34="","",IF(ROUNDUP((ROUNDUP((AP!$E34*2+F$5)/3,2)+AP!$C34)/2,2)&lt;1,0,ROUNDUP((ROUNDUP((AP!$E34*2+F$5)/3,2)+AP!$C34)/2,2)))</f>
        <v/>
      </c>
      <c r="G34" s="263" t="str">
        <f>IF(AP!$E34="","",IF(ROUNDUP((ROUNDUP((AP!$E34*2+G$5)/3,2)+AP!$C34)/2,2)&lt;1,0,ROUNDUP((ROUNDUP((AP!$E34*2+G$5)/3,2)+AP!$C34)/2,2)))</f>
        <v/>
      </c>
      <c r="H34" s="263" t="str">
        <f>IF(AP!$E34="","",IF(ROUNDUP((ROUNDUP((AP!$E34*2+H$5)/3,2)+AP!$C34)/2,2)&lt;1,0,ROUNDUP((ROUNDUP((AP!$E34*2+H$5)/3,2)+AP!$C34)/2,2)))</f>
        <v/>
      </c>
      <c r="I34" s="264" t="str">
        <f>IF(AP!$E34="","",IF(ROUNDUP((ROUNDUP((AP!$E34*2+I$5)/3,2)+AP!$C34)/2,2)&lt;1,0,ROUNDUP((ROUNDUP((AP!$E34*2+I$5)/3,2)+AP!$C34)/2,2)))</f>
        <v/>
      </c>
      <c r="J34" s="264" t="str">
        <f>IF(AP!$E34="","",IF(ROUNDUP((ROUNDUP((AP!$E34*2+J$5)/3,2)+AP!$C34)/2,2)&lt;1,0,ROUNDUP((ROUNDUP((AP!$E34*2+J$5)/3,2)+AP!$C34)/2,2)))</f>
        <v/>
      </c>
      <c r="K34" s="264" t="str">
        <f>IF(AP!$E34="","",IF(ROUNDUP((ROUNDUP((AP!$E34*2+K$5)/3,2)+AP!$C34)/2,2)&lt;1,0,ROUNDUP((ROUNDUP((AP!$E34*2+K$5)/3,2)+AP!$C34)/2,2)))</f>
        <v/>
      </c>
      <c r="L34" s="263" t="str">
        <f>IF(AP!$E34="","",IF(ROUNDUP((ROUNDUP((AP!$E34*2+L$5)/3,2)+AP!$C34)/2,2)&lt;1,0,ROUNDUP((ROUNDUP((AP!$E34*2+L$5)/3,2)+AP!$C34)/2,2)))</f>
        <v/>
      </c>
      <c r="M34" s="263" t="str">
        <f>IF(AP!$E34="","",IF(ROUNDUP((ROUNDUP((AP!$E34*2+M$5)/3,2)+AP!$C34)/2,2)&lt;1,0,ROUNDUP((ROUNDUP((AP!$E34*2+M$5)/3,2)+AP!$C34)/2,2)))</f>
        <v/>
      </c>
      <c r="N34" s="263" t="str">
        <f>IF(AP!$E34="","",IF(ROUNDUP((ROUNDUP((AP!$E34*2+N$5)/3,2)+AP!$C34)/2,2)&lt;1,0,ROUNDUP((ROUNDUP((AP!$E34*2+N$5)/3,2)+AP!$C34)/2,2)))</f>
        <v/>
      </c>
      <c r="O34" s="264" t="str">
        <f>IF(AP!$E34="","",IF(ROUNDUP((ROUNDUP((AP!$E34*2+O$5)/3,2)+AP!$C34)/2,2)&lt;1,0,ROUNDUP((ROUNDUP((AP!$E34*2+O$5)/3,2)+AP!$C34)/2,2)))</f>
        <v/>
      </c>
      <c r="P34" s="264" t="str">
        <f>IF(AP!$E34="","",IF(ROUNDUP((ROUNDUP((AP!$E34*2+P$5)/3,2)+AP!$C34)/2,2)&lt;1,0,ROUNDUP((ROUNDUP((AP!$E34*2+P$5)/3,2)+AP!$C34)/2,2)))</f>
        <v/>
      </c>
      <c r="Q34" s="264" t="str">
        <f>IF(AP!$E34="","",IF(ROUNDUP((ROUNDUP((AP!$E34*2+Q$5)/3,2)+AP!$C34)/2,2)&lt;1,0,ROUNDUP((ROUNDUP((AP!$E34*2+Q$5)/3,2)+AP!$C34)/2,2)))</f>
        <v/>
      </c>
      <c r="R34" s="263" t="str">
        <f>IF(AP!$E34="","",IF(ROUNDUP((ROUNDUP((AP!$E34*2+R$5)/3,2)+AP!$C34)/2,2)&lt;1,0,ROUNDUP((ROUNDUP((AP!$E34*2+R$5)/3,2)+AP!$C34)/2,2)))</f>
        <v/>
      </c>
    </row>
    <row r="35" spans="1:18" x14ac:dyDescent="0.2">
      <c r="A35" s="9" t="str">
        <f ca="1">IF(+AP!B35="","",AP!B35)</f>
        <v/>
      </c>
      <c r="B35" s="263" t="str">
        <f>IF(AP!E35="","",IF(ROUNDUP((AP!E35+AP!C35)/2,2)&lt;1,0,ROUNDUP((AP!E35+AP!C35)/2,2)))</f>
        <v/>
      </c>
      <c r="C35" s="264" t="str">
        <f>IF(AP!$E35="","",IF(ROUNDUP((ROUNDUP((AP!$E35*2+C$5)/3,2)+AP!$C35)/2,2)&lt;1,0,ROUNDUP((ROUNDUP((AP!$E35*2+C$5)/3,2)+AP!$C35)/2,2)))</f>
        <v/>
      </c>
      <c r="D35" s="264" t="str">
        <f>IF(AP!$E35="","",IF(ROUNDUP((ROUNDUP((AP!$E35*2+D$5)/3,2)+AP!$C35)/2,2)&lt;1,0,ROUNDUP((ROUNDUP((AP!$E35*2+D$5)/3,2)+AP!$C35)/2,2)))</f>
        <v/>
      </c>
      <c r="E35" s="264" t="str">
        <f>IF(AP!$E35="","",IF(ROUNDUP((ROUNDUP((AP!$E35*2+E$5)/3,2)+AP!$C35)/2,2)&lt;1,0,ROUNDUP((ROUNDUP((AP!$E35*2+E$5)/3,2)+AP!$C35)/2,2)))</f>
        <v/>
      </c>
      <c r="F35" s="263" t="str">
        <f>IF(AP!$E35="","",IF(ROUNDUP((ROUNDUP((AP!$E35*2+F$5)/3,2)+AP!$C35)/2,2)&lt;1,0,ROUNDUP((ROUNDUP((AP!$E35*2+F$5)/3,2)+AP!$C35)/2,2)))</f>
        <v/>
      </c>
      <c r="G35" s="263" t="str">
        <f>IF(AP!$E35="","",IF(ROUNDUP((ROUNDUP((AP!$E35*2+G$5)/3,2)+AP!$C35)/2,2)&lt;1,0,ROUNDUP((ROUNDUP((AP!$E35*2+G$5)/3,2)+AP!$C35)/2,2)))</f>
        <v/>
      </c>
      <c r="H35" s="263" t="str">
        <f>IF(AP!$E35="","",IF(ROUNDUP((ROUNDUP((AP!$E35*2+H$5)/3,2)+AP!$C35)/2,2)&lt;1,0,ROUNDUP((ROUNDUP((AP!$E35*2+H$5)/3,2)+AP!$C35)/2,2)))</f>
        <v/>
      </c>
      <c r="I35" s="264" t="str">
        <f>IF(AP!$E35="","",IF(ROUNDUP((ROUNDUP((AP!$E35*2+I$5)/3,2)+AP!$C35)/2,2)&lt;1,0,ROUNDUP((ROUNDUP((AP!$E35*2+I$5)/3,2)+AP!$C35)/2,2)))</f>
        <v/>
      </c>
      <c r="J35" s="264" t="str">
        <f>IF(AP!$E35="","",IF(ROUNDUP((ROUNDUP((AP!$E35*2+J$5)/3,2)+AP!$C35)/2,2)&lt;1,0,ROUNDUP((ROUNDUP((AP!$E35*2+J$5)/3,2)+AP!$C35)/2,2)))</f>
        <v/>
      </c>
      <c r="K35" s="264" t="str">
        <f>IF(AP!$E35="","",IF(ROUNDUP((ROUNDUP((AP!$E35*2+K$5)/3,2)+AP!$C35)/2,2)&lt;1,0,ROUNDUP((ROUNDUP((AP!$E35*2+K$5)/3,2)+AP!$C35)/2,2)))</f>
        <v/>
      </c>
      <c r="L35" s="263" t="str">
        <f>IF(AP!$E35="","",IF(ROUNDUP((ROUNDUP((AP!$E35*2+L$5)/3,2)+AP!$C35)/2,2)&lt;1,0,ROUNDUP((ROUNDUP((AP!$E35*2+L$5)/3,2)+AP!$C35)/2,2)))</f>
        <v/>
      </c>
      <c r="M35" s="263" t="str">
        <f>IF(AP!$E35="","",IF(ROUNDUP((ROUNDUP((AP!$E35*2+M$5)/3,2)+AP!$C35)/2,2)&lt;1,0,ROUNDUP((ROUNDUP((AP!$E35*2+M$5)/3,2)+AP!$C35)/2,2)))</f>
        <v/>
      </c>
      <c r="N35" s="263" t="str">
        <f>IF(AP!$E35="","",IF(ROUNDUP((ROUNDUP((AP!$E35*2+N$5)/3,2)+AP!$C35)/2,2)&lt;1,0,ROUNDUP((ROUNDUP((AP!$E35*2+N$5)/3,2)+AP!$C35)/2,2)))</f>
        <v/>
      </c>
      <c r="O35" s="264" t="str">
        <f>IF(AP!$E35="","",IF(ROUNDUP((ROUNDUP((AP!$E35*2+O$5)/3,2)+AP!$C35)/2,2)&lt;1,0,ROUNDUP((ROUNDUP((AP!$E35*2+O$5)/3,2)+AP!$C35)/2,2)))</f>
        <v/>
      </c>
      <c r="P35" s="264" t="str">
        <f>IF(AP!$E35="","",IF(ROUNDUP((ROUNDUP((AP!$E35*2+P$5)/3,2)+AP!$C35)/2,2)&lt;1,0,ROUNDUP((ROUNDUP((AP!$E35*2+P$5)/3,2)+AP!$C35)/2,2)))</f>
        <v/>
      </c>
      <c r="Q35" s="264" t="str">
        <f>IF(AP!$E35="","",IF(ROUNDUP((ROUNDUP((AP!$E35*2+Q$5)/3,2)+AP!$C35)/2,2)&lt;1,0,ROUNDUP((ROUNDUP((AP!$E35*2+Q$5)/3,2)+AP!$C35)/2,2)))</f>
        <v/>
      </c>
      <c r="R35" s="263" t="str">
        <f>IF(AP!$E35="","",IF(ROUNDUP((ROUNDUP((AP!$E35*2+R$5)/3,2)+AP!$C35)/2,2)&lt;1,0,ROUNDUP((ROUNDUP((AP!$E35*2+R$5)/3,2)+AP!$C35)/2,2)))</f>
        <v/>
      </c>
    </row>
    <row r="36" spans="1:18" x14ac:dyDescent="0.2">
      <c r="A36" s="9" t="str">
        <f ca="1">IF(+AP!B36="","",AP!B36)</f>
        <v/>
      </c>
      <c r="B36" s="263" t="str">
        <f>IF(AP!E36="","",IF(ROUNDUP((AP!E36+AP!C36)/2,2)&lt;1,0,ROUNDUP((AP!E36+AP!C36)/2,2)))</f>
        <v/>
      </c>
      <c r="C36" s="264" t="str">
        <f>IF(AP!$E36="","",IF(ROUNDUP((ROUNDUP((AP!$E36*2+C$5)/3,2)+AP!$C36)/2,2)&lt;1,0,ROUNDUP((ROUNDUP((AP!$E36*2+C$5)/3,2)+AP!$C36)/2,2)))</f>
        <v/>
      </c>
      <c r="D36" s="264" t="str">
        <f>IF(AP!$E36="","",IF(ROUNDUP((ROUNDUP((AP!$E36*2+D$5)/3,2)+AP!$C36)/2,2)&lt;1,0,ROUNDUP((ROUNDUP((AP!$E36*2+D$5)/3,2)+AP!$C36)/2,2)))</f>
        <v/>
      </c>
      <c r="E36" s="264" t="str">
        <f>IF(AP!$E36="","",IF(ROUNDUP((ROUNDUP((AP!$E36*2+E$5)/3,2)+AP!$C36)/2,2)&lt;1,0,ROUNDUP((ROUNDUP((AP!$E36*2+E$5)/3,2)+AP!$C36)/2,2)))</f>
        <v/>
      </c>
      <c r="F36" s="263" t="str">
        <f>IF(AP!$E36="","",IF(ROUNDUP((ROUNDUP((AP!$E36*2+F$5)/3,2)+AP!$C36)/2,2)&lt;1,0,ROUNDUP((ROUNDUP((AP!$E36*2+F$5)/3,2)+AP!$C36)/2,2)))</f>
        <v/>
      </c>
      <c r="G36" s="263" t="str">
        <f>IF(AP!$E36="","",IF(ROUNDUP((ROUNDUP((AP!$E36*2+G$5)/3,2)+AP!$C36)/2,2)&lt;1,0,ROUNDUP((ROUNDUP((AP!$E36*2+G$5)/3,2)+AP!$C36)/2,2)))</f>
        <v/>
      </c>
      <c r="H36" s="263" t="str">
        <f>IF(AP!$E36="","",IF(ROUNDUP((ROUNDUP((AP!$E36*2+H$5)/3,2)+AP!$C36)/2,2)&lt;1,0,ROUNDUP((ROUNDUP((AP!$E36*2+H$5)/3,2)+AP!$C36)/2,2)))</f>
        <v/>
      </c>
      <c r="I36" s="264" t="str">
        <f>IF(AP!$E36="","",IF(ROUNDUP((ROUNDUP((AP!$E36*2+I$5)/3,2)+AP!$C36)/2,2)&lt;1,0,ROUNDUP((ROUNDUP((AP!$E36*2+I$5)/3,2)+AP!$C36)/2,2)))</f>
        <v/>
      </c>
      <c r="J36" s="264" t="str">
        <f>IF(AP!$E36="","",IF(ROUNDUP((ROUNDUP((AP!$E36*2+J$5)/3,2)+AP!$C36)/2,2)&lt;1,0,ROUNDUP((ROUNDUP((AP!$E36*2+J$5)/3,2)+AP!$C36)/2,2)))</f>
        <v/>
      </c>
      <c r="K36" s="264" t="str">
        <f>IF(AP!$E36="","",IF(ROUNDUP((ROUNDUP((AP!$E36*2+K$5)/3,2)+AP!$C36)/2,2)&lt;1,0,ROUNDUP((ROUNDUP((AP!$E36*2+K$5)/3,2)+AP!$C36)/2,2)))</f>
        <v/>
      </c>
      <c r="L36" s="263" t="str">
        <f>IF(AP!$E36="","",IF(ROUNDUP((ROUNDUP((AP!$E36*2+L$5)/3,2)+AP!$C36)/2,2)&lt;1,0,ROUNDUP((ROUNDUP((AP!$E36*2+L$5)/3,2)+AP!$C36)/2,2)))</f>
        <v/>
      </c>
      <c r="M36" s="263" t="str">
        <f>IF(AP!$E36="","",IF(ROUNDUP((ROUNDUP((AP!$E36*2+M$5)/3,2)+AP!$C36)/2,2)&lt;1,0,ROUNDUP((ROUNDUP((AP!$E36*2+M$5)/3,2)+AP!$C36)/2,2)))</f>
        <v/>
      </c>
      <c r="N36" s="263" t="str">
        <f>IF(AP!$E36="","",IF(ROUNDUP((ROUNDUP((AP!$E36*2+N$5)/3,2)+AP!$C36)/2,2)&lt;1,0,ROUNDUP((ROUNDUP((AP!$E36*2+N$5)/3,2)+AP!$C36)/2,2)))</f>
        <v/>
      </c>
      <c r="O36" s="264" t="str">
        <f>IF(AP!$E36="","",IF(ROUNDUP((ROUNDUP((AP!$E36*2+O$5)/3,2)+AP!$C36)/2,2)&lt;1,0,ROUNDUP((ROUNDUP((AP!$E36*2+O$5)/3,2)+AP!$C36)/2,2)))</f>
        <v/>
      </c>
      <c r="P36" s="264" t="str">
        <f>IF(AP!$E36="","",IF(ROUNDUP((ROUNDUP((AP!$E36*2+P$5)/3,2)+AP!$C36)/2,2)&lt;1,0,ROUNDUP((ROUNDUP((AP!$E36*2+P$5)/3,2)+AP!$C36)/2,2)))</f>
        <v/>
      </c>
      <c r="Q36" s="264" t="str">
        <f>IF(AP!$E36="","",IF(ROUNDUP((ROUNDUP((AP!$E36*2+Q$5)/3,2)+AP!$C36)/2,2)&lt;1,0,ROUNDUP((ROUNDUP((AP!$E36*2+Q$5)/3,2)+AP!$C36)/2,2)))</f>
        <v/>
      </c>
      <c r="R36" s="263" t="str">
        <f>IF(AP!$E36="","",IF(ROUNDUP((ROUNDUP((AP!$E36*2+R$5)/3,2)+AP!$C36)/2,2)&lt;1,0,ROUNDUP((ROUNDUP((AP!$E36*2+R$5)/3,2)+AP!$C36)/2,2)))</f>
        <v/>
      </c>
    </row>
    <row r="37" spans="1:18" x14ac:dyDescent="0.2">
      <c r="A37" s="9" t="str">
        <f ca="1">IF(+AP!B37="","",AP!B37)</f>
        <v/>
      </c>
      <c r="B37" s="263" t="str">
        <f>IF(AP!E37="","",IF(ROUNDUP((AP!E37+AP!C37)/2,2)&lt;1,0,ROUNDUP((AP!E37+AP!C37)/2,2)))</f>
        <v/>
      </c>
      <c r="C37" s="264" t="str">
        <f>IF(AP!$E37="","",IF(ROUNDUP((ROUNDUP((AP!$E37*2+C$5)/3,2)+AP!$C37)/2,2)&lt;1,0,ROUNDUP((ROUNDUP((AP!$E37*2+C$5)/3,2)+AP!$C37)/2,2)))</f>
        <v/>
      </c>
      <c r="D37" s="264" t="str">
        <f>IF(AP!$E37="","",IF(ROUNDUP((ROUNDUP((AP!$E37*2+D$5)/3,2)+AP!$C37)/2,2)&lt;1,0,ROUNDUP((ROUNDUP((AP!$E37*2+D$5)/3,2)+AP!$C37)/2,2)))</f>
        <v/>
      </c>
      <c r="E37" s="264" t="str">
        <f>IF(AP!$E37="","",IF(ROUNDUP((ROUNDUP((AP!$E37*2+E$5)/3,2)+AP!$C37)/2,2)&lt;1,0,ROUNDUP((ROUNDUP((AP!$E37*2+E$5)/3,2)+AP!$C37)/2,2)))</f>
        <v/>
      </c>
      <c r="F37" s="263" t="str">
        <f>IF(AP!$E37="","",IF(ROUNDUP((ROUNDUP((AP!$E37*2+F$5)/3,2)+AP!$C37)/2,2)&lt;1,0,ROUNDUP((ROUNDUP((AP!$E37*2+F$5)/3,2)+AP!$C37)/2,2)))</f>
        <v/>
      </c>
      <c r="G37" s="263" t="str">
        <f>IF(AP!$E37="","",IF(ROUNDUP((ROUNDUP((AP!$E37*2+G$5)/3,2)+AP!$C37)/2,2)&lt;1,0,ROUNDUP((ROUNDUP((AP!$E37*2+G$5)/3,2)+AP!$C37)/2,2)))</f>
        <v/>
      </c>
      <c r="H37" s="263" t="str">
        <f>IF(AP!$E37="","",IF(ROUNDUP((ROUNDUP((AP!$E37*2+H$5)/3,2)+AP!$C37)/2,2)&lt;1,0,ROUNDUP((ROUNDUP((AP!$E37*2+H$5)/3,2)+AP!$C37)/2,2)))</f>
        <v/>
      </c>
      <c r="I37" s="264" t="str">
        <f>IF(AP!$E37="","",IF(ROUNDUP((ROUNDUP((AP!$E37*2+I$5)/3,2)+AP!$C37)/2,2)&lt;1,0,ROUNDUP((ROUNDUP((AP!$E37*2+I$5)/3,2)+AP!$C37)/2,2)))</f>
        <v/>
      </c>
      <c r="J37" s="264" t="str">
        <f>IF(AP!$E37="","",IF(ROUNDUP((ROUNDUP((AP!$E37*2+J$5)/3,2)+AP!$C37)/2,2)&lt;1,0,ROUNDUP((ROUNDUP((AP!$E37*2+J$5)/3,2)+AP!$C37)/2,2)))</f>
        <v/>
      </c>
      <c r="K37" s="264" t="str">
        <f>IF(AP!$E37="","",IF(ROUNDUP((ROUNDUP((AP!$E37*2+K$5)/3,2)+AP!$C37)/2,2)&lt;1,0,ROUNDUP((ROUNDUP((AP!$E37*2+K$5)/3,2)+AP!$C37)/2,2)))</f>
        <v/>
      </c>
      <c r="L37" s="263" t="str">
        <f>IF(AP!$E37="","",IF(ROUNDUP((ROUNDUP((AP!$E37*2+L$5)/3,2)+AP!$C37)/2,2)&lt;1,0,ROUNDUP((ROUNDUP((AP!$E37*2+L$5)/3,2)+AP!$C37)/2,2)))</f>
        <v/>
      </c>
      <c r="M37" s="263" t="str">
        <f>IF(AP!$E37="","",IF(ROUNDUP((ROUNDUP((AP!$E37*2+M$5)/3,2)+AP!$C37)/2,2)&lt;1,0,ROUNDUP((ROUNDUP((AP!$E37*2+M$5)/3,2)+AP!$C37)/2,2)))</f>
        <v/>
      </c>
      <c r="N37" s="263" t="str">
        <f>IF(AP!$E37="","",IF(ROUNDUP((ROUNDUP((AP!$E37*2+N$5)/3,2)+AP!$C37)/2,2)&lt;1,0,ROUNDUP((ROUNDUP((AP!$E37*2+N$5)/3,2)+AP!$C37)/2,2)))</f>
        <v/>
      </c>
      <c r="O37" s="264" t="str">
        <f>IF(AP!$E37="","",IF(ROUNDUP((ROUNDUP((AP!$E37*2+O$5)/3,2)+AP!$C37)/2,2)&lt;1,0,ROUNDUP((ROUNDUP((AP!$E37*2+O$5)/3,2)+AP!$C37)/2,2)))</f>
        <v/>
      </c>
      <c r="P37" s="264" t="str">
        <f>IF(AP!$E37="","",IF(ROUNDUP((ROUNDUP((AP!$E37*2+P$5)/3,2)+AP!$C37)/2,2)&lt;1,0,ROUNDUP((ROUNDUP((AP!$E37*2+P$5)/3,2)+AP!$C37)/2,2)))</f>
        <v/>
      </c>
      <c r="Q37" s="264" t="str">
        <f>IF(AP!$E37="","",IF(ROUNDUP((ROUNDUP((AP!$E37*2+Q$5)/3,2)+AP!$C37)/2,2)&lt;1,0,ROUNDUP((ROUNDUP((AP!$E37*2+Q$5)/3,2)+AP!$C37)/2,2)))</f>
        <v/>
      </c>
      <c r="R37" s="263" t="str">
        <f>IF(AP!$E37="","",IF(ROUNDUP((ROUNDUP((AP!$E37*2+R$5)/3,2)+AP!$C37)/2,2)&lt;1,0,ROUNDUP((ROUNDUP((AP!$E37*2+R$5)/3,2)+AP!$C37)/2,2)))</f>
        <v/>
      </c>
    </row>
    <row r="38" spans="1:18" x14ac:dyDescent="0.2">
      <c r="A38" s="9" t="str">
        <f ca="1">IF(+AP!B38="","",AP!B38)</f>
        <v/>
      </c>
      <c r="B38" s="263" t="str">
        <f>IF(AP!E38="","",IF(ROUNDUP((AP!E38+AP!C38)/2,2)&lt;1,0,ROUNDUP((AP!E38+AP!C38)/2,2)))</f>
        <v/>
      </c>
      <c r="C38" s="264" t="str">
        <f>IF(AP!$E38="","",IF(ROUNDUP((ROUNDUP((AP!$E38*2+C$5)/3,2)+AP!$C38)/2,2)&lt;1,0,ROUNDUP((ROUNDUP((AP!$E38*2+C$5)/3,2)+AP!$C38)/2,2)))</f>
        <v/>
      </c>
      <c r="D38" s="264" t="str">
        <f>IF(AP!$E38="","",IF(ROUNDUP((ROUNDUP((AP!$E38*2+D$5)/3,2)+AP!$C38)/2,2)&lt;1,0,ROUNDUP((ROUNDUP((AP!$E38*2+D$5)/3,2)+AP!$C38)/2,2)))</f>
        <v/>
      </c>
      <c r="E38" s="264" t="str">
        <f>IF(AP!$E38="","",IF(ROUNDUP((ROUNDUP((AP!$E38*2+E$5)/3,2)+AP!$C38)/2,2)&lt;1,0,ROUNDUP((ROUNDUP((AP!$E38*2+E$5)/3,2)+AP!$C38)/2,2)))</f>
        <v/>
      </c>
      <c r="F38" s="263" t="str">
        <f>IF(AP!$E38="","",IF(ROUNDUP((ROUNDUP((AP!$E38*2+F$5)/3,2)+AP!$C38)/2,2)&lt;1,0,ROUNDUP((ROUNDUP((AP!$E38*2+F$5)/3,2)+AP!$C38)/2,2)))</f>
        <v/>
      </c>
      <c r="G38" s="263" t="str">
        <f>IF(AP!$E38="","",IF(ROUNDUP((ROUNDUP((AP!$E38*2+G$5)/3,2)+AP!$C38)/2,2)&lt;1,0,ROUNDUP((ROUNDUP((AP!$E38*2+G$5)/3,2)+AP!$C38)/2,2)))</f>
        <v/>
      </c>
      <c r="H38" s="263" t="str">
        <f>IF(AP!$E38="","",IF(ROUNDUP((ROUNDUP((AP!$E38*2+H$5)/3,2)+AP!$C38)/2,2)&lt;1,0,ROUNDUP((ROUNDUP((AP!$E38*2+H$5)/3,2)+AP!$C38)/2,2)))</f>
        <v/>
      </c>
      <c r="I38" s="264" t="str">
        <f>IF(AP!$E38="","",IF(ROUNDUP((ROUNDUP((AP!$E38*2+I$5)/3,2)+AP!$C38)/2,2)&lt;1,0,ROUNDUP((ROUNDUP((AP!$E38*2+I$5)/3,2)+AP!$C38)/2,2)))</f>
        <v/>
      </c>
      <c r="J38" s="264" t="str">
        <f>IF(AP!$E38="","",IF(ROUNDUP((ROUNDUP((AP!$E38*2+J$5)/3,2)+AP!$C38)/2,2)&lt;1,0,ROUNDUP((ROUNDUP((AP!$E38*2+J$5)/3,2)+AP!$C38)/2,2)))</f>
        <v/>
      </c>
      <c r="K38" s="264" t="str">
        <f>IF(AP!$E38="","",IF(ROUNDUP((ROUNDUP((AP!$E38*2+K$5)/3,2)+AP!$C38)/2,2)&lt;1,0,ROUNDUP((ROUNDUP((AP!$E38*2+K$5)/3,2)+AP!$C38)/2,2)))</f>
        <v/>
      </c>
      <c r="L38" s="263" t="str">
        <f>IF(AP!$E38="","",IF(ROUNDUP((ROUNDUP((AP!$E38*2+L$5)/3,2)+AP!$C38)/2,2)&lt;1,0,ROUNDUP((ROUNDUP((AP!$E38*2+L$5)/3,2)+AP!$C38)/2,2)))</f>
        <v/>
      </c>
      <c r="M38" s="263" t="str">
        <f>IF(AP!$E38="","",IF(ROUNDUP((ROUNDUP((AP!$E38*2+M$5)/3,2)+AP!$C38)/2,2)&lt;1,0,ROUNDUP((ROUNDUP((AP!$E38*2+M$5)/3,2)+AP!$C38)/2,2)))</f>
        <v/>
      </c>
      <c r="N38" s="263" t="str">
        <f>IF(AP!$E38="","",IF(ROUNDUP((ROUNDUP((AP!$E38*2+N$5)/3,2)+AP!$C38)/2,2)&lt;1,0,ROUNDUP((ROUNDUP((AP!$E38*2+N$5)/3,2)+AP!$C38)/2,2)))</f>
        <v/>
      </c>
      <c r="O38" s="264" t="str">
        <f>IF(AP!$E38="","",IF(ROUNDUP((ROUNDUP((AP!$E38*2+O$5)/3,2)+AP!$C38)/2,2)&lt;1,0,ROUNDUP((ROUNDUP((AP!$E38*2+O$5)/3,2)+AP!$C38)/2,2)))</f>
        <v/>
      </c>
      <c r="P38" s="264" t="str">
        <f>IF(AP!$E38="","",IF(ROUNDUP((ROUNDUP((AP!$E38*2+P$5)/3,2)+AP!$C38)/2,2)&lt;1,0,ROUNDUP((ROUNDUP((AP!$E38*2+P$5)/3,2)+AP!$C38)/2,2)))</f>
        <v/>
      </c>
      <c r="Q38" s="264" t="str">
        <f>IF(AP!$E38="","",IF(ROUNDUP((ROUNDUP((AP!$E38*2+Q$5)/3,2)+AP!$C38)/2,2)&lt;1,0,ROUNDUP((ROUNDUP((AP!$E38*2+Q$5)/3,2)+AP!$C38)/2,2)))</f>
        <v/>
      </c>
      <c r="R38" s="263" t="str">
        <f>IF(AP!$E38="","",IF(ROUNDUP((ROUNDUP((AP!$E38*2+R$5)/3,2)+AP!$C38)/2,2)&lt;1,0,ROUNDUP((ROUNDUP((AP!$E38*2+R$5)/3,2)+AP!$C38)/2,2)))</f>
        <v/>
      </c>
    </row>
    <row r="39" spans="1:18" x14ac:dyDescent="0.2">
      <c r="A39" s="9" t="str">
        <f ca="1">IF(+AP!B39="","",AP!B39)</f>
        <v/>
      </c>
      <c r="B39" s="263" t="str">
        <f>IF(AP!E39="","",IF(ROUNDUP((AP!E39+AP!C39)/2,2)&lt;1,0,ROUNDUP((AP!E39+AP!C39)/2,2)))</f>
        <v/>
      </c>
      <c r="C39" s="264" t="str">
        <f>IF(AP!$E39="","",IF(ROUNDUP((ROUNDUP((AP!$E39*2+C$5)/3,2)+AP!$C39)/2,2)&lt;1,0,ROUNDUP((ROUNDUP((AP!$E39*2+C$5)/3,2)+AP!$C39)/2,2)))</f>
        <v/>
      </c>
      <c r="D39" s="264" t="str">
        <f>IF(AP!$E39="","",IF(ROUNDUP((ROUNDUP((AP!$E39*2+D$5)/3,2)+AP!$C39)/2,2)&lt;1,0,ROUNDUP((ROUNDUP((AP!$E39*2+D$5)/3,2)+AP!$C39)/2,2)))</f>
        <v/>
      </c>
      <c r="E39" s="264" t="str">
        <f>IF(AP!$E39="","",IF(ROUNDUP((ROUNDUP((AP!$E39*2+E$5)/3,2)+AP!$C39)/2,2)&lt;1,0,ROUNDUP((ROUNDUP((AP!$E39*2+E$5)/3,2)+AP!$C39)/2,2)))</f>
        <v/>
      </c>
      <c r="F39" s="263" t="str">
        <f>IF(AP!$E39="","",IF(ROUNDUP((ROUNDUP((AP!$E39*2+F$5)/3,2)+AP!$C39)/2,2)&lt;1,0,ROUNDUP((ROUNDUP((AP!$E39*2+F$5)/3,2)+AP!$C39)/2,2)))</f>
        <v/>
      </c>
      <c r="G39" s="263" t="str">
        <f>IF(AP!$E39="","",IF(ROUNDUP((ROUNDUP((AP!$E39*2+G$5)/3,2)+AP!$C39)/2,2)&lt;1,0,ROUNDUP((ROUNDUP((AP!$E39*2+G$5)/3,2)+AP!$C39)/2,2)))</f>
        <v/>
      </c>
      <c r="H39" s="263" t="str">
        <f>IF(AP!$E39="","",IF(ROUNDUP((ROUNDUP((AP!$E39*2+H$5)/3,2)+AP!$C39)/2,2)&lt;1,0,ROUNDUP((ROUNDUP((AP!$E39*2+H$5)/3,2)+AP!$C39)/2,2)))</f>
        <v/>
      </c>
      <c r="I39" s="264" t="str">
        <f>IF(AP!$E39="","",IF(ROUNDUP((ROUNDUP((AP!$E39*2+I$5)/3,2)+AP!$C39)/2,2)&lt;1,0,ROUNDUP((ROUNDUP((AP!$E39*2+I$5)/3,2)+AP!$C39)/2,2)))</f>
        <v/>
      </c>
      <c r="J39" s="264" t="str">
        <f>IF(AP!$E39="","",IF(ROUNDUP((ROUNDUP((AP!$E39*2+J$5)/3,2)+AP!$C39)/2,2)&lt;1,0,ROUNDUP((ROUNDUP((AP!$E39*2+J$5)/3,2)+AP!$C39)/2,2)))</f>
        <v/>
      </c>
      <c r="K39" s="264" t="str">
        <f>IF(AP!$E39="","",IF(ROUNDUP((ROUNDUP((AP!$E39*2+K$5)/3,2)+AP!$C39)/2,2)&lt;1,0,ROUNDUP((ROUNDUP((AP!$E39*2+K$5)/3,2)+AP!$C39)/2,2)))</f>
        <v/>
      </c>
      <c r="L39" s="263" t="str">
        <f>IF(AP!$E39="","",IF(ROUNDUP((ROUNDUP((AP!$E39*2+L$5)/3,2)+AP!$C39)/2,2)&lt;1,0,ROUNDUP((ROUNDUP((AP!$E39*2+L$5)/3,2)+AP!$C39)/2,2)))</f>
        <v/>
      </c>
      <c r="M39" s="263" t="str">
        <f>IF(AP!$E39="","",IF(ROUNDUP((ROUNDUP((AP!$E39*2+M$5)/3,2)+AP!$C39)/2,2)&lt;1,0,ROUNDUP((ROUNDUP((AP!$E39*2+M$5)/3,2)+AP!$C39)/2,2)))</f>
        <v/>
      </c>
      <c r="N39" s="263" t="str">
        <f>IF(AP!$E39="","",IF(ROUNDUP((ROUNDUP((AP!$E39*2+N$5)/3,2)+AP!$C39)/2,2)&lt;1,0,ROUNDUP((ROUNDUP((AP!$E39*2+N$5)/3,2)+AP!$C39)/2,2)))</f>
        <v/>
      </c>
      <c r="O39" s="264" t="str">
        <f>IF(AP!$E39="","",IF(ROUNDUP((ROUNDUP((AP!$E39*2+O$5)/3,2)+AP!$C39)/2,2)&lt;1,0,ROUNDUP((ROUNDUP((AP!$E39*2+O$5)/3,2)+AP!$C39)/2,2)))</f>
        <v/>
      </c>
      <c r="P39" s="264" t="str">
        <f>IF(AP!$E39="","",IF(ROUNDUP((ROUNDUP((AP!$E39*2+P$5)/3,2)+AP!$C39)/2,2)&lt;1,0,ROUNDUP((ROUNDUP((AP!$E39*2+P$5)/3,2)+AP!$C39)/2,2)))</f>
        <v/>
      </c>
      <c r="Q39" s="264" t="str">
        <f>IF(AP!$E39="","",IF(ROUNDUP((ROUNDUP((AP!$E39*2+Q$5)/3,2)+AP!$C39)/2,2)&lt;1,0,ROUNDUP((ROUNDUP((AP!$E39*2+Q$5)/3,2)+AP!$C39)/2,2)))</f>
        <v/>
      </c>
      <c r="R39" s="263" t="str">
        <f>IF(AP!$E39="","",IF(ROUNDUP((ROUNDUP((AP!$E39*2+R$5)/3,2)+AP!$C39)/2,2)&lt;1,0,ROUNDUP((ROUNDUP((AP!$E39*2+R$5)/3,2)+AP!$C39)/2,2)))</f>
        <v/>
      </c>
    </row>
    <row r="40" spans="1:18" x14ac:dyDescent="0.2">
      <c r="A40" s="9" t="str">
        <f ca="1">IF(+AP!B40="","",AP!B40)</f>
        <v/>
      </c>
      <c r="B40" s="263" t="str">
        <f>IF(AP!E40="","",IF(ROUNDUP((AP!E40+AP!C40)/2,2)&lt;1,0,ROUNDUP((AP!E40+AP!C40)/2,2)))</f>
        <v/>
      </c>
      <c r="C40" s="264" t="str">
        <f>IF(AP!$E40="","",IF(ROUNDUP((ROUNDUP((AP!$E40*2+C$5)/3,2)+AP!$C40)/2,2)&lt;1,0,ROUNDUP((ROUNDUP((AP!$E40*2+C$5)/3,2)+AP!$C40)/2,2)))</f>
        <v/>
      </c>
      <c r="D40" s="264" t="str">
        <f>IF(AP!$E40="","",IF(ROUNDUP((ROUNDUP((AP!$E40*2+D$5)/3,2)+AP!$C40)/2,2)&lt;1,0,ROUNDUP((ROUNDUP((AP!$E40*2+D$5)/3,2)+AP!$C40)/2,2)))</f>
        <v/>
      </c>
      <c r="E40" s="264" t="str">
        <f>IF(AP!$E40="","",IF(ROUNDUP((ROUNDUP((AP!$E40*2+E$5)/3,2)+AP!$C40)/2,2)&lt;1,0,ROUNDUP((ROUNDUP((AP!$E40*2+E$5)/3,2)+AP!$C40)/2,2)))</f>
        <v/>
      </c>
      <c r="F40" s="263" t="str">
        <f>IF(AP!$E40="","",IF(ROUNDUP((ROUNDUP((AP!$E40*2+F$5)/3,2)+AP!$C40)/2,2)&lt;1,0,ROUNDUP((ROUNDUP((AP!$E40*2+F$5)/3,2)+AP!$C40)/2,2)))</f>
        <v/>
      </c>
      <c r="G40" s="263" t="str">
        <f>IF(AP!$E40="","",IF(ROUNDUP((ROUNDUP((AP!$E40*2+G$5)/3,2)+AP!$C40)/2,2)&lt;1,0,ROUNDUP((ROUNDUP((AP!$E40*2+G$5)/3,2)+AP!$C40)/2,2)))</f>
        <v/>
      </c>
      <c r="H40" s="263" t="str">
        <f>IF(AP!$E40="","",IF(ROUNDUP((ROUNDUP((AP!$E40*2+H$5)/3,2)+AP!$C40)/2,2)&lt;1,0,ROUNDUP((ROUNDUP((AP!$E40*2+H$5)/3,2)+AP!$C40)/2,2)))</f>
        <v/>
      </c>
      <c r="I40" s="264" t="str">
        <f>IF(AP!$E40="","",IF(ROUNDUP((ROUNDUP((AP!$E40*2+I$5)/3,2)+AP!$C40)/2,2)&lt;1,0,ROUNDUP((ROUNDUP((AP!$E40*2+I$5)/3,2)+AP!$C40)/2,2)))</f>
        <v/>
      </c>
      <c r="J40" s="264" t="str">
        <f>IF(AP!$E40="","",IF(ROUNDUP((ROUNDUP((AP!$E40*2+J$5)/3,2)+AP!$C40)/2,2)&lt;1,0,ROUNDUP((ROUNDUP((AP!$E40*2+J$5)/3,2)+AP!$C40)/2,2)))</f>
        <v/>
      </c>
      <c r="K40" s="264" t="str">
        <f>IF(AP!$E40="","",IF(ROUNDUP((ROUNDUP((AP!$E40*2+K$5)/3,2)+AP!$C40)/2,2)&lt;1,0,ROUNDUP((ROUNDUP((AP!$E40*2+K$5)/3,2)+AP!$C40)/2,2)))</f>
        <v/>
      </c>
      <c r="L40" s="263" t="str">
        <f>IF(AP!$E40="","",IF(ROUNDUP((ROUNDUP((AP!$E40*2+L$5)/3,2)+AP!$C40)/2,2)&lt;1,0,ROUNDUP((ROUNDUP((AP!$E40*2+L$5)/3,2)+AP!$C40)/2,2)))</f>
        <v/>
      </c>
      <c r="M40" s="263" t="str">
        <f>IF(AP!$E40="","",IF(ROUNDUP((ROUNDUP((AP!$E40*2+M$5)/3,2)+AP!$C40)/2,2)&lt;1,0,ROUNDUP((ROUNDUP((AP!$E40*2+M$5)/3,2)+AP!$C40)/2,2)))</f>
        <v/>
      </c>
      <c r="N40" s="263" t="str">
        <f>IF(AP!$E40="","",IF(ROUNDUP((ROUNDUP((AP!$E40*2+N$5)/3,2)+AP!$C40)/2,2)&lt;1,0,ROUNDUP((ROUNDUP((AP!$E40*2+N$5)/3,2)+AP!$C40)/2,2)))</f>
        <v/>
      </c>
      <c r="O40" s="264" t="str">
        <f>IF(AP!$E40="","",IF(ROUNDUP((ROUNDUP((AP!$E40*2+O$5)/3,2)+AP!$C40)/2,2)&lt;1,0,ROUNDUP((ROUNDUP((AP!$E40*2+O$5)/3,2)+AP!$C40)/2,2)))</f>
        <v/>
      </c>
      <c r="P40" s="264" t="str">
        <f>IF(AP!$E40="","",IF(ROUNDUP((ROUNDUP((AP!$E40*2+P$5)/3,2)+AP!$C40)/2,2)&lt;1,0,ROUNDUP((ROUNDUP((AP!$E40*2+P$5)/3,2)+AP!$C40)/2,2)))</f>
        <v/>
      </c>
      <c r="Q40" s="264" t="str">
        <f>IF(AP!$E40="","",IF(ROUNDUP((ROUNDUP((AP!$E40*2+Q$5)/3,2)+AP!$C40)/2,2)&lt;1,0,ROUNDUP((ROUNDUP((AP!$E40*2+Q$5)/3,2)+AP!$C40)/2,2)))</f>
        <v/>
      </c>
      <c r="R40" s="263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L45" sqref="L45"/>
    </sheetView>
  </sheetViews>
  <sheetFormatPr baseColWidth="10" defaultRowHeight="12.75" x14ac:dyDescent="0.2"/>
  <cols>
    <col min="1" max="1" width="11.42578125" style="391"/>
    <col min="2" max="2" width="23.140625" style="391" customWidth="1"/>
    <col min="3" max="16384" width="11.42578125" style="391"/>
  </cols>
  <sheetData>
    <row r="1" spans="1:7" ht="15" x14ac:dyDescent="0.25">
      <c r="A1" s="518"/>
      <c r="B1" s="519" t="s">
        <v>144</v>
      </c>
      <c r="C1" s="518"/>
      <c r="D1" s="518"/>
      <c r="E1" s="518"/>
      <c r="F1" s="518"/>
      <c r="G1" s="517"/>
    </row>
    <row r="2" spans="1:7" x14ac:dyDescent="0.2">
      <c r="A2" s="392"/>
      <c r="B2" s="393" t="s">
        <v>24</v>
      </c>
      <c r="C2" s="394" t="str">
        <f>+IF(Notenbogen!B1="","",Notenbogen!B1)</f>
        <v/>
      </c>
      <c r="D2" s="395"/>
      <c r="E2" s="518" t="s">
        <v>151</v>
      </c>
      <c r="F2" s="518"/>
      <c r="G2" s="517"/>
    </row>
    <row r="3" spans="1:7" x14ac:dyDescent="0.2">
      <c r="A3" s="396" t="s">
        <v>3</v>
      </c>
      <c r="B3" s="397" t="s">
        <v>15</v>
      </c>
      <c r="C3" s="516" t="s">
        <v>150</v>
      </c>
      <c r="D3" s="520"/>
      <c r="E3" s="518"/>
      <c r="F3" s="518"/>
      <c r="G3" s="517"/>
    </row>
    <row r="4" spans="1:7" x14ac:dyDescent="0.2">
      <c r="A4" s="396">
        <v>1</v>
      </c>
      <c r="B4" s="397" t="str">
        <f ca="1">INDIRECT(ADDRESS(3+A4*2,2,,,"Notenbogen"))&amp;", "&amp;TRIM(INDIRECT(ADDRESS(4+A4*2,2,,,"Notenbogen")))</f>
        <v xml:space="preserve">, </v>
      </c>
      <c r="C4" s="515"/>
      <c r="D4" s="518"/>
      <c r="E4" s="518"/>
      <c r="F4" s="518"/>
      <c r="G4" s="517"/>
    </row>
    <row r="5" spans="1:7" x14ac:dyDescent="0.2">
      <c r="A5" s="396">
        <v>2</v>
      </c>
      <c r="B5" s="397" t="str">
        <f t="shared" ref="B5:B38" ca="1" si="0">INDIRECT(ADDRESS(3+A5*2,2,,,"Notenbogen"))&amp;", "&amp;TRIM(INDIRECT(ADDRESS(4+A5*2,2,,,"Notenbogen")))</f>
        <v xml:space="preserve">, </v>
      </c>
      <c r="C5" s="515"/>
      <c r="D5" s="518"/>
      <c r="E5" s="518"/>
      <c r="F5" s="518"/>
      <c r="G5" s="517"/>
    </row>
    <row r="6" spans="1:7" x14ac:dyDescent="0.2">
      <c r="A6" s="396">
        <v>3</v>
      </c>
      <c r="B6" s="397" t="str">
        <f t="shared" ca="1" si="0"/>
        <v xml:space="preserve">, </v>
      </c>
      <c r="C6" s="515"/>
      <c r="D6" s="518"/>
      <c r="E6" s="518"/>
      <c r="F6" s="518"/>
      <c r="G6" s="517"/>
    </row>
    <row r="7" spans="1:7" x14ac:dyDescent="0.2">
      <c r="A7" s="396">
        <v>4</v>
      </c>
      <c r="B7" s="397" t="str">
        <f t="shared" ca="1" si="0"/>
        <v xml:space="preserve">, </v>
      </c>
      <c r="C7" s="515"/>
      <c r="D7" s="518"/>
      <c r="E7" s="518"/>
      <c r="F7" s="518"/>
      <c r="G7" s="517"/>
    </row>
    <row r="8" spans="1:7" x14ac:dyDescent="0.2">
      <c r="A8" s="396">
        <v>5</v>
      </c>
      <c r="B8" s="397" t="str">
        <f t="shared" ca="1" si="0"/>
        <v xml:space="preserve">, </v>
      </c>
      <c r="C8" s="515"/>
      <c r="D8" s="518"/>
      <c r="E8" s="521"/>
      <c r="F8" s="518"/>
      <c r="G8" s="517"/>
    </row>
    <row r="9" spans="1:7" x14ac:dyDescent="0.2">
      <c r="A9" s="396">
        <v>6</v>
      </c>
      <c r="B9" s="397" t="str">
        <f t="shared" ca="1" si="0"/>
        <v xml:space="preserve">, </v>
      </c>
      <c r="C9" s="515"/>
      <c r="D9" s="518"/>
      <c r="E9" s="518"/>
      <c r="F9" s="518"/>
      <c r="G9" s="517"/>
    </row>
    <row r="10" spans="1:7" x14ac:dyDescent="0.2">
      <c r="A10" s="396">
        <v>7</v>
      </c>
      <c r="B10" s="397" t="str">
        <f t="shared" ca="1" si="0"/>
        <v xml:space="preserve">, </v>
      </c>
      <c r="C10" s="515"/>
      <c r="D10" s="518"/>
      <c r="E10" s="518"/>
      <c r="F10" s="518"/>
      <c r="G10" s="517"/>
    </row>
    <row r="11" spans="1:7" x14ac:dyDescent="0.2">
      <c r="A11" s="396">
        <v>8</v>
      </c>
      <c r="B11" s="397" t="str">
        <f t="shared" ca="1" si="0"/>
        <v xml:space="preserve">, </v>
      </c>
      <c r="C11" s="515"/>
      <c r="D11" s="518"/>
      <c r="E11" s="518"/>
      <c r="F11" s="518"/>
      <c r="G11" s="517"/>
    </row>
    <row r="12" spans="1:7" x14ac:dyDescent="0.2">
      <c r="A12" s="396">
        <v>9</v>
      </c>
      <c r="B12" s="397" t="str">
        <f ca="1">INDIRECT(ADDRESS(3+A12*2,2,,,"Notenbogen"))&amp;", "&amp;TRIM(INDIRECT(ADDRESS(4+A12*2,2,,,"Notenbogen")))</f>
        <v xml:space="preserve">, </v>
      </c>
      <c r="C12" s="515"/>
      <c r="D12" s="518"/>
      <c r="E12" s="518"/>
      <c r="F12" s="518"/>
      <c r="G12" s="517"/>
    </row>
    <row r="13" spans="1:7" x14ac:dyDescent="0.2">
      <c r="A13" s="396">
        <v>10</v>
      </c>
      <c r="B13" s="397" t="str">
        <f t="shared" ca="1" si="0"/>
        <v xml:space="preserve">, </v>
      </c>
      <c r="C13" s="515"/>
      <c r="D13" s="518"/>
      <c r="E13" s="518"/>
      <c r="F13" s="518"/>
      <c r="G13" s="517"/>
    </row>
    <row r="14" spans="1:7" x14ac:dyDescent="0.2">
      <c r="A14" s="396">
        <v>11</v>
      </c>
      <c r="B14" s="397" t="str">
        <f t="shared" ca="1" si="0"/>
        <v xml:space="preserve">, </v>
      </c>
      <c r="C14" s="515"/>
      <c r="D14" s="518"/>
      <c r="E14" s="518"/>
      <c r="F14" s="518"/>
      <c r="G14" s="517"/>
    </row>
    <row r="15" spans="1:7" x14ac:dyDescent="0.2">
      <c r="A15" s="396">
        <v>12</v>
      </c>
      <c r="B15" s="397" t="str">
        <f t="shared" ca="1" si="0"/>
        <v xml:space="preserve">, </v>
      </c>
      <c r="C15" s="515"/>
      <c r="D15" s="518"/>
      <c r="E15" s="518"/>
      <c r="F15" s="518"/>
      <c r="G15" s="517"/>
    </row>
    <row r="16" spans="1:7" x14ac:dyDescent="0.2">
      <c r="A16" s="396">
        <v>13</v>
      </c>
      <c r="B16" s="397" t="str">
        <f ca="1">INDIRECT(ADDRESS(3+A16*2,2,,,"Notenbogen"))&amp;", "&amp;TRIM(INDIRECT(ADDRESS(4+A16*2,2,,,"Notenbogen")))</f>
        <v xml:space="preserve">, </v>
      </c>
      <c r="C16" s="515"/>
      <c r="D16" s="518"/>
      <c r="E16" s="518"/>
      <c r="F16" s="518"/>
      <c r="G16" s="517"/>
    </row>
    <row r="17" spans="1:7" x14ac:dyDescent="0.2">
      <c r="A17" s="396">
        <v>14</v>
      </c>
      <c r="B17" s="397" t="str">
        <f t="shared" ca="1" si="0"/>
        <v xml:space="preserve">, </v>
      </c>
      <c r="C17" s="515"/>
      <c r="D17" s="518"/>
      <c r="E17" s="518"/>
      <c r="F17" s="518"/>
      <c r="G17" s="517"/>
    </row>
    <row r="18" spans="1:7" x14ac:dyDescent="0.2">
      <c r="A18" s="396">
        <v>15</v>
      </c>
      <c r="B18" s="397" t="str">
        <f t="shared" ca="1" si="0"/>
        <v xml:space="preserve">, </v>
      </c>
      <c r="C18" s="515"/>
      <c r="D18" s="518"/>
      <c r="E18" s="518"/>
      <c r="F18" s="518"/>
      <c r="G18" s="517"/>
    </row>
    <row r="19" spans="1:7" x14ac:dyDescent="0.2">
      <c r="A19" s="396">
        <v>16</v>
      </c>
      <c r="B19" s="397" t="str">
        <f t="shared" ca="1" si="0"/>
        <v xml:space="preserve">, </v>
      </c>
      <c r="C19" s="515"/>
      <c r="D19" s="518"/>
      <c r="E19" s="518"/>
      <c r="F19" s="518"/>
      <c r="G19" s="517"/>
    </row>
    <row r="20" spans="1:7" x14ac:dyDescent="0.2">
      <c r="A20" s="396">
        <v>17</v>
      </c>
      <c r="B20" s="397" t="str">
        <f t="shared" ca="1" si="0"/>
        <v xml:space="preserve">, </v>
      </c>
      <c r="C20" s="515"/>
      <c r="D20" s="518"/>
      <c r="E20" s="518"/>
      <c r="F20" s="518"/>
      <c r="G20" s="517"/>
    </row>
    <row r="21" spans="1:7" x14ac:dyDescent="0.2">
      <c r="A21" s="396">
        <v>18</v>
      </c>
      <c r="B21" s="397" t="str">
        <f t="shared" ca="1" si="0"/>
        <v xml:space="preserve">, </v>
      </c>
      <c r="C21" s="515"/>
      <c r="D21" s="518"/>
      <c r="E21" s="518"/>
      <c r="F21" s="518"/>
      <c r="G21" s="517"/>
    </row>
    <row r="22" spans="1:7" x14ac:dyDescent="0.2">
      <c r="A22" s="396">
        <v>19</v>
      </c>
      <c r="B22" s="397" t="str">
        <f t="shared" ca="1" si="0"/>
        <v xml:space="preserve">, </v>
      </c>
      <c r="C22" s="515"/>
      <c r="D22" s="518"/>
      <c r="E22" s="518"/>
      <c r="F22" s="518"/>
      <c r="G22" s="517"/>
    </row>
    <row r="23" spans="1:7" x14ac:dyDescent="0.2">
      <c r="A23" s="396">
        <v>20</v>
      </c>
      <c r="B23" s="397" t="str">
        <f t="shared" ca="1" si="0"/>
        <v xml:space="preserve">, </v>
      </c>
      <c r="C23" s="515"/>
      <c r="D23" s="518"/>
      <c r="E23" s="518"/>
      <c r="F23" s="518"/>
      <c r="G23" s="517"/>
    </row>
    <row r="24" spans="1:7" x14ac:dyDescent="0.2">
      <c r="A24" s="396">
        <v>21</v>
      </c>
      <c r="B24" s="397" t="str">
        <f t="shared" ca="1" si="0"/>
        <v xml:space="preserve">, </v>
      </c>
      <c r="C24" s="515"/>
      <c r="D24" s="518"/>
      <c r="E24" s="518"/>
      <c r="F24" s="518"/>
      <c r="G24" s="517"/>
    </row>
    <row r="25" spans="1:7" x14ac:dyDescent="0.2">
      <c r="A25" s="396">
        <v>22</v>
      </c>
      <c r="B25" s="397" t="str">
        <f t="shared" ca="1" si="0"/>
        <v xml:space="preserve">, </v>
      </c>
      <c r="C25" s="515"/>
      <c r="D25" s="518"/>
      <c r="E25" s="518"/>
      <c r="F25" s="518"/>
      <c r="G25" s="517"/>
    </row>
    <row r="26" spans="1:7" x14ac:dyDescent="0.2">
      <c r="A26" s="396">
        <v>23</v>
      </c>
      <c r="B26" s="397" t="str">
        <f t="shared" ca="1" si="0"/>
        <v xml:space="preserve">, </v>
      </c>
      <c r="C26" s="515"/>
      <c r="D26" s="518"/>
      <c r="E26" s="518"/>
      <c r="F26" s="518"/>
      <c r="G26" s="517"/>
    </row>
    <row r="27" spans="1:7" x14ac:dyDescent="0.2">
      <c r="A27" s="396">
        <v>24</v>
      </c>
      <c r="B27" s="397" t="str">
        <f t="shared" ca="1" si="0"/>
        <v xml:space="preserve">, </v>
      </c>
      <c r="C27" s="515"/>
      <c r="D27" s="518"/>
      <c r="E27" s="518"/>
      <c r="F27" s="518"/>
      <c r="G27" s="517"/>
    </row>
    <row r="28" spans="1:7" x14ac:dyDescent="0.2">
      <c r="A28" s="396">
        <v>25</v>
      </c>
      <c r="B28" s="397" t="str">
        <f t="shared" ca="1" si="0"/>
        <v xml:space="preserve">, </v>
      </c>
      <c r="C28" s="515"/>
      <c r="D28" s="518"/>
      <c r="E28" s="518"/>
      <c r="F28" s="518"/>
      <c r="G28" s="517"/>
    </row>
    <row r="29" spans="1:7" x14ac:dyDescent="0.2">
      <c r="A29" s="396">
        <v>26</v>
      </c>
      <c r="B29" s="397" t="str">
        <f t="shared" ca="1" si="0"/>
        <v xml:space="preserve">, </v>
      </c>
      <c r="C29" s="515"/>
      <c r="D29" s="518"/>
      <c r="E29" s="518"/>
      <c r="F29" s="518"/>
      <c r="G29" s="517"/>
    </row>
    <row r="30" spans="1:7" x14ac:dyDescent="0.2">
      <c r="A30" s="396">
        <v>27</v>
      </c>
      <c r="B30" s="397" t="str">
        <f t="shared" ca="1" si="0"/>
        <v xml:space="preserve">, </v>
      </c>
      <c r="C30" s="515"/>
      <c r="D30" s="518"/>
      <c r="E30" s="518"/>
      <c r="F30" s="518"/>
      <c r="G30" s="517"/>
    </row>
    <row r="31" spans="1:7" x14ac:dyDescent="0.2">
      <c r="A31" s="396">
        <v>28</v>
      </c>
      <c r="B31" s="397" t="str">
        <f t="shared" ca="1" si="0"/>
        <v xml:space="preserve">, </v>
      </c>
      <c r="C31" s="515"/>
      <c r="D31" s="518"/>
      <c r="E31" s="518"/>
      <c r="F31" s="518"/>
      <c r="G31" s="517"/>
    </row>
    <row r="32" spans="1:7" x14ac:dyDescent="0.2">
      <c r="A32" s="396">
        <v>29</v>
      </c>
      <c r="B32" s="397" t="str">
        <f t="shared" ca="1" si="0"/>
        <v xml:space="preserve">, </v>
      </c>
      <c r="C32" s="515"/>
      <c r="D32" s="518"/>
      <c r="E32" s="518"/>
      <c r="F32" s="518"/>
      <c r="G32" s="517"/>
    </row>
    <row r="33" spans="1:7" x14ac:dyDescent="0.2">
      <c r="A33" s="396">
        <v>30</v>
      </c>
      <c r="B33" s="397" t="str">
        <f t="shared" ca="1" si="0"/>
        <v xml:space="preserve">, </v>
      </c>
      <c r="C33" s="515"/>
      <c r="D33" s="518"/>
      <c r="E33" s="518"/>
      <c r="F33" s="518"/>
      <c r="G33" s="517"/>
    </row>
    <row r="34" spans="1:7" x14ac:dyDescent="0.2">
      <c r="A34" s="396">
        <v>31</v>
      </c>
      <c r="B34" s="397" t="str">
        <f t="shared" ca="1" si="0"/>
        <v xml:space="preserve">, </v>
      </c>
      <c r="C34" s="515"/>
      <c r="D34" s="518"/>
      <c r="E34" s="518"/>
      <c r="F34" s="518"/>
      <c r="G34" s="517"/>
    </row>
    <row r="35" spans="1:7" x14ac:dyDescent="0.2">
      <c r="A35" s="396">
        <v>32</v>
      </c>
      <c r="B35" s="397" t="str">
        <f t="shared" ca="1" si="0"/>
        <v xml:space="preserve">, </v>
      </c>
      <c r="C35" s="515"/>
      <c r="D35" s="518"/>
      <c r="E35" s="518"/>
      <c r="F35" s="518"/>
      <c r="G35" s="517"/>
    </row>
    <row r="36" spans="1:7" x14ac:dyDescent="0.2">
      <c r="A36" s="396">
        <v>33</v>
      </c>
      <c r="B36" s="397" t="str">
        <f t="shared" ca="1" si="0"/>
        <v xml:space="preserve">, </v>
      </c>
      <c r="C36" s="515"/>
      <c r="D36" s="518"/>
      <c r="E36" s="518"/>
      <c r="F36" s="518"/>
      <c r="G36" s="517"/>
    </row>
    <row r="37" spans="1:7" x14ac:dyDescent="0.2">
      <c r="A37" s="396">
        <v>34</v>
      </c>
      <c r="B37" s="397" t="str">
        <f t="shared" ca="1" si="0"/>
        <v xml:space="preserve">, </v>
      </c>
      <c r="C37" s="515"/>
      <c r="D37" s="518"/>
      <c r="E37" s="518"/>
      <c r="F37" s="518"/>
      <c r="G37" s="517"/>
    </row>
    <row r="38" spans="1:7" x14ac:dyDescent="0.2">
      <c r="A38" s="396">
        <v>35</v>
      </c>
      <c r="B38" s="397" t="str">
        <f t="shared" ca="1" si="0"/>
        <v xml:space="preserve">, </v>
      </c>
      <c r="C38" s="515"/>
      <c r="D38" s="518"/>
      <c r="E38" s="518"/>
      <c r="F38" s="518"/>
      <c r="G38" s="517"/>
    </row>
    <row r="39" spans="1:7" x14ac:dyDescent="0.2">
      <c r="A39" s="517"/>
      <c r="B39" s="517"/>
      <c r="C39" s="517"/>
      <c r="D39" s="517"/>
      <c r="E39" s="517"/>
      <c r="F39" s="517"/>
      <c r="G39" s="517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1476"/>
  <sheetViews>
    <sheetView topLeftCell="O1100" zoomScaleNormal="100" workbookViewId="0">
      <selection activeCell="W926" sqref="W926"/>
    </sheetView>
  </sheetViews>
  <sheetFormatPr baseColWidth="10" defaultRowHeight="12.75" customHeight="1" x14ac:dyDescent="0.2"/>
  <cols>
    <col min="1" max="2" width="11.42578125" style="8"/>
    <col min="3" max="3" width="1.140625" style="8" customWidth="1"/>
    <col min="4" max="8" width="6.42578125" style="8" customWidth="1"/>
    <col min="9" max="9" width="8.28515625" style="8" customWidth="1"/>
    <col min="10" max="10" width="7.5703125" style="8" customWidth="1"/>
    <col min="11" max="19" width="6.42578125" style="8" customWidth="1"/>
    <col min="20" max="20" width="16.140625" style="177" customWidth="1"/>
    <col min="21" max="21" width="10.140625" style="8" customWidth="1"/>
    <col min="22" max="22" width="9.5703125" style="8" bestFit="1" customWidth="1"/>
    <col min="23" max="24" width="11.140625" style="8" customWidth="1"/>
    <col min="25" max="25" width="3.28515625" style="8" bestFit="1" customWidth="1"/>
    <col min="26" max="26" width="11.42578125" style="8"/>
    <col min="27" max="27" width="11.5703125" style="8" customWidth="1"/>
    <col min="28" max="16384" width="11.42578125" style="8"/>
  </cols>
  <sheetData>
    <row r="1" spans="1:40" ht="12.75" customHeight="1" thickBot="1" x14ac:dyDescent="0.3">
      <c r="A1" s="8">
        <f>IF(ISERROR(A2),0,A2)</f>
        <v>0</v>
      </c>
      <c r="B1" s="307" t="str">
        <f>ADDRESS(1,1,1,TRUE,"Notenbogen")</f>
        <v>Notenbogen!$A$1</v>
      </c>
      <c r="G1" s="8" t="str">
        <f>MID(B1,11,1)</f>
        <v>!</v>
      </c>
      <c r="I1" s="351">
        <v>0.33333333333333331</v>
      </c>
      <c r="K1" s="8">
        <f>IF(Notenbogen!C1="2:1-Fach",2,IF(Notenbogen!C1="Darstellung",0.5,1))</f>
        <v>2</v>
      </c>
      <c r="L1" s="15"/>
      <c r="M1" s="15"/>
    </row>
    <row r="2" spans="1:40" ht="12.75" customHeight="1" x14ac:dyDescent="0.2">
      <c r="T2" s="177" t="s">
        <v>68</v>
      </c>
      <c r="U2" s="47"/>
      <c r="V2" s="48"/>
      <c r="W2" s="455" t="s">
        <v>39</v>
      </c>
      <c r="X2" s="456"/>
      <c r="Y2" s="465" t="s">
        <v>32</v>
      </c>
      <c r="Z2" s="463" t="s">
        <v>40</v>
      </c>
      <c r="AA2" s="464"/>
      <c r="AB2" s="46"/>
      <c r="AC2" s="49" t="s">
        <v>17</v>
      </c>
      <c r="AD2" s="50" t="s">
        <v>32</v>
      </c>
      <c r="AE2" s="51"/>
      <c r="AF2" s="461" t="s">
        <v>41</v>
      </c>
      <c r="AG2" s="462"/>
      <c r="AH2" s="52"/>
      <c r="AI2" s="49" t="s">
        <v>17</v>
      </c>
      <c r="AJ2" s="50" t="s">
        <v>32</v>
      </c>
      <c r="AK2" s="53"/>
      <c r="AL2" s="452" t="s">
        <v>42</v>
      </c>
      <c r="AM2" s="453"/>
      <c r="AN2" s="54" t="s">
        <v>43</v>
      </c>
    </row>
    <row r="3" spans="1:40" ht="12.75" customHeight="1" x14ac:dyDescent="0.2">
      <c r="D3" s="8" t="str">
        <f>""</f>
        <v/>
      </c>
      <c r="U3" s="55" t="s">
        <v>44</v>
      </c>
      <c r="V3" s="41" t="s">
        <v>43</v>
      </c>
      <c r="W3" s="457" t="s">
        <v>42</v>
      </c>
      <c r="X3" s="458"/>
      <c r="Y3" s="466"/>
      <c r="Z3" s="459" t="s">
        <v>45</v>
      </c>
      <c r="AA3" s="460"/>
      <c r="AB3" s="46"/>
      <c r="AC3" s="58"/>
      <c r="AD3" s="59"/>
      <c r="AE3" s="57"/>
      <c r="AF3" s="60" t="s">
        <v>46</v>
      </c>
      <c r="AG3" s="61" t="s">
        <v>47</v>
      </c>
      <c r="AH3" s="52"/>
      <c r="AI3" s="58"/>
      <c r="AJ3" s="59"/>
      <c r="AK3" s="57"/>
      <c r="AL3" s="57" t="s">
        <v>46</v>
      </c>
      <c r="AM3" s="62" t="s">
        <v>47</v>
      </c>
      <c r="AN3" s="63"/>
    </row>
    <row r="4" spans="1:40" ht="12.75" customHeight="1" x14ac:dyDescent="0.2">
      <c r="D4" s="468" t="s">
        <v>53</v>
      </c>
      <c r="E4" s="468"/>
      <c r="F4" s="468" t="s">
        <v>54</v>
      </c>
      <c r="G4" s="468"/>
      <c r="H4" s="15"/>
      <c r="I4" s="15"/>
      <c r="J4" s="15" t="s">
        <v>55</v>
      </c>
      <c r="L4" s="468" t="s">
        <v>53</v>
      </c>
      <c r="M4" s="468"/>
      <c r="N4" s="468" t="s">
        <v>54</v>
      </c>
      <c r="O4" s="468"/>
      <c r="U4" s="64" t="s">
        <v>48</v>
      </c>
      <c r="V4" s="41" t="s">
        <v>39</v>
      </c>
      <c r="W4" s="56" t="s">
        <v>46</v>
      </c>
      <c r="X4" s="57" t="s">
        <v>47</v>
      </c>
      <c r="Y4" s="466"/>
      <c r="Z4" s="459" t="s">
        <v>49</v>
      </c>
      <c r="AA4" s="460"/>
      <c r="AB4" s="65"/>
      <c r="AC4" s="58"/>
      <c r="AD4" s="59"/>
      <c r="AE4" s="65"/>
      <c r="AF4" s="66"/>
      <c r="AG4" s="67"/>
      <c r="AH4" s="65"/>
      <c r="AI4" s="68"/>
      <c r="AJ4" s="69"/>
      <c r="AK4" s="70"/>
      <c r="AL4" s="71"/>
      <c r="AM4" s="72"/>
      <c r="AN4" s="73"/>
    </row>
    <row r="5" spans="1:40" s="155" customFormat="1" ht="12.75" customHeight="1" x14ac:dyDescent="0.2">
      <c r="B5" s="150">
        <f>IF(Notenbogen!B5="",0,Notenbogen!B5)</f>
        <v>0</v>
      </c>
      <c r="C5" s="151"/>
      <c r="D5" s="151">
        <f ca="1">SUMPRODUCT(Notenbogen!D5:'Notenbogen'!G5,Notenbogen!$D$75:'Notenbogen'!$G$75)</f>
        <v>0</v>
      </c>
      <c r="E5" s="152" t="e">
        <f ca="1">+ROUNDUP(D5/D6,2)</f>
        <v>#DIV/0!</v>
      </c>
      <c r="F5" s="151">
        <f ca="1">SUMPRODUCT(Notenbogen!D6:'Notenbogen'!G6,Notenbogen!$D$76:'Notenbogen'!$G$76)+SUM(Notenbogen!H6:J6)+A1</f>
        <v>0</v>
      </c>
      <c r="G5" s="153">
        <f>+Notenbogen!K6</f>
        <v>0</v>
      </c>
      <c r="H5" s="153" t="e">
        <f ca="1">+(F5+G5+G5)/(F6+G6+G6)</f>
        <v>#DIV/0!</v>
      </c>
      <c r="I5" s="152" t="e">
        <f ca="1">ROUNDUP(IF(Notenbogen!L6="",NB!H5,(1-FR)*NB!H5+FR*Notenbogen!L6),2)</f>
        <v>#DIV/0!</v>
      </c>
      <c r="J5" s="154" t="e">
        <f ca="1">IF(AND(gew=2,Notenbogen!Y5="Legasthenie"),(E5+I5)/2,IF(Notenbogen!$C$1="KA / mdl.",I5,(E5* gew+I5)/(1+gew)))</f>
        <v>#DIV/0!</v>
      </c>
      <c r="L5" s="151">
        <f ca="1">SUMPRODUCT(Notenbogen!P5:'Notenbogen'!S5,Notenbogen!$P$75:'Notenbogen'!$S$75)+D5</f>
        <v>0</v>
      </c>
      <c r="M5" s="152" t="e">
        <f ca="1">ROUNDUP(L5/L6,2)</f>
        <v>#DIV/0!</v>
      </c>
      <c r="N5" s="151">
        <f ca="1">SUMPRODUCT(Notenbogen!P6:'Notenbogen'!S6,Notenbogen!$P$76:'Notenbogen'!$S$76)+SUM(Notenbogen!T6:V6)+F5</f>
        <v>0</v>
      </c>
      <c r="O5" s="153">
        <f>SUM(Notenbogen!K6,Notenbogen!W6)</f>
        <v>0</v>
      </c>
      <c r="P5" s="153" t="e">
        <f ca="1">+(N5+O5+O5)/(N6+O6+O6)</f>
        <v>#DIV/0!</v>
      </c>
      <c r="Q5" s="152" t="e">
        <f ca="1">ROUNDUP(IF(COUNT(Notenbogen!L6,Notenbogen!X6)=2,"F",IF(COUNT(Notenbogen!L6,Notenbogen!X6)=0,P5,(1-FR)*P5+FR*(Notenbogen!L6+Notenbogen!X6))),2)</f>
        <v>#DIV/0!</v>
      </c>
      <c r="R5" s="154" t="e">
        <f ca="1">IF(AND(gew=2,Notenbogen!Y5="Legasthenie"),(M5+Q5)/2,IF(Notenbogen!$C$1="KA / mdl.",Q5,(M5* gew+Q5)/(1+gew)))</f>
        <v>#DIV/0!</v>
      </c>
      <c r="T5" s="181"/>
      <c r="U5" s="74"/>
      <c r="V5" s="42"/>
      <c r="W5" s="75"/>
      <c r="X5" s="71"/>
      <c r="Y5" s="467"/>
      <c r="Z5" s="115"/>
      <c r="AA5" s="63"/>
      <c r="AB5" s="65"/>
      <c r="AC5" s="68"/>
      <c r="AD5" s="69"/>
      <c r="AE5" s="70"/>
      <c r="AF5" s="76"/>
      <c r="AG5" s="77"/>
      <c r="AH5" s="65"/>
      <c r="AI5" s="78" t="s">
        <v>50</v>
      </c>
      <c r="AJ5" s="59">
        <v>15</v>
      </c>
      <c r="AK5" s="65"/>
      <c r="AL5" s="60">
        <f>I1SA!$H$30</f>
        <v>40</v>
      </c>
      <c r="AM5" s="353">
        <f>AL6+0.5</f>
        <v>38.5</v>
      </c>
      <c r="AN5" s="63">
        <f t="shared" ref="AN5:AN19" si="0">IF(AM5&gt;AL5,"ALARM",AL5-AL6)</f>
        <v>2</v>
      </c>
    </row>
    <row r="6" spans="1:40" s="155" customFormat="1" ht="12.75" customHeight="1" x14ac:dyDescent="0.2">
      <c r="B6" s="150">
        <f>IF(Notenbogen!B6="",0,Notenbogen!B6)</f>
        <v>0</v>
      </c>
      <c r="C6" s="157"/>
      <c r="D6" s="157">
        <f ca="1">SUMPRODUCT(D105:G105,Notenbogen!$D$75:'Notenbogen'!$G$75)</f>
        <v>0</v>
      </c>
      <c r="E6" s="158"/>
      <c r="F6" s="157">
        <f ca="1">SUMPRODUCT(D106:G106,Notenbogen!$D$76:'Notenbogen'!$G$76)+COUNT(Notenbogen!H6:J6)</f>
        <v>0</v>
      </c>
      <c r="G6" s="159">
        <f>COUNT(Notenbogen!K6)</f>
        <v>0</v>
      </c>
      <c r="H6" s="159"/>
      <c r="I6" s="158"/>
      <c r="J6" s="156" t="e">
        <f ca="1">IF(J5&lt;1,0,ROUNDUP(J5,2))</f>
        <v>#DIV/0!</v>
      </c>
      <c r="L6" s="157">
        <f ca="1">SUMPRODUCT(P105:S105,Notenbogen!$P$75:'Notenbogen'!$S$75)+D6</f>
        <v>0</v>
      </c>
      <c r="M6" s="158"/>
      <c r="N6" s="157">
        <f ca="1">SUMPRODUCT(P106:S106,Notenbogen!$P$76:'Notenbogen'!$S$76)+COUNT(Notenbogen!T6:V6)+F6</f>
        <v>0</v>
      </c>
      <c r="O6" s="159">
        <f>COUNT(Notenbogen!K6,Notenbogen!W6)</f>
        <v>0</v>
      </c>
      <c r="P6" s="159"/>
      <c r="Q6" s="158"/>
      <c r="R6" s="156" t="e">
        <f ca="1">IF(R5&lt;1,0,ROUNDUP(R5,2))</f>
        <v>#DIV/0!</v>
      </c>
      <c r="T6" s="181"/>
      <c r="U6" s="108">
        <f>+I1SA!A43</f>
        <v>0</v>
      </c>
      <c r="V6" s="110">
        <f>IF(I1SA!$H$32="M",AN5+U6,AN48+U6)</f>
        <v>2</v>
      </c>
      <c r="W6" s="380">
        <f>I1SA!$H$30</f>
        <v>40</v>
      </c>
      <c r="X6" s="353">
        <f>W7+0.5</f>
        <v>38.5</v>
      </c>
      <c r="Y6" s="56">
        <v>15</v>
      </c>
      <c r="Z6" s="117" t="str">
        <f>IF(ABS(IF(I1SA!$H$32="M",AL5-W6,AL48-W6))&gt;1,"ALARM"," ")</f>
        <v xml:space="preserve"> </v>
      </c>
      <c r="AA6" s="114" t="str">
        <f>IF(ABS(IF(I1SA!$H$32="M",AM5-X6,AM48-X6))&gt;1,"ALARM"," ")</f>
        <v xml:space="preserve"> </v>
      </c>
      <c r="AB6" s="65"/>
      <c r="AC6" s="78" t="s">
        <v>50</v>
      </c>
      <c r="AD6" s="59">
        <v>15</v>
      </c>
      <c r="AE6" s="65"/>
      <c r="AF6" s="60">
        <f>I1SA!$H$35+12*(100-I1SA!$H$35)/12</f>
        <v>100</v>
      </c>
      <c r="AG6" s="61">
        <f t="shared" ref="AG6:AG17" si="1">AF7+0.1</f>
        <v>95.1</v>
      </c>
      <c r="AH6" s="65"/>
      <c r="AI6" s="58">
        <v>1</v>
      </c>
      <c r="AJ6" s="59">
        <v>14</v>
      </c>
      <c r="AK6" s="65"/>
      <c r="AL6" s="60">
        <f>ROUNDDOWN(I1SA!$H$30*AF7/500,1)*5</f>
        <v>38</v>
      </c>
      <c r="AM6" s="353">
        <f t="shared" ref="AM6:AM18" si="2">AL7+0.5</f>
        <v>36.5</v>
      </c>
      <c r="AN6" s="63">
        <f t="shared" si="0"/>
        <v>2</v>
      </c>
    </row>
    <row r="7" spans="1:40" ht="12.75" customHeight="1" x14ac:dyDescent="0.2">
      <c r="B7" s="150">
        <f>IF(Notenbogen!B7="",0,Notenbogen!B7)</f>
        <v>0</v>
      </c>
      <c r="C7" s="160"/>
      <c r="D7" s="151">
        <f ca="1">SUMPRODUCT(Notenbogen!D7:'Notenbogen'!G7,Notenbogen!$D$75:'Notenbogen'!$G$75)</f>
        <v>0</v>
      </c>
      <c r="E7" s="152" t="e">
        <f ca="1">+ROUNDUP(D7/D8,2)</f>
        <v>#DIV/0!</v>
      </c>
      <c r="F7" s="151">
        <f ca="1">SUMPRODUCT(Notenbogen!D8:'Notenbogen'!G8,Notenbogen!$D$76:'Notenbogen'!$G$76)+SUM(Notenbogen!H8:J8)+A3</f>
        <v>0</v>
      </c>
      <c r="G7" s="153">
        <f>+Notenbogen!K8</f>
        <v>0</v>
      </c>
      <c r="H7" s="153" t="e">
        <f ca="1">+(F7+G7+G7)/(F8+G8+G8)</f>
        <v>#DIV/0!</v>
      </c>
      <c r="I7" s="152" t="e">
        <f ca="1">ROUNDUP(IF(Notenbogen!L8="",NB!H7,(1-FR)*NB!H7+FR*Notenbogen!L8),2)</f>
        <v>#DIV/0!</v>
      </c>
      <c r="J7" s="154" t="e">
        <f ca="1">IF(AND(gew=2,Notenbogen!Y7="Legasthenie"),(E7+I7)/2,IF(Notenbogen!$C$1="KA / mdl.",I7,(E7* gew+I7)/(1+gew)))</f>
        <v>#DIV/0!</v>
      </c>
      <c r="L7" s="151">
        <f ca="1">SUMPRODUCT(Notenbogen!P7:'Notenbogen'!S7,Notenbogen!$P$75:'Notenbogen'!$S$75)+D7</f>
        <v>0</v>
      </c>
      <c r="M7" s="152" t="e">
        <f ca="1">ROUNDUP(L7/L8,2)</f>
        <v>#DIV/0!</v>
      </c>
      <c r="N7" s="151">
        <f ca="1">SUMPRODUCT(Notenbogen!P8:'Notenbogen'!S8,Notenbogen!$P$76:'Notenbogen'!$S$76)+SUM(Notenbogen!T8:V8)+F7</f>
        <v>0</v>
      </c>
      <c r="O7" s="153">
        <f>SUM(Notenbogen!K8,Notenbogen!W8)</f>
        <v>0</v>
      </c>
      <c r="P7" s="153" t="e">
        <f ca="1">+(N7+O7+O7)/(N8+O8+O8)</f>
        <v>#DIV/0!</v>
      </c>
      <c r="Q7" s="152" t="e">
        <f ca="1">ROUNDUP(IF(COUNT(Notenbogen!L8,Notenbogen!X8)=2,"F",IF(COUNT(Notenbogen!L8,Notenbogen!X8)=0,P7,(1-FR)*P7+FR*(Notenbogen!L8+Notenbogen!X8))),2)</f>
        <v>#DIV/0!</v>
      </c>
      <c r="R7" s="154" t="e">
        <f ca="1">IF(AND(gew=2,Notenbogen!Y7="Legasthenie"),(M7+Q7)/2,IF(Notenbogen!$C$1="KA / mdl.",Q7,(M7* gew+Q7)/(1+gew)))</f>
        <v>#DIV/0!</v>
      </c>
      <c r="U7" s="84">
        <f>+I1SA!A44</f>
        <v>0</v>
      </c>
      <c r="V7" s="111">
        <f>IF(I1SA!$H$32="M",AN6+U7,AN49+U7)</f>
        <v>2</v>
      </c>
      <c r="W7" s="380">
        <f t="shared" ref="W7:W21" si="3">W6-V6</f>
        <v>38</v>
      </c>
      <c r="X7" s="353">
        <f t="shared" ref="X7:X20" si="4">W8+0.5</f>
        <v>36.5</v>
      </c>
      <c r="Y7" s="56">
        <v>14</v>
      </c>
      <c r="Z7" s="115" t="str">
        <f>IF(ABS(IF(I1SA!$H$32="M",AL6-W7,AL49-W7))&gt;1,"ALARM"," ")</f>
        <v xml:space="preserve"> </v>
      </c>
      <c r="AA7" s="63" t="str">
        <f>IF(ABS(IF(I1SA!$H$32="M",AM6-X7,AM49-X7))&gt;1,"ALARM"," ")</f>
        <v xml:space="preserve"> </v>
      </c>
      <c r="AB7" s="65"/>
      <c r="AC7" s="58">
        <v>1</v>
      </c>
      <c r="AD7" s="59">
        <v>14</v>
      </c>
      <c r="AE7" s="65"/>
      <c r="AF7" s="60">
        <f>I1SA!$H$35+11*(100-I1SA!$H$35)/12</f>
        <v>95</v>
      </c>
      <c r="AG7" s="61">
        <f t="shared" si="1"/>
        <v>90.1</v>
      </c>
      <c r="AH7" s="65"/>
      <c r="AI7" s="81" t="s">
        <v>22</v>
      </c>
      <c r="AJ7" s="69">
        <v>13</v>
      </c>
      <c r="AK7" s="70"/>
      <c r="AL7" s="60">
        <f>ROUNDDOWN(I1SA!$H$30*AF8/500,1)*5</f>
        <v>36</v>
      </c>
      <c r="AM7" s="353">
        <f t="shared" si="2"/>
        <v>34.5</v>
      </c>
      <c r="AN7" s="73">
        <f t="shared" si="0"/>
        <v>2</v>
      </c>
    </row>
    <row r="8" spans="1:40" ht="12.75" customHeight="1" x14ac:dyDescent="0.2">
      <c r="B8" s="150">
        <f>IF(Notenbogen!B8="",0,Notenbogen!B8)</f>
        <v>0</v>
      </c>
      <c r="C8" s="162"/>
      <c r="D8" s="157">
        <f ca="1">SUMPRODUCT(D107:G107,Notenbogen!$D$75:'Notenbogen'!$G$75)</f>
        <v>0</v>
      </c>
      <c r="E8" s="158"/>
      <c r="F8" s="157">
        <f ca="1">SUMPRODUCT(D108:G108,Notenbogen!$D$76:'Notenbogen'!$G$76)+COUNT(Notenbogen!H8:J8)</f>
        <v>0</v>
      </c>
      <c r="G8" s="159">
        <f>COUNT(Notenbogen!K8)</f>
        <v>0</v>
      </c>
      <c r="H8" s="159"/>
      <c r="I8" s="158"/>
      <c r="J8" s="156" t="e">
        <f ca="1">IF(J7&lt;1,0,ROUNDUP(J7,2))</f>
        <v>#DIV/0!</v>
      </c>
      <c r="L8" s="157">
        <f ca="1">SUMPRODUCT(P107:S107,Notenbogen!$P$75:'Notenbogen'!$S$75)+D8</f>
        <v>0</v>
      </c>
      <c r="M8" s="158"/>
      <c r="N8" s="157">
        <f ca="1">SUMPRODUCT(P108:S108,Notenbogen!$P$76:'Notenbogen'!$S$76)+COUNT(Notenbogen!T8:V8)+F8</f>
        <v>0</v>
      </c>
      <c r="O8" s="159">
        <f>COUNT(Notenbogen!K8,Notenbogen!W8)</f>
        <v>0</v>
      </c>
      <c r="P8" s="159"/>
      <c r="Q8" s="158"/>
      <c r="R8" s="156" t="e">
        <f ca="1">IF(R7&lt;1,0,ROUNDUP(R7,2))</f>
        <v>#DIV/0!</v>
      </c>
      <c r="U8" s="109">
        <f>+I1SA!A45</f>
        <v>0</v>
      </c>
      <c r="V8" s="111">
        <f>IF(I1SA!$H$32="M",AN7+U8,AN50+U8)</f>
        <v>2</v>
      </c>
      <c r="W8" s="381">
        <f t="shared" si="3"/>
        <v>36</v>
      </c>
      <c r="X8" s="353">
        <f t="shared" si="4"/>
        <v>34.5</v>
      </c>
      <c r="Y8" s="75">
        <v>13</v>
      </c>
      <c r="Z8" s="118" t="str">
        <f>IF(ABS(IF(I1SA!$H$32="M",AL7-W8,AL50-W8))&gt;1,"ALARM"," ")</f>
        <v xml:space="preserve"> </v>
      </c>
      <c r="AA8" s="73" t="str">
        <f>IF(ABS(IF(I1SA!$H$32="M",AM7-X8,AM50-X8))&gt;1,"ALARM"," ")</f>
        <v xml:space="preserve"> </v>
      </c>
      <c r="AB8" s="65"/>
      <c r="AC8" s="81" t="s">
        <v>22</v>
      </c>
      <c r="AD8" s="69">
        <v>13</v>
      </c>
      <c r="AE8" s="70"/>
      <c r="AF8" s="82">
        <f>I1SA!$H$35+10*(100-I1SA!$H$35)/12</f>
        <v>90</v>
      </c>
      <c r="AG8" s="83">
        <f t="shared" si="1"/>
        <v>85.1</v>
      </c>
      <c r="AH8" s="65"/>
      <c r="AI8" s="78" t="s">
        <v>50</v>
      </c>
      <c r="AJ8" s="59">
        <v>12</v>
      </c>
      <c r="AK8" s="65"/>
      <c r="AL8" s="60">
        <f>ROUNDDOWN(I1SA!$H$30*AF9/500,1)*5</f>
        <v>34</v>
      </c>
      <c r="AM8" s="353">
        <f t="shared" si="2"/>
        <v>32.5</v>
      </c>
      <c r="AN8" s="63">
        <f t="shared" si="0"/>
        <v>2</v>
      </c>
    </row>
    <row r="9" spans="1:40" ht="12.75" customHeight="1" x14ac:dyDescent="0.2">
      <c r="B9" s="150">
        <f>IF(Notenbogen!B9="",0,Notenbogen!B9)</f>
        <v>0</v>
      </c>
      <c r="C9" s="160"/>
      <c r="D9" s="151">
        <f ca="1">SUMPRODUCT(Notenbogen!D9:'Notenbogen'!G9,Notenbogen!$D$75:'Notenbogen'!$G$75)</f>
        <v>0</v>
      </c>
      <c r="E9" s="152" t="e">
        <f ca="1">+ROUNDUP(D9/D10,2)</f>
        <v>#DIV/0!</v>
      </c>
      <c r="F9" s="151">
        <f ca="1">SUMPRODUCT(Notenbogen!D10:'Notenbogen'!G10,Notenbogen!$D$76:'Notenbogen'!$G$76)+SUM(Notenbogen!H10:J10)+A5</f>
        <v>0</v>
      </c>
      <c r="G9" s="153">
        <f>+Notenbogen!K10</f>
        <v>0</v>
      </c>
      <c r="H9" s="153" t="e">
        <f ca="1">+(F9+G9+G9)/(F10+G10+G10)</f>
        <v>#DIV/0!</v>
      </c>
      <c r="I9" s="152" t="e">
        <f ca="1">ROUNDUP(IF(Notenbogen!L10="",NB!H9,(1-FR)*NB!H9+FR*Notenbogen!L10),2)</f>
        <v>#DIV/0!</v>
      </c>
      <c r="J9" s="154" t="e">
        <f ca="1">IF(AND(gew=2,Notenbogen!Y9="Legasthenie"),(E9+I9)/2,IF(Notenbogen!$C$1="KA / mdl.",I9,(E9* gew+I9)/(1+gew)))</f>
        <v>#DIV/0!</v>
      </c>
      <c r="L9" s="151">
        <f ca="1">SUMPRODUCT(Notenbogen!P9:'Notenbogen'!S9,Notenbogen!$P$75:'Notenbogen'!$S$75)+D9</f>
        <v>0</v>
      </c>
      <c r="M9" s="152" t="e">
        <f ca="1">ROUNDUP(L9/L10,2)</f>
        <v>#DIV/0!</v>
      </c>
      <c r="N9" s="151">
        <f ca="1">SUMPRODUCT(Notenbogen!P10:'Notenbogen'!S10,Notenbogen!$P$76:'Notenbogen'!$S$76)+SUM(Notenbogen!T10:V10)+F9</f>
        <v>0</v>
      </c>
      <c r="O9" s="153">
        <f>SUM(Notenbogen!K10,Notenbogen!W10)</f>
        <v>0</v>
      </c>
      <c r="P9" s="153" t="e">
        <f ca="1">+(N9+O9+O9)/(N10+O10+O10)</f>
        <v>#DIV/0!</v>
      </c>
      <c r="Q9" s="152" t="e">
        <f ca="1">ROUNDUP(IF(COUNT(Notenbogen!L10,Notenbogen!X10)=2,"F",IF(COUNT(Notenbogen!L10,Notenbogen!X10)=0,P9,(1-FR)*P9+FR*(Notenbogen!L10+Notenbogen!X10))),2)</f>
        <v>#DIV/0!</v>
      </c>
      <c r="R9" s="154" t="e">
        <f ca="1">IF(AND(gew=2,Notenbogen!Y9="Legasthenie"),(M9+Q9)/2,IF(Notenbogen!$C$1="KA / mdl.",Q9,(M9* gew+Q9)/(1+gew)))</f>
        <v>#DIV/0!</v>
      </c>
      <c r="U9" s="84">
        <f>+I1SA!A46</f>
        <v>0</v>
      </c>
      <c r="V9" s="110">
        <f>IF(I1SA!$H$32="M",AN8+U9,AN51+U9)</f>
        <v>2</v>
      </c>
      <c r="W9" s="380">
        <f t="shared" si="3"/>
        <v>34</v>
      </c>
      <c r="X9" s="353">
        <f t="shared" si="4"/>
        <v>32.5</v>
      </c>
      <c r="Y9" s="56">
        <v>12</v>
      </c>
      <c r="Z9" s="115" t="str">
        <f>IF(ABS(IF(I1SA!$H$32="M",AL8-W9,AL51-W9))&gt;1,"ALARM"," ")</f>
        <v xml:space="preserve"> </v>
      </c>
      <c r="AA9" s="63" t="str">
        <f>IF(ABS(IF(I1SA!$H$32="M",AM8-X9,AM51-X9))&gt;1,"ALARM"," ")</f>
        <v xml:space="preserve"> </v>
      </c>
      <c r="AB9" s="65"/>
      <c r="AC9" s="78" t="s">
        <v>50</v>
      </c>
      <c r="AD9" s="59">
        <v>12</v>
      </c>
      <c r="AE9" s="65"/>
      <c r="AF9" s="60">
        <f>I1SA!$H$35+9*(100-I1SA!$H$35)/12</f>
        <v>85</v>
      </c>
      <c r="AG9" s="61">
        <f t="shared" si="1"/>
        <v>80.099999999999994</v>
      </c>
      <c r="AH9" s="65"/>
      <c r="AI9" s="58">
        <v>2</v>
      </c>
      <c r="AJ9" s="59">
        <v>11</v>
      </c>
      <c r="AK9" s="65"/>
      <c r="AL9" s="60">
        <f>ROUNDDOWN(I1SA!$H$30*AF10/500,1)*5</f>
        <v>32</v>
      </c>
      <c r="AM9" s="353">
        <f t="shared" si="2"/>
        <v>30.5</v>
      </c>
      <c r="AN9" s="63">
        <f t="shared" si="0"/>
        <v>2</v>
      </c>
    </row>
    <row r="10" spans="1:40" ht="12.75" customHeight="1" x14ac:dyDescent="0.2">
      <c r="B10" s="150">
        <f>IF(Notenbogen!B10="",0,Notenbogen!B10)</f>
        <v>0</v>
      </c>
      <c r="C10" s="162"/>
      <c r="D10" s="157">
        <f ca="1">SUMPRODUCT(D109:G109,Notenbogen!$D$75:'Notenbogen'!$G$75)</f>
        <v>0</v>
      </c>
      <c r="E10" s="158"/>
      <c r="F10" s="157">
        <f ca="1">SUMPRODUCT(D110:G110,Notenbogen!$D$76:'Notenbogen'!$G$76)+COUNT(Notenbogen!H10:J10)</f>
        <v>0</v>
      </c>
      <c r="G10" s="159">
        <f>COUNT(Notenbogen!K10)</f>
        <v>0</v>
      </c>
      <c r="H10" s="159"/>
      <c r="I10" s="158"/>
      <c r="J10" s="156" t="e">
        <f ca="1">IF(J9&lt;1,0,ROUNDUP(J9,2))</f>
        <v>#DIV/0!</v>
      </c>
      <c r="L10" s="157">
        <f ca="1">SUMPRODUCT(P109:S109,Notenbogen!$P$75:'Notenbogen'!$S$75)+D10</f>
        <v>0</v>
      </c>
      <c r="M10" s="158"/>
      <c r="N10" s="157">
        <f ca="1">SUMPRODUCT(P110:S110,Notenbogen!$P$76:'Notenbogen'!$S$76)+COUNT(Notenbogen!T10:V10)+F10</f>
        <v>0</v>
      </c>
      <c r="O10" s="159">
        <f>COUNT(Notenbogen!K10,Notenbogen!W10)</f>
        <v>0</v>
      </c>
      <c r="P10" s="159"/>
      <c r="Q10" s="158"/>
      <c r="R10" s="156" t="e">
        <f ca="1">IF(R9&lt;1,0,ROUNDUP(R9,2))</f>
        <v>#DIV/0!</v>
      </c>
      <c r="U10" s="84">
        <f>+I1SA!A47</f>
        <v>0</v>
      </c>
      <c r="V10" s="111">
        <f>IF(I1SA!$H$32="M",AN9+U10,AN52+U10)</f>
        <v>2</v>
      </c>
      <c r="W10" s="380">
        <f t="shared" si="3"/>
        <v>32</v>
      </c>
      <c r="X10" s="353">
        <f t="shared" si="4"/>
        <v>30.5</v>
      </c>
      <c r="Y10" s="56">
        <v>11</v>
      </c>
      <c r="Z10" s="115" t="str">
        <f>IF(ABS(IF(I1SA!$H$32="M",AL9-W10,AL52-W10))&gt;1,"ALARM"," ")</f>
        <v xml:space="preserve"> </v>
      </c>
      <c r="AA10" s="63" t="str">
        <f>IF(ABS(IF(I1SA!$H$32="M",AM9-X10,AM52-X10))&gt;1,"ALARM"," ")</f>
        <v xml:space="preserve"> </v>
      </c>
      <c r="AB10" s="65"/>
      <c r="AC10" s="58">
        <v>2</v>
      </c>
      <c r="AD10" s="59">
        <v>11</v>
      </c>
      <c r="AE10" s="65"/>
      <c r="AF10" s="60">
        <f>I1SA!$H$35+8*(100-I1SA!$H$35)/12</f>
        <v>80</v>
      </c>
      <c r="AG10" s="61">
        <f t="shared" si="1"/>
        <v>75.099999999999994</v>
      </c>
      <c r="AH10" s="65"/>
      <c r="AI10" s="81" t="s">
        <v>22</v>
      </c>
      <c r="AJ10" s="69">
        <v>10</v>
      </c>
      <c r="AK10" s="70"/>
      <c r="AL10" s="60">
        <f>ROUNDDOWN(I1SA!$H$30*AF11/500,1)*5</f>
        <v>30</v>
      </c>
      <c r="AM10" s="353">
        <f t="shared" si="2"/>
        <v>28.5</v>
      </c>
      <c r="AN10" s="73">
        <f t="shared" si="0"/>
        <v>2</v>
      </c>
    </row>
    <row r="11" spans="1:40" ht="12.75" customHeight="1" x14ac:dyDescent="0.2">
      <c r="B11" s="150">
        <f>IF(Notenbogen!B11="",0,Notenbogen!B11)</f>
        <v>0</v>
      </c>
      <c r="C11" s="160"/>
      <c r="D11" s="151">
        <f ca="1">SUMPRODUCT(Notenbogen!D11:'Notenbogen'!G11,Notenbogen!$D$75:'Notenbogen'!$G$75)</f>
        <v>0</v>
      </c>
      <c r="E11" s="152" t="e">
        <f ca="1">+ROUNDUP(D11/D12,2)</f>
        <v>#DIV/0!</v>
      </c>
      <c r="F11" s="151">
        <f ca="1">SUMPRODUCT(Notenbogen!D12:'Notenbogen'!G12,Notenbogen!$D$76:'Notenbogen'!$G$76)+SUM(Notenbogen!H12:J12)+A7</f>
        <v>0</v>
      </c>
      <c r="G11" s="153">
        <f>+Notenbogen!K12</f>
        <v>0</v>
      </c>
      <c r="H11" s="153" t="e">
        <f ca="1">+(F11+G11+G11)/(F12+G12+G12)</f>
        <v>#DIV/0!</v>
      </c>
      <c r="I11" s="152" t="e">
        <f ca="1">ROUNDUP(IF(Notenbogen!L12="",NB!H11,(1-FR)*NB!H11+FR*Notenbogen!L12),2)</f>
        <v>#DIV/0!</v>
      </c>
      <c r="J11" s="154" t="e">
        <f ca="1">IF(AND(gew=2,Notenbogen!Y11="Legasthenie"),(E11+I11)/2,IF(Notenbogen!$C$1="KA / mdl.",I11,(E11* gew+I11)/(1+gew)))</f>
        <v>#DIV/0!</v>
      </c>
      <c r="L11" s="151">
        <f ca="1">SUMPRODUCT(Notenbogen!P11:'Notenbogen'!S11,Notenbogen!$P$75:'Notenbogen'!$S$75)+D11</f>
        <v>0</v>
      </c>
      <c r="M11" s="152" t="e">
        <f ca="1">ROUNDUP(L11/L12,2)</f>
        <v>#DIV/0!</v>
      </c>
      <c r="N11" s="151">
        <f ca="1">SUMPRODUCT(Notenbogen!P12:'Notenbogen'!S12,Notenbogen!$P$76:'Notenbogen'!$S$76)+SUM(Notenbogen!T12:V12)+F11</f>
        <v>0</v>
      </c>
      <c r="O11" s="153">
        <f>SUM(Notenbogen!K12,Notenbogen!W12)</f>
        <v>0</v>
      </c>
      <c r="P11" s="153" t="e">
        <f ca="1">+(N11+O11+O11)/(N12+O12+O12)</f>
        <v>#DIV/0!</v>
      </c>
      <c r="Q11" s="152" t="e">
        <f ca="1">ROUNDUP(IF(COUNT(Notenbogen!L12,Notenbogen!X12)=2,"F",IF(COUNT(Notenbogen!L12,Notenbogen!X12)=0,P11,(1-FR)*P11+FR*(Notenbogen!L12+Notenbogen!X12))),2)</f>
        <v>#DIV/0!</v>
      </c>
      <c r="R11" s="154" t="e">
        <f ca="1">IF(AND(gew=2,Notenbogen!Y11="Legasthenie"),(M11+Q11)/2,IF(Notenbogen!$C$1="KA / mdl.",Q11,(M11* gew+Q11)/(1+gew)))</f>
        <v>#DIV/0!</v>
      </c>
      <c r="U11" s="84">
        <f>+I1SA!A48</f>
        <v>0</v>
      </c>
      <c r="V11" s="113">
        <f>IF(I1SA!$H$32="M",AN10+U11,AN53+U11)</f>
        <v>2</v>
      </c>
      <c r="W11" s="381">
        <f t="shared" si="3"/>
        <v>30</v>
      </c>
      <c r="X11" s="353">
        <f t="shared" si="4"/>
        <v>28.5</v>
      </c>
      <c r="Y11" s="75">
        <v>10</v>
      </c>
      <c r="Z11" s="115" t="str">
        <f>IF(ABS(IF(I1SA!$H$32="M",AL10-W11,AL53-W11))&gt;1,"ALARM"," ")</f>
        <v xml:space="preserve"> </v>
      </c>
      <c r="AA11" s="63" t="str">
        <f>IF(ABS(IF(I1SA!$H$32="M",AM10-X11,AM53-X11))&gt;1,"ALARM"," ")</f>
        <v xml:space="preserve"> </v>
      </c>
      <c r="AB11" s="65"/>
      <c r="AC11" s="81" t="s">
        <v>22</v>
      </c>
      <c r="AD11" s="69">
        <v>10</v>
      </c>
      <c r="AE11" s="70"/>
      <c r="AF11" s="82">
        <f>I1SA!$H$35+7*(100-I1SA!$H$35)/12</f>
        <v>75</v>
      </c>
      <c r="AG11" s="83">
        <f t="shared" si="1"/>
        <v>70.099999999999994</v>
      </c>
      <c r="AH11" s="65"/>
      <c r="AI11" s="78" t="s">
        <v>50</v>
      </c>
      <c r="AJ11" s="59">
        <v>9</v>
      </c>
      <c r="AK11" s="65"/>
      <c r="AL11" s="60">
        <f>ROUNDDOWN(I1SA!$H$30*AF12/500,1)*5</f>
        <v>28</v>
      </c>
      <c r="AM11" s="353">
        <f t="shared" si="2"/>
        <v>26.5</v>
      </c>
      <c r="AN11" s="63">
        <f t="shared" si="0"/>
        <v>2</v>
      </c>
    </row>
    <row r="12" spans="1:40" ht="12.75" customHeight="1" x14ac:dyDescent="0.2">
      <c r="B12" s="150">
        <f>IF(Notenbogen!B12="",0,Notenbogen!B12)</f>
        <v>0</v>
      </c>
      <c r="C12" s="162"/>
      <c r="D12" s="157">
        <f ca="1">SUMPRODUCT(D111:G111,Notenbogen!$D$75:'Notenbogen'!$G$75)</f>
        <v>0</v>
      </c>
      <c r="E12" s="158"/>
      <c r="F12" s="157">
        <f ca="1">SUMPRODUCT(D112:G112,Notenbogen!$D$76:'Notenbogen'!$G$76)+COUNT(Notenbogen!H12:J12)</f>
        <v>0</v>
      </c>
      <c r="G12" s="159">
        <f>COUNT(Notenbogen!K12)</f>
        <v>0</v>
      </c>
      <c r="H12" s="159"/>
      <c r="I12" s="158"/>
      <c r="J12" s="156" t="e">
        <f ca="1">IF(J11&lt;1,0,ROUNDUP(J11,2))</f>
        <v>#DIV/0!</v>
      </c>
      <c r="L12" s="157">
        <f ca="1">SUMPRODUCT(P111:S111,Notenbogen!$P$75:'Notenbogen'!$S$75)+D12</f>
        <v>0</v>
      </c>
      <c r="M12" s="158"/>
      <c r="N12" s="157">
        <f ca="1">SUMPRODUCT(P112:S112,Notenbogen!$P$76:'Notenbogen'!$S$76)+COUNT(Notenbogen!T12:V12)+F12</f>
        <v>0</v>
      </c>
      <c r="O12" s="159">
        <f>COUNT(Notenbogen!K12,Notenbogen!W12)</f>
        <v>0</v>
      </c>
      <c r="P12" s="159"/>
      <c r="Q12" s="158"/>
      <c r="R12" s="156" t="e">
        <f ca="1">IF(R11&lt;1,0,ROUNDUP(R11,2))</f>
        <v>#DIV/0!</v>
      </c>
      <c r="U12" s="108">
        <f>+I1SA!A49</f>
        <v>0</v>
      </c>
      <c r="V12" s="111">
        <f>IF(I1SA!$H$32="M",AN11+U12,AN54+U12)</f>
        <v>2</v>
      </c>
      <c r="W12" s="380">
        <f t="shared" si="3"/>
        <v>28</v>
      </c>
      <c r="X12" s="353">
        <f t="shared" si="4"/>
        <v>26.5</v>
      </c>
      <c r="Y12" s="56">
        <v>9</v>
      </c>
      <c r="Z12" s="117" t="str">
        <f>IF(ABS(IF(I1SA!$H$32="M",AL11-W12,AL54-W12))&gt;1,"ALARM"," ")</f>
        <v xml:space="preserve"> </v>
      </c>
      <c r="AA12" s="114" t="str">
        <f>IF(ABS(IF(I1SA!$H$32="M",AM11-X12,AM54-X12))&gt;1,"ALARM"," ")</f>
        <v xml:space="preserve"> </v>
      </c>
      <c r="AB12" s="65"/>
      <c r="AC12" s="78" t="s">
        <v>50</v>
      </c>
      <c r="AD12" s="59">
        <v>9</v>
      </c>
      <c r="AE12" s="65"/>
      <c r="AF12" s="60">
        <f>I1SA!$H$35+6*(100-I1SA!$H$35)/12</f>
        <v>70</v>
      </c>
      <c r="AG12" s="61">
        <f t="shared" si="1"/>
        <v>65.099999999999994</v>
      </c>
      <c r="AH12" s="65"/>
      <c r="AI12" s="58">
        <v>3</v>
      </c>
      <c r="AJ12" s="59">
        <v>8</v>
      </c>
      <c r="AK12" s="65"/>
      <c r="AL12" s="60">
        <f>ROUNDDOWN(I1SA!$H$30*AF13/500,1)*5</f>
        <v>26</v>
      </c>
      <c r="AM12" s="353">
        <f t="shared" si="2"/>
        <v>24.5</v>
      </c>
      <c r="AN12" s="63">
        <f t="shared" si="0"/>
        <v>2</v>
      </c>
    </row>
    <row r="13" spans="1:40" ht="12.75" customHeight="1" x14ac:dyDescent="0.2">
      <c r="B13" s="150">
        <f>IF(Notenbogen!B13="",0,Notenbogen!B13)</f>
        <v>0</v>
      </c>
      <c r="C13" s="160"/>
      <c r="D13" s="151">
        <f ca="1">SUMPRODUCT(Notenbogen!D13:'Notenbogen'!G13,Notenbogen!$D$75:'Notenbogen'!$G$75)</f>
        <v>0</v>
      </c>
      <c r="E13" s="152" t="e">
        <f ca="1">+ROUNDUP(D13/D14,2)</f>
        <v>#DIV/0!</v>
      </c>
      <c r="F13" s="151">
        <f ca="1">SUMPRODUCT(Notenbogen!D14:'Notenbogen'!G14,Notenbogen!$D$76:'Notenbogen'!$G$76)+SUM(Notenbogen!H14:J14)+A9</f>
        <v>0</v>
      </c>
      <c r="G13" s="153">
        <f>+Notenbogen!K14</f>
        <v>0</v>
      </c>
      <c r="H13" s="153" t="e">
        <f ca="1">+(F13+G13+G13)/(F14+G14+G14)</f>
        <v>#DIV/0!</v>
      </c>
      <c r="I13" s="152" t="e">
        <f ca="1">ROUNDUP(IF(Notenbogen!L14="",NB!H13,(1-FR)*NB!H13+FR*Notenbogen!L14),2)</f>
        <v>#DIV/0!</v>
      </c>
      <c r="J13" s="154" t="e">
        <f ca="1">IF(AND(gew=2,Notenbogen!Y13="Legasthenie"),(E13+I13)/2,IF(Notenbogen!$C$1="KA / mdl.",I13,(E13* gew+I13)/(1+gew)))</f>
        <v>#DIV/0!</v>
      </c>
      <c r="L13" s="151">
        <f ca="1">SUMPRODUCT(Notenbogen!P13:'Notenbogen'!S13,Notenbogen!$P$75:'Notenbogen'!$S$75)+D13</f>
        <v>0</v>
      </c>
      <c r="M13" s="152" t="e">
        <f ca="1">ROUNDUP(L13/L14,2)</f>
        <v>#DIV/0!</v>
      </c>
      <c r="N13" s="151">
        <f ca="1">SUMPRODUCT(Notenbogen!P14:'Notenbogen'!S14,Notenbogen!$P$76:'Notenbogen'!$S$76)+SUM(Notenbogen!T14:V14)+F13</f>
        <v>0</v>
      </c>
      <c r="O13" s="153">
        <f>SUM(Notenbogen!K14,Notenbogen!W14)</f>
        <v>0</v>
      </c>
      <c r="P13" s="153" t="e">
        <f ca="1">+(N13+O13+O13)/(N14+O14+O14)</f>
        <v>#DIV/0!</v>
      </c>
      <c r="Q13" s="152" t="e">
        <f ca="1">ROUNDUP(IF(COUNT(Notenbogen!L14,Notenbogen!X14)=2,"F",IF(COUNT(Notenbogen!L14,Notenbogen!X14)=0,P13,(1-FR)*P13+FR*(Notenbogen!L14+Notenbogen!X14))),2)</f>
        <v>#DIV/0!</v>
      </c>
      <c r="R13" s="154" t="e">
        <f ca="1">IF(AND(gew=2,Notenbogen!Y13="Legasthenie"),(M13+Q13)/2,IF(Notenbogen!$C$1="KA / mdl.",Q13,(M13* gew+Q13)/(1+gew)))</f>
        <v>#DIV/0!</v>
      </c>
      <c r="U13" s="84">
        <f>+I1SA!A50</f>
        <v>0</v>
      </c>
      <c r="V13" s="111">
        <f>IF(I1SA!$H$32="M",AN12+U13,AN55+U13)</f>
        <v>2</v>
      </c>
      <c r="W13" s="380">
        <f t="shared" si="3"/>
        <v>26</v>
      </c>
      <c r="X13" s="353">
        <f t="shared" si="4"/>
        <v>24.5</v>
      </c>
      <c r="Y13" s="56">
        <v>8</v>
      </c>
      <c r="Z13" s="115" t="str">
        <f>IF(ABS(IF(I1SA!$H$32="M",AL12-W13,AL55-W13))&gt;1,"ALARM"," ")</f>
        <v xml:space="preserve"> </v>
      </c>
      <c r="AA13" s="63" t="str">
        <f>IF(ABS(IF(I1SA!$H$32="M",AM12-X13,AM55-X13))&gt;1,"ALARM"," ")</f>
        <v xml:space="preserve"> </v>
      </c>
      <c r="AB13" s="65"/>
      <c r="AC13" s="58">
        <v>3</v>
      </c>
      <c r="AD13" s="59">
        <v>8</v>
      </c>
      <c r="AE13" s="65"/>
      <c r="AF13" s="60">
        <f>I1SA!$H$35+5*(100-I1SA!$H$35)/12</f>
        <v>65</v>
      </c>
      <c r="AG13" s="61">
        <f t="shared" si="1"/>
        <v>60.1</v>
      </c>
      <c r="AH13" s="65"/>
      <c r="AI13" s="81" t="s">
        <v>22</v>
      </c>
      <c r="AJ13" s="69">
        <v>7</v>
      </c>
      <c r="AK13" s="70"/>
      <c r="AL13" s="60">
        <f>ROUNDDOWN(I1SA!$H$30*AF14/500,1)*5</f>
        <v>24</v>
      </c>
      <c r="AM13" s="353">
        <f t="shared" si="2"/>
        <v>22.5</v>
      </c>
      <c r="AN13" s="73">
        <f t="shared" si="0"/>
        <v>2</v>
      </c>
    </row>
    <row r="14" spans="1:40" ht="12.75" customHeight="1" x14ac:dyDescent="0.2">
      <c r="B14" s="150">
        <f>IF(Notenbogen!B14="",0,Notenbogen!B14)</f>
        <v>0</v>
      </c>
      <c r="C14" s="162"/>
      <c r="D14" s="157">
        <f ca="1">SUMPRODUCT(D113:G113,Notenbogen!$D$75:'Notenbogen'!$G$75)</f>
        <v>0</v>
      </c>
      <c r="E14" s="158"/>
      <c r="F14" s="157">
        <f ca="1">SUMPRODUCT(D114:G114,Notenbogen!$D$76:'Notenbogen'!$G$76)+COUNT(Notenbogen!H14:J14)</f>
        <v>0</v>
      </c>
      <c r="G14" s="159">
        <f>COUNT(Notenbogen!K14)</f>
        <v>0</v>
      </c>
      <c r="H14" s="159"/>
      <c r="I14" s="158"/>
      <c r="J14" s="156" t="e">
        <f ca="1">IF(J13&lt;1,0,ROUNDUP(J13,2))</f>
        <v>#DIV/0!</v>
      </c>
      <c r="L14" s="157">
        <f ca="1">SUMPRODUCT(P113:S113,Notenbogen!$P$75:'Notenbogen'!$S$75)+D14</f>
        <v>0</v>
      </c>
      <c r="M14" s="158"/>
      <c r="N14" s="157">
        <f ca="1">SUMPRODUCT(P114:S114,Notenbogen!$P$76:'Notenbogen'!$S$76)+COUNT(Notenbogen!T14:V14)+F14</f>
        <v>0</v>
      </c>
      <c r="O14" s="159">
        <f>COUNT(Notenbogen!K14,Notenbogen!W14)</f>
        <v>0</v>
      </c>
      <c r="P14" s="159"/>
      <c r="Q14" s="158"/>
      <c r="R14" s="156" t="e">
        <f ca="1">IF(R13&lt;1,0,ROUNDUP(R13,2))</f>
        <v>#DIV/0!</v>
      </c>
      <c r="U14" s="109">
        <f>+I1SA!A51</f>
        <v>0</v>
      </c>
      <c r="V14" s="111">
        <f>IF(I1SA!$H$32="M",AN13+U14,AN56+U14)</f>
        <v>2</v>
      </c>
      <c r="W14" s="381">
        <f t="shared" si="3"/>
        <v>24</v>
      </c>
      <c r="X14" s="353">
        <f t="shared" si="4"/>
        <v>22.5</v>
      </c>
      <c r="Y14" s="75">
        <v>7</v>
      </c>
      <c r="Z14" s="118" t="str">
        <f>IF(ABS(IF(I1SA!$H$32="M",AL13-W14,AL56-W14))&gt;1,"ALARM"," ")</f>
        <v xml:space="preserve"> </v>
      </c>
      <c r="AA14" s="73" t="str">
        <f>IF(ABS(IF(I1SA!$H$32="M",AM13-X14,AM56-X14))&gt;1,"ALARM"," ")</f>
        <v xml:space="preserve"> </v>
      </c>
      <c r="AB14" s="65"/>
      <c r="AC14" s="81" t="s">
        <v>22</v>
      </c>
      <c r="AD14" s="69">
        <v>7</v>
      </c>
      <c r="AE14" s="70"/>
      <c r="AF14" s="82">
        <f>I1SA!$H$35+4*(100-I1SA!$H$35)/12</f>
        <v>60</v>
      </c>
      <c r="AG14" s="83">
        <f t="shared" si="1"/>
        <v>55.1</v>
      </c>
      <c r="AH14" s="65"/>
      <c r="AI14" s="78" t="s">
        <v>50</v>
      </c>
      <c r="AJ14" s="59">
        <v>6</v>
      </c>
      <c r="AK14" s="65"/>
      <c r="AL14" s="60">
        <f>ROUNDDOWN(I1SA!$H$30*AF15/500,1)*5</f>
        <v>22</v>
      </c>
      <c r="AM14" s="353">
        <f t="shared" si="2"/>
        <v>20.5</v>
      </c>
      <c r="AN14" s="63">
        <f t="shared" si="0"/>
        <v>2</v>
      </c>
    </row>
    <row r="15" spans="1:40" ht="12.75" customHeight="1" x14ac:dyDescent="0.2">
      <c r="B15" s="150">
        <f>IF(Notenbogen!B15="",0,Notenbogen!B15)</f>
        <v>0</v>
      </c>
      <c r="C15" s="160"/>
      <c r="D15" s="151">
        <f ca="1">SUMPRODUCT(Notenbogen!D15:'Notenbogen'!G15,Notenbogen!$D$75:'Notenbogen'!$G$75)</f>
        <v>0</v>
      </c>
      <c r="E15" s="152" t="e">
        <f ca="1">+ROUNDUP(D15/D16,2)</f>
        <v>#DIV/0!</v>
      </c>
      <c r="F15" s="151">
        <f ca="1">SUMPRODUCT(Notenbogen!D16:'Notenbogen'!G16,Notenbogen!$D$76:'Notenbogen'!$G$76)+SUM(Notenbogen!H16:J16)+A11</f>
        <v>0</v>
      </c>
      <c r="G15" s="153">
        <f>+Notenbogen!K16</f>
        <v>0</v>
      </c>
      <c r="H15" s="153" t="e">
        <f ca="1">+(F15+G15+G15)/(F16+G16+G16)</f>
        <v>#DIV/0!</v>
      </c>
      <c r="I15" s="152" t="e">
        <f ca="1">ROUNDUP(IF(Notenbogen!L16="",NB!H15,(1-FR)*NB!H15+FR*Notenbogen!L16),2)</f>
        <v>#DIV/0!</v>
      </c>
      <c r="J15" s="154" t="e">
        <f ca="1">IF(AND(gew=2,Notenbogen!Y15="Legasthenie"),(E15+I15)/2,IF(Notenbogen!$C$1="KA / mdl.",I15,(E15* gew+I15)/(1+gew)))</f>
        <v>#DIV/0!</v>
      </c>
      <c r="L15" s="151">
        <f ca="1">SUMPRODUCT(Notenbogen!P15:'Notenbogen'!S15,Notenbogen!$P$75:'Notenbogen'!$S$75)+D15</f>
        <v>0</v>
      </c>
      <c r="M15" s="152" t="e">
        <f ca="1">ROUNDUP(L15/L16,2)</f>
        <v>#DIV/0!</v>
      </c>
      <c r="N15" s="151">
        <f ca="1">SUMPRODUCT(Notenbogen!P16:'Notenbogen'!S16,Notenbogen!$P$76:'Notenbogen'!$S$76)+SUM(Notenbogen!T16:V16)+F15</f>
        <v>0</v>
      </c>
      <c r="O15" s="153">
        <f>SUM(Notenbogen!K16,Notenbogen!W16)</f>
        <v>0</v>
      </c>
      <c r="P15" s="153" t="e">
        <f ca="1">+(N15+O15+O15)/(N16+O16+O16)</f>
        <v>#DIV/0!</v>
      </c>
      <c r="Q15" s="152" t="e">
        <f ca="1">ROUNDUP(IF(COUNT(Notenbogen!L16,Notenbogen!X16)=2,"F",IF(COUNT(Notenbogen!L16,Notenbogen!X16)=0,P15,(1-FR)*P15+FR*(Notenbogen!L16+Notenbogen!X16))),2)</f>
        <v>#DIV/0!</v>
      </c>
      <c r="R15" s="154" t="e">
        <f ca="1">IF(AND(gew=2,Notenbogen!Y15="Legasthenie"),(M15+Q15)/2,IF(Notenbogen!$C$1="KA / mdl.",Q15,(M15* gew+Q15)/(1+gew)))</f>
        <v>#DIV/0!</v>
      </c>
      <c r="U15" s="84">
        <f>+I1SA!A52</f>
        <v>0</v>
      </c>
      <c r="V15" s="110">
        <f>IF(I1SA!$H$32="M",AN14+U15,AN57+U15)</f>
        <v>2</v>
      </c>
      <c r="W15" s="380">
        <f t="shared" si="3"/>
        <v>22</v>
      </c>
      <c r="X15" s="353">
        <f t="shared" si="4"/>
        <v>20.5</v>
      </c>
      <c r="Y15" s="56">
        <v>6</v>
      </c>
      <c r="Z15" s="115" t="str">
        <f>IF(ABS(IF(I1SA!$H$32="M",AL14-W15,AL57-W15))&gt;1,"ALARM"," ")</f>
        <v xml:space="preserve"> </v>
      </c>
      <c r="AA15" s="63" t="str">
        <f>IF(ABS(IF(I1SA!$H$32="M",AM14-X15,AM57-X15))&gt;1,"ALARM"," ")</f>
        <v xml:space="preserve"> </v>
      </c>
      <c r="AB15" s="65"/>
      <c r="AC15" s="78" t="s">
        <v>50</v>
      </c>
      <c r="AD15" s="59">
        <v>6</v>
      </c>
      <c r="AE15" s="65"/>
      <c r="AF15" s="60">
        <f>I1SA!$H$35+3*(100-I1SA!$H$35)/12</f>
        <v>55</v>
      </c>
      <c r="AG15" s="61">
        <f t="shared" si="1"/>
        <v>50.1</v>
      </c>
      <c r="AH15" s="65"/>
      <c r="AI15" s="58">
        <v>4</v>
      </c>
      <c r="AJ15" s="59">
        <v>5</v>
      </c>
      <c r="AK15" s="65"/>
      <c r="AL15" s="60">
        <f>ROUNDDOWN(I1SA!$H$30*AF16/500,1)*5</f>
        <v>20</v>
      </c>
      <c r="AM15" s="353">
        <f t="shared" si="2"/>
        <v>18.5</v>
      </c>
      <c r="AN15" s="63">
        <f t="shared" si="0"/>
        <v>2</v>
      </c>
    </row>
    <row r="16" spans="1:40" ht="12.75" customHeight="1" x14ac:dyDescent="0.2">
      <c r="B16" s="150">
        <f>IF(Notenbogen!B16="",0,Notenbogen!B16)</f>
        <v>0</v>
      </c>
      <c r="C16" s="162"/>
      <c r="D16" s="157">
        <f ca="1">SUMPRODUCT(D115:G115,Notenbogen!$D$75:'Notenbogen'!$G$75)</f>
        <v>0</v>
      </c>
      <c r="E16" s="158"/>
      <c r="F16" s="157">
        <f ca="1">SUMPRODUCT(D116:G116,Notenbogen!$D$76:'Notenbogen'!$G$76)+COUNT(Notenbogen!H16:J16)</f>
        <v>0</v>
      </c>
      <c r="G16" s="159">
        <f>COUNT(Notenbogen!K16)</f>
        <v>0</v>
      </c>
      <c r="H16" s="159"/>
      <c r="I16" s="158"/>
      <c r="J16" s="156" t="e">
        <f ca="1">IF(J15&lt;1,0,ROUNDUP(J15,2))</f>
        <v>#DIV/0!</v>
      </c>
      <c r="L16" s="157">
        <f ca="1">SUMPRODUCT(P115:S115,Notenbogen!$P$75:'Notenbogen'!$S$75)+D16</f>
        <v>0</v>
      </c>
      <c r="M16" s="158"/>
      <c r="N16" s="157">
        <f ca="1">SUMPRODUCT(P116:S116,Notenbogen!$P$76:'Notenbogen'!$S$76)+COUNT(Notenbogen!T16:V16)+F16</f>
        <v>0</v>
      </c>
      <c r="O16" s="159">
        <f>COUNT(Notenbogen!K16,Notenbogen!W16)</f>
        <v>0</v>
      </c>
      <c r="P16" s="159"/>
      <c r="Q16" s="158"/>
      <c r="R16" s="156" t="e">
        <f ca="1">IF(R15&lt;1,0,ROUNDUP(R15,2))</f>
        <v>#DIV/0!</v>
      </c>
      <c r="U16" s="84">
        <f>+I1SA!A53</f>
        <v>0</v>
      </c>
      <c r="V16" s="111">
        <f>IF(I1SA!$H$32="M",AN15+U16,AN58+U16)</f>
        <v>2</v>
      </c>
      <c r="W16" s="380">
        <f t="shared" si="3"/>
        <v>20</v>
      </c>
      <c r="X16" s="353">
        <f t="shared" si="4"/>
        <v>18.5</v>
      </c>
      <c r="Y16" s="56">
        <v>5</v>
      </c>
      <c r="Z16" s="115" t="str">
        <f>IF(ABS(IF(I1SA!$H$32="M",AL15-W16,AL58-W16))&gt;1,"ALARM"," ")</f>
        <v xml:space="preserve"> </v>
      </c>
      <c r="AA16" s="63" t="str">
        <f>IF(ABS(IF(I1SA!$H$32="M",AM15-X16,AM58-X16))&gt;1,"ALARM"," ")</f>
        <v xml:space="preserve"> </v>
      </c>
      <c r="AB16" s="65"/>
      <c r="AC16" s="58">
        <v>4</v>
      </c>
      <c r="AD16" s="59">
        <v>5</v>
      </c>
      <c r="AE16" s="65"/>
      <c r="AF16" s="60">
        <f>I1SA!$H$35+2*(100-I1SA!$H$35)/12</f>
        <v>50</v>
      </c>
      <c r="AG16" s="61">
        <f t="shared" si="1"/>
        <v>45.1</v>
      </c>
      <c r="AH16" s="65"/>
      <c r="AI16" s="81" t="s">
        <v>22</v>
      </c>
      <c r="AJ16" s="69">
        <v>4</v>
      </c>
      <c r="AK16" s="70"/>
      <c r="AL16" s="60">
        <f>ROUNDDOWN(I1SA!$H$30*AF17/500,1)*5</f>
        <v>18</v>
      </c>
      <c r="AM16" s="353">
        <f t="shared" si="2"/>
        <v>16.5</v>
      </c>
      <c r="AN16" s="73">
        <f t="shared" si="0"/>
        <v>2</v>
      </c>
    </row>
    <row r="17" spans="2:40" ht="12.75" customHeight="1" x14ac:dyDescent="0.2">
      <c r="B17" s="150">
        <f>IF(Notenbogen!B17="",0,Notenbogen!B17)</f>
        <v>0</v>
      </c>
      <c r="C17" s="160"/>
      <c r="D17" s="151">
        <f ca="1">SUMPRODUCT(Notenbogen!D17:'Notenbogen'!G17,Notenbogen!$D$75:'Notenbogen'!$G$75)</f>
        <v>0</v>
      </c>
      <c r="E17" s="152" t="e">
        <f ca="1">+ROUNDUP(D17/D18,2)</f>
        <v>#DIV/0!</v>
      </c>
      <c r="F17" s="151">
        <f ca="1">SUMPRODUCT(Notenbogen!D18:'Notenbogen'!G18,Notenbogen!$D$76:'Notenbogen'!$G$76)+SUM(Notenbogen!H18:J18)+A13</f>
        <v>0</v>
      </c>
      <c r="G17" s="153">
        <f>+Notenbogen!K18</f>
        <v>0</v>
      </c>
      <c r="H17" s="153" t="e">
        <f ca="1">+(F17+G17+G17)/(F18+G18+G18)</f>
        <v>#DIV/0!</v>
      </c>
      <c r="I17" s="152" t="e">
        <f ca="1">ROUNDUP(IF(Notenbogen!L18="",NB!H17,(1-FR)*NB!H17+FR*Notenbogen!L18),2)</f>
        <v>#DIV/0!</v>
      </c>
      <c r="J17" s="154" t="e">
        <f ca="1">IF(AND(gew=2,Notenbogen!Y17="Legasthenie"),(E17+I17)/2,IF(Notenbogen!$C$1="KA / mdl.",I17,(E17* gew+I17)/(1+gew)))</f>
        <v>#DIV/0!</v>
      </c>
      <c r="L17" s="151">
        <f ca="1">SUMPRODUCT(Notenbogen!P17:'Notenbogen'!S17,Notenbogen!$P$75:'Notenbogen'!$S$75)+D17</f>
        <v>0</v>
      </c>
      <c r="M17" s="152" t="e">
        <f ca="1">ROUNDUP(L17/L18,2)</f>
        <v>#DIV/0!</v>
      </c>
      <c r="N17" s="151">
        <f ca="1">SUMPRODUCT(Notenbogen!P18:'Notenbogen'!S18,Notenbogen!$P$76:'Notenbogen'!$S$76)+SUM(Notenbogen!T18:V18)+F17</f>
        <v>0</v>
      </c>
      <c r="O17" s="153">
        <f>SUM(Notenbogen!K18,Notenbogen!W18)</f>
        <v>0</v>
      </c>
      <c r="P17" s="153" t="e">
        <f ca="1">+(N17+O17+O17)/(N18+O18+O18)</f>
        <v>#DIV/0!</v>
      </c>
      <c r="Q17" s="152" t="e">
        <f ca="1">ROUNDUP(IF(COUNT(Notenbogen!L18,Notenbogen!X18)=2,"F",IF(COUNT(Notenbogen!L18,Notenbogen!X18)=0,P17,(1-FR)*P17+FR*(Notenbogen!L18+Notenbogen!X18))),2)</f>
        <v>#DIV/0!</v>
      </c>
      <c r="R17" s="154" t="e">
        <f ca="1">IF(AND(gew=2,Notenbogen!Y17="Legasthenie"),(M17+Q17)/2,IF(Notenbogen!$C$1="KA / mdl.",Q17,(M17* gew+Q17)/(1+gew)))</f>
        <v>#DIV/0!</v>
      </c>
      <c r="U17" s="84">
        <f>+I1SA!A54</f>
        <v>0</v>
      </c>
      <c r="V17" s="113">
        <f>IF(I1SA!$H$32="M",AN16+U17,AN59+U17)</f>
        <v>2</v>
      </c>
      <c r="W17" s="381">
        <f t="shared" si="3"/>
        <v>18</v>
      </c>
      <c r="X17" s="353">
        <f t="shared" si="4"/>
        <v>16.5</v>
      </c>
      <c r="Y17" s="75">
        <v>4</v>
      </c>
      <c r="Z17" s="115" t="str">
        <f>IF(ABS(IF(I1SA!$H$32="M",AL16-W17,AL59-W17))&gt;1,"ALARM"," ")</f>
        <v xml:space="preserve"> </v>
      </c>
      <c r="AA17" s="63" t="str">
        <f>IF(ABS(IF(I1SA!$H$32="M",AM16-X17,AM59-X17))&gt;1,"ALARM"," ")</f>
        <v xml:space="preserve"> </v>
      </c>
      <c r="AB17" s="65"/>
      <c r="AC17" s="81" t="s">
        <v>22</v>
      </c>
      <c r="AD17" s="69">
        <v>4</v>
      </c>
      <c r="AE17" s="70"/>
      <c r="AF17" s="82">
        <f>I1SA!$H$35+1*(100-I1SA!$H$35)/12</f>
        <v>45</v>
      </c>
      <c r="AG17" s="83">
        <f t="shared" si="1"/>
        <v>40.1</v>
      </c>
      <c r="AH17" s="65"/>
      <c r="AI17" s="78" t="s">
        <v>50</v>
      </c>
      <c r="AJ17" s="59">
        <v>3</v>
      </c>
      <c r="AK17" s="65"/>
      <c r="AL17" s="60">
        <f>ROUNDDOWN(I1SA!$H$30*AF18/500,1)*5</f>
        <v>16</v>
      </c>
      <c r="AM17" s="353">
        <f t="shared" si="2"/>
        <v>13.5</v>
      </c>
      <c r="AN17" s="63">
        <f t="shared" si="0"/>
        <v>3</v>
      </c>
    </row>
    <row r="18" spans="2:40" ht="12.75" customHeight="1" x14ac:dyDescent="0.2">
      <c r="B18" s="150">
        <f>IF(Notenbogen!B18="",0,Notenbogen!B18)</f>
        <v>0</v>
      </c>
      <c r="C18" s="162"/>
      <c r="D18" s="157">
        <f ca="1">SUMPRODUCT(D117:G117,Notenbogen!$D$75:'Notenbogen'!$G$75)</f>
        <v>0</v>
      </c>
      <c r="E18" s="158"/>
      <c r="F18" s="157">
        <f ca="1">SUMPRODUCT(D118:G118,Notenbogen!$D$76:'Notenbogen'!$G$76)+COUNT(Notenbogen!H18:J18)</f>
        <v>0</v>
      </c>
      <c r="G18" s="159">
        <f>COUNT(Notenbogen!K18)</f>
        <v>0</v>
      </c>
      <c r="H18" s="159"/>
      <c r="I18" s="158"/>
      <c r="J18" s="156" t="e">
        <f ca="1">IF(J17&lt;1,0,ROUNDUP(J17,2))</f>
        <v>#DIV/0!</v>
      </c>
      <c r="L18" s="157">
        <f ca="1">SUMPRODUCT(P117:S117,Notenbogen!$P$75:'Notenbogen'!$S$75)+D18</f>
        <v>0</v>
      </c>
      <c r="M18" s="158"/>
      <c r="N18" s="157">
        <f ca="1">SUMPRODUCT(P118:S118,Notenbogen!$P$76:'Notenbogen'!$S$76)+COUNT(Notenbogen!T18:V18)+F18</f>
        <v>0</v>
      </c>
      <c r="O18" s="159">
        <f>COUNT(Notenbogen!K18,Notenbogen!W18)</f>
        <v>0</v>
      </c>
      <c r="P18" s="159"/>
      <c r="Q18" s="158"/>
      <c r="R18" s="156" t="e">
        <f ca="1">IF(R17&lt;1,0,ROUNDUP(R17,2))</f>
        <v>#DIV/0!</v>
      </c>
      <c r="U18" s="108">
        <f>+I1SA!A55</f>
        <v>0</v>
      </c>
      <c r="V18" s="110">
        <f>IF(I1SA!$H$32="M",AN17+U18,AN60+U18)</f>
        <v>3</v>
      </c>
      <c r="W18" s="380">
        <f t="shared" si="3"/>
        <v>16</v>
      </c>
      <c r="X18" s="353">
        <f t="shared" si="4"/>
        <v>13.5</v>
      </c>
      <c r="Y18" s="56">
        <v>3</v>
      </c>
      <c r="Z18" s="117" t="str">
        <f>IF(ABS(IF(I1SA!$H$32="M",AL17-W18,AL60-W18))&gt;1,"ALARM"," ")</f>
        <v xml:space="preserve"> </v>
      </c>
      <c r="AA18" s="114" t="str">
        <f>IF(ABS(IF(I1SA!$H$32="M",AM17-X18,AM60-X18))&gt;1,"ALARM"," ")</f>
        <v xml:space="preserve"> </v>
      </c>
      <c r="AB18" s="65"/>
      <c r="AC18" s="78" t="s">
        <v>50</v>
      </c>
      <c r="AD18" s="59">
        <v>3</v>
      </c>
      <c r="AE18" s="65"/>
      <c r="AF18" s="60">
        <f>I1SA!$H$35</f>
        <v>40</v>
      </c>
      <c r="AG18" s="61">
        <f>AF19+0.01</f>
        <v>33.343333333333334</v>
      </c>
      <c r="AH18" s="65"/>
      <c r="AI18" s="58">
        <v>5</v>
      </c>
      <c r="AJ18" s="59">
        <v>2</v>
      </c>
      <c r="AK18" s="65"/>
      <c r="AL18" s="60">
        <f>ROUNDDOWN(I1SA!$H$30*AF19/500,1)*5</f>
        <v>13</v>
      </c>
      <c r="AM18" s="353">
        <f t="shared" si="2"/>
        <v>11</v>
      </c>
      <c r="AN18" s="63">
        <f t="shared" si="0"/>
        <v>2.5</v>
      </c>
    </row>
    <row r="19" spans="2:40" ht="12.75" customHeight="1" x14ac:dyDescent="0.2">
      <c r="B19" s="150">
        <f>IF(Notenbogen!B19="",0,Notenbogen!B19)</f>
        <v>0</v>
      </c>
      <c r="C19" s="160"/>
      <c r="D19" s="151">
        <f ca="1">SUMPRODUCT(Notenbogen!D19:'Notenbogen'!G19,Notenbogen!$D$75:'Notenbogen'!$G$75)</f>
        <v>0</v>
      </c>
      <c r="E19" s="152" t="e">
        <f ca="1">+ROUNDUP(D19/D20,2)</f>
        <v>#DIV/0!</v>
      </c>
      <c r="F19" s="151">
        <f ca="1">SUMPRODUCT(Notenbogen!D20:'Notenbogen'!G20,Notenbogen!$D$76:'Notenbogen'!$G$76)+SUM(Notenbogen!H20:J20)+A15</f>
        <v>0</v>
      </c>
      <c r="G19" s="153">
        <f>+Notenbogen!K20</f>
        <v>0</v>
      </c>
      <c r="H19" s="153" t="e">
        <f ca="1">+(F19+G19+G19)/(F20+G20+G20)</f>
        <v>#DIV/0!</v>
      </c>
      <c r="I19" s="152" t="e">
        <f ca="1">ROUNDUP(IF(Notenbogen!L20="",NB!H19,(1-FR)*NB!H19+FR*Notenbogen!L20),2)</f>
        <v>#DIV/0!</v>
      </c>
      <c r="J19" s="154" t="e">
        <f ca="1">IF(AND(gew=2,Notenbogen!Y19="Legasthenie"),(E19+I19)/2,IF(Notenbogen!$C$1="KA / mdl.",I19,(E19* gew+I19)/(1+gew)))</f>
        <v>#DIV/0!</v>
      </c>
      <c r="L19" s="151">
        <f ca="1">SUMPRODUCT(Notenbogen!P19:'Notenbogen'!S19,Notenbogen!$P$75:'Notenbogen'!$S$75)+D19</f>
        <v>0</v>
      </c>
      <c r="M19" s="152" t="e">
        <f ca="1">ROUNDUP(L19/L20,2)</f>
        <v>#DIV/0!</v>
      </c>
      <c r="N19" s="151">
        <f ca="1">SUMPRODUCT(Notenbogen!P20:'Notenbogen'!S20,Notenbogen!$P$76:'Notenbogen'!$S$76)+SUM(Notenbogen!T20:V20)+F19</f>
        <v>0</v>
      </c>
      <c r="O19" s="153">
        <f>SUM(Notenbogen!K20,Notenbogen!W20)</f>
        <v>0</v>
      </c>
      <c r="P19" s="153" t="e">
        <f ca="1">+(N19+O19+O19)/(N20+O20+O20)</f>
        <v>#DIV/0!</v>
      </c>
      <c r="Q19" s="152" t="e">
        <f ca="1">ROUNDUP(IF(COUNT(Notenbogen!L20,Notenbogen!X20)=2,"F",IF(COUNT(Notenbogen!L20,Notenbogen!X20)=0,P19,(1-FR)*P19+FR*(Notenbogen!L20+Notenbogen!X20))),2)</f>
        <v>#DIV/0!</v>
      </c>
      <c r="R19" s="154" t="e">
        <f ca="1">IF(AND(gew=2,Notenbogen!Y19="Legasthenie"),(M19+Q19)/2,IF(Notenbogen!$C$1="KA / mdl.",Q19,(M19* gew+Q19)/(1+gew)))</f>
        <v>#DIV/0!</v>
      </c>
      <c r="U19" s="84">
        <f>+I1SA!A56</f>
        <v>0</v>
      </c>
      <c r="V19" s="111">
        <f>IF(I1SA!$H$32="M",AN18+U19,AN61+U19)</f>
        <v>2.5</v>
      </c>
      <c r="W19" s="380">
        <f t="shared" si="3"/>
        <v>13</v>
      </c>
      <c r="X19" s="353">
        <f t="shared" si="4"/>
        <v>11</v>
      </c>
      <c r="Y19" s="56">
        <v>2</v>
      </c>
      <c r="Z19" s="115" t="str">
        <f>IF(ABS(IF(I1SA!$H$32="M",AL18-W19,AL61-W19))&gt;1,"ALARM"," ")</f>
        <v xml:space="preserve"> </v>
      </c>
      <c r="AA19" s="63" t="str">
        <f>IF(ABS(IF(I1SA!$H$32="M",AM18-X19,AM61-X19))&gt;1,"ALARM"," ")</f>
        <v xml:space="preserve"> </v>
      </c>
      <c r="AB19" s="65"/>
      <c r="AC19" s="58">
        <v>5</v>
      </c>
      <c r="AD19" s="59">
        <v>2</v>
      </c>
      <c r="AE19" s="65"/>
      <c r="AF19" s="60">
        <f>AG20+2*(AF18-AG20)/3</f>
        <v>33.333333333333336</v>
      </c>
      <c r="AG19" s="61">
        <f>AF20+0.01</f>
        <v>26.676666666666669</v>
      </c>
      <c r="AH19" s="65"/>
      <c r="AI19" s="81" t="s">
        <v>22</v>
      </c>
      <c r="AJ19" s="69">
        <v>1</v>
      </c>
      <c r="AK19" s="70"/>
      <c r="AL19" s="60">
        <f>ROUNDDOWN(I1SA!$H$30*AF20/500,1)*5</f>
        <v>10.5</v>
      </c>
      <c r="AM19" s="361">
        <f>ROUNDUP(I1SA!$H$30*(I1SA!$H$34/500),1)*5</f>
        <v>8</v>
      </c>
      <c r="AN19" s="73">
        <f t="shared" si="0"/>
        <v>3</v>
      </c>
    </row>
    <row r="20" spans="2:40" ht="12.75" customHeight="1" thickBot="1" x14ac:dyDescent="0.25">
      <c r="B20" s="150">
        <f>IF(Notenbogen!B20="",0,Notenbogen!B20)</f>
        <v>0</v>
      </c>
      <c r="C20" s="162"/>
      <c r="D20" s="157">
        <f ca="1">SUMPRODUCT(D119:G119,Notenbogen!$D$75:'Notenbogen'!$G$75)</f>
        <v>0</v>
      </c>
      <c r="E20" s="158"/>
      <c r="F20" s="157">
        <f ca="1">SUMPRODUCT(D120:G120,Notenbogen!$D$76:'Notenbogen'!$G$76)+COUNT(Notenbogen!H20:J20)</f>
        <v>0</v>
      </c>
      <c r="G20" s="159">
        <f>COUNT(Notenbogen!K20)</f>
        <v>0</v>
      </c>
      <c r="H20" s="159"/>
      <c r="I20" s="158"/>
      <c r="J20" s="156" t="e">
        <f ca="1">IF(J19&lt;1,0,ROUNDUP(J19,2))</f>
        <v>#DIV/0!</v>
      </c>
      <c r="L20" s="157">
        <f ca="1">SUMPRODUCT(P119:S119,Notenbogen!$P$75:'Notenbogen'!$S$75)+D20</f>
        <v>0</v>
      </c>
      <c r="M20" s="158"/>
      <c r="N20" s="157">
        <f ca="1">SUMPRODUCT(P120:S120,Notenbogen!$P$76:'Notenbogen'!$S$76)+COUNT(Notenbogen!T20:V20)+F20</f>
        <v>0</v>
      </c>
      <c r="O20" s="159">
        <f>COUNT(Notenbogen!K20,Notenbogen!W20)</f>
        <v>0</v>
      </c>
      <c r="P20" s="159"/>
      <c r="Q20" s="158"/>
      <c r="R20" s="156" t="e">
        <f ca="1">IF(R19&lt;1,0,ROUNDUP(R19,2))</f>
        <v>#DIV/0!</v>
      </c>
      <c r="U20" s="109">
        <f>+I1SA!A57</f>
        <v>0</v>
      </c>
      <c r="V20" s="113">
        <f>IF(I1SA!$H$32="M",AN19+U20,AN62+U20)</f>
        <v>3</v>
      </c>
      <c r="W20" s="381">
        <f t="shared" si="3"/>
        <v>10.5</v>
      </c>
      <c r="X20" s="353">
        <f t="shared" si="4"/>
        <v>8</v>
      </c>
      <c r="Y20" s="75">
        <v>1</v>
      </c>
      <c r="Z20" s="118" t="str">
        <f>IF(ABS(IF(I1SA!$H$32="M",AL19-W20,AL62-W20))&gt;1,"ALARM"," ")</f>
        <v xml:space="preserve"> </v>
      </c>
      <c r="AA20" s="73" t="str">
        <f>IF(ABS(IF(I1SA!$H$32="M",AM19-X20,AM62-X20))&gt;1,"ALARM"," ")</f>
        <v xml:space="preserve"> </v>
      </c>
      <c r="AB20" s="65"/>
      <c r="AC20" s="81" t="s">
        <v>22</v>
      </c>
      <c r="AD20" s="69">
        <v>1</v>
      </c>
      <c r="AE20" s="70"/>
      <c r="AF20" s="82">
        <f>AG20+(AF18-AG20)/3</f>
        <v>26.666666666666668</v>
      </c>
      <c r="AG20" s="83">
        <f>I1SA!$H$34</f>
        <v>20</v>
      </c>
      <c r="AH20" s="65"/>
      <c r="AI20" s="89">
        <v>6</v>
      </c>
      <c r="AJ20" s="90">
        <v>0</v>
      </c>
      <c r="AK20" s="91"/>
      <c r="AL20" s="96">
        <f>AM19-0.5</f>
        <v>7.5</v>
      </c>
      <c r="AM20" s="362">
        <v>0</v>
      </c>
      <c r="AN20" s="94">
        <f>IF(AM20&gt;AM19,"ALARM",AL20)</f>
        <v>7.5</v>
      </c>
    </row>
    <row r="21" spans="2:40" ht="12.75" customHeight="1" thickBot="1" x14ac:dyDescent="0.25">
      <c r="B21" s="150">
        <f>IF(Notenbogen!B21="",0,Notenbogen!B21)</f>
        <v>0</v>
      </c>
      <c r="C21" s="160"/>
      <c r="D21" s="151">
        <f ca="1">SUMPRODUCT(Notenbogen!D21:'Notenbogen'!G21,Notenbogen!$D$75:'Notenbogen'!$G$75)</f>
        <v>0</v>
      </c>
      <c r="E21" s="152" t="e">
        <f ca="1">+ROUNDUP(D21/D22,2)</f>
        <v>#DIV/0!</v>
      </c>
      <c r="F21" s="151">
        <f ca="1">SUMPRODUCT(Notenbogen!D22:'Notenbogen'!G22,Notenbogen!$D$76:'Notenbogen'!$G$76)+SUM(Notenbogen!H22:J22)+A17</f>
        <v>0</v>
      </c>
      <c r="G21" s="153">
        <f>+Notenbogen!K22</f>
        <v>0</v>
      </c>
      <c r="H21" s="153" t="e">
        <f ca="1">+(F21+G21+G21)/(F22+G22+G22)</f>
        <v>#DIV/0!</v>
      </c>
      <c r="I21" s="152" t="e">
        <f ca="1">ROUNDUP(IF(Notenbogen!L22="",NB!H21,(1-FR)*NB!H21+FR*Notenbogen!L22),2)</f>
        <v>#DIV/0!</v>
      </c>
      <c r="J21" s="154" t="e">
        <f ca="1">IF(AND(gew=2,Notenbogen!Y21="Legasthenie"),(E21+I21)/2,IF(Notenbogen!$C$1="KA / mdl.",I21,(E21* gew+I21)/(1+gew)))</f>
        <v>#DIV/0!</v>
      </c>
      <c r="L21" s="151">
        <f ca="1">SUMPRODUCT(Notenbogen!P21:'Notenbogen'!S21,Notenbogen!$P$75:'Notenbogen'!$S$75)+D21</f>
        <v>0</v>
      </c>
      <c r="M21" s="152" t="e">
        <f ca="1">ROUNDUP(L21/L22,2)</f>
        <v>#DIV/0!</v>
      </c>
      <c r="N21" s="151">
        <f ca="1">SUMPRODUCT(Notenbogen!P22:'Notenbogen'!S22,Notenbogen!$P$76:'Notenbogen'!$S$76)+SUM(Notenbogen!T22:V22)+F21</f>
        <v>0</v>
      </c>
      <c r="O21" s="153">
        <f>SUM(Notenbogen!K22,Notenbogen!W22)</f>
        <v>0</v>
      </c>
      <c r="P21" s="153" t="e">
        <f ca="1">+(N21+O21+O21)/(N22+O22+O22)</f>
        <v>#DIV/0!</v>
      </c>
      <c r="Q21" s="152" t="e">
        <f ca="1">ROUNDUP(IF(COUNT(Notenbogen!L22,Notenbogen!X22)=2,"F",IF(COUNT(Notenbogen!L22,Notenbogen!X22)=0,P21,(1-FR)*P21+FR*(Notenbogen!L22+Notenbogen!X22))),2)</f>
        <v>#DIV/0!</v>
      </c>
      <c r="R21" s="154" t="e">
        <f ca="1">IF(AND(gew=2,Notenbogen!Y21="Legasthenie"),(M21+Q21)/2,IF(Notenbogen!$C$1="KA / mdl.",Q21,(M21* gew+Q21)/(1+gew)))</f>
        <v>#DIV/0!</v>
      </c>
      <c r="U21" s="43" t="s">
        <v>51</v>
      </c>
      <c r="V21" s="112">
        <f>IF(I1SA!$H$32="M",+W21,W63)</f>
        <v>7.5</v>
      </c>
      <c r="W21" s="384">
        <f t="shared" si="3"/>
        <v>7.5</v>
      </c>
      <c r="X21" s="353">
        <f>0</f>
        <v>0</v>
      </c>
      <c r="Y21" s="95">
        <v>0</v>
      </c>
      <c r="Z21" s="116" t="str">
        <f>IF(ABS(IF(I1SA!$H$32="M",AL20-W21,AL63-W21))&gt;1,"ALARM"," ")</f>
        <v xml:space="preserve"> </v>
      </c>
      <c r="AA21" s="94" t="str">
        <f>IF(ABS(IF(I1SA!$H$32="M",AM20-X21,AM63-X21))&gt;1,"ALARM"," ")</f>
        <v xml:space="preserve"> </v>
      </c>
      <c r="AB21" s="65"/>
      <c r="AC21" s="89">
        <v>6</v>
      </c>
      <c r="AD21" s="90">
        <v>0</v>
      </c>
      <c r="AE21" s="91"/>
      <c r="AF21" s="96">
        <f>I1SA!$H$34-0.1</f>
        <v>19.899999999999999</v>
      </c>
      <c r="AG21" s="97">
        <v>0</v>
      </c>
      <c r="AH21" s="65"/>
      <c r="AI21" s="65"/>
      <c r="AJ21" s="65"/>
      <c r="AK21" s="65"/>
      <c r="AL21" s="65"/>
      <c r="AM21" s="65"/>
      <c r="AN21" s="65"/>
    </row>
    <row r="22" spans="2:40" ht="12.75" customHeight="1" x14ac:dyDescent="0.2">
      <c r="B22" s="150">
        <f>IF(Notenbogen!B22="",0,Notenbogen!B22)</f>
        <v>0</v>
      </c>
      <c r="C22" s="162"/>
      <c r="D22" s="157">
        <f ca="1">SUMPRODUCT(D121:G121,Notenbogen!$D$75:'Notenbogen'!$G$75)</f>
        <v>0</v>
      </c>
      <c r="E22" s="158"/>
      <c r="F22" s="157">
        <f ca="1">SUMPRODUCT(D122:G122,Notenbogen!$D$76:'Notenbogen'!$G$76)+COUNT(Notenbogen!H22:J22)</f>
        <v>0</v>
      </c>
      <c r="G22" s="159">
        <f>COUNT(Notenbogen!K22)</f>
        <v>0</v>
      </c>
      <c r="H22" s="159"/>
      <c r="I22" s="158"/>
      <c r="J22" s="156" t="e">
        <f ca="1">IF(J21&lt;1,0,ROUNDUP(J21,2))</f>
        <v>#DIV/0!</v>
      </c>
      <c r="L22" s="157">
        <f ca="1">SUMPRODUCT(P121:S121,Notenbogen!$P$75:'Notenbogen'!$S$75)+D22</f>
        <v>0</v>
      </c>
      <c r="M22" s="158"/>
      <c r="N22" s="157">
        <f ca="1">SUMPRODUCT(P122:S122,Notenbogen!$P$76:'Notenbogen'!$S$76)+COUNT(Notenbogen!T22:V22)+F22</f>
        <v>0</v>
      </c>
      <c r="O22" s="159">
        <f>COUNT(Notenbogen!K22,Notenbogen!W22)</f>
        <v>0</v>
      </c>
      <c r="P22" s="159"/>
      <c r="Q22" s="158"/>
      <c r="R22" s="156" t="e">
        <f ca="1">IF(R21&lt;1,0,ROUNDUP(R21,2))</f>
        <v>#DIV/0!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2:40" ht="12.75" customHeight="1" x14ac:dyDescent="0.2">
      <c r="B23" s="150">
        <f>IF(Notenbogen!B23="",0,Notenbogen!B23)</f>
        <v>0</v>
      </c>
      <c r="C23" s="160"/>
      <c r="D23" s="151">
        <f ca="1">SUMPRODUCT(Notenbogen!D23:'Notenbogen'!G23,Notenbogen!$D$75:'Notenbogen'!$G$75)</f>
        <v>0</v>
      </c>
      <c r="E23" s="152" t="e">
        <f ca="1">+ROUNDUP(D23/D24,2)</f>
        <v>#DIV/0!</v>
      </c>
      <c r="F23" s="151">
        <f ca="1">SUMPRODUCT(Notenbogen!D24:'Notenbogen'!G24,Notenbogen!$D$76:'Notenbogen'!$G$76)+SUM(Notenbogen!H24:J24)+A19</f>
        <v>0</v>
      </c>
      <c r="G23" s="153">
        <f>+Notenbogen!K24</f>
        <v>0</v>
      </c>
      <c r="H23" s="153" t="e">
        <f ca="1">+(F23+G23+G23)/(F24+G24+G24)</f>
        <v>#DIV/0!</v>
      </c>
      <c r="I23" s="152" t="e">
        <f ca="1">ROUNDUP(IF(Notenbogen!L24="",NB!H23,(1-FR)*NB!H23+FR*Notenbogen!L24),2)</f>
        <v>#DIV/0!</v>
      </c>
      <c r="J23" s="154" t="e">
        <f ca="1">IF(AND(gew=2,Notenbogen!Y23="Legasthenie"),(E23+I23)/2,IF(Notenbogen!$C$1="KA / mdl.",I23,(E23* gew+I23)/(1+gew)))</f>
        <v>#DIV/0!</v>
      </c>
      <c r="L23" s="151">
        <f ca="1">SUMPRODUCT(Notenbogen!P23:'Notenbogen'!S23,Notenbogen!$P$75:'Notenbogen'!$S$75)+D23</f>
        <v>0</v>
      </c>
      <c r="M23" s="152" t="e">
        <f ca="1">ROUNDUP(L23/L24,2)</f>
        <v>#DIV/0!</v>
      </c>
      <c r="N23" s="151">
        <f ca="1">SUMPRODUCT(Notenbogen!P24:'Notenbogen'!S24,Notenbogen!$P$76:'Notenbogen'!$S$76)+SUM(Notenbogen!T24:V24)+F23</f>
        <v>0</v>
      </c>
      <c r="O23" s="153">
        <f>SUM(Notenbogen!K24,Notenbogen!W24)</f>
        <v>0</v>
      </c>
      <c r="P23" s="153" t="e">
        <f ca="1">+(N23+O23+O23)/(N24+O24+O24)</f>
        <v>#DIV/0!</v>
      </c>
      <c r="Q23" s="152" t="e">
        <f ca="1">ROUNDUP(IF(COUNT(Notenbogen!L24,Notenbogen!X24)=2,"F",IF(COUNT(Notenbogen!L24,Notenbogen!X24)=0,P23,(1-FR)*P23+FR*(Notenbogen!L24+Notenbogen!X24))),2)</f>
        <v>#DIV/0!</v>
      </c>
      <c r="R23" s="154" t="e">
        <f ca="1">IF(AND(gew=2,Notenbogen!Y23="Legasthenie"),(M23+Q23)/2,IF(Notenbogen!$C$1="KA / mdl.",Q23,(M23* gew+Q23)/(1+gew)))</f>
        <v>#DIV/0!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2:40" ht="12.75" customHeight="1" x14ac:dyDescent="0.2">
      <c r="B24" s="150">
        <f>IF(Notenbogen!B24="",0,Notenbogen!B24)</f>
        <v>0</v>
      </c>
      <c r="C24" s="162"/>
      <c r="D24" s="157">
        <f ca="1">SUMPRODUCT(D123:G123,Notenbogen!$D$75:'Notenbogen'!$G$75)</f>
        <v>0</v>
      </c>
      <c r="E24" s="158"/>
      <c r="F24" s="157">
        <f ca="1">SUMPRODUCT(D124:G124,Notenbogen!$D$76:'Notenbogen'!$G$76)+COUNT(Notenbogen!H24:J24)</f>
        <v>0</v>
      </c>
      <c r="G24" s="159">
        <f>COUNT(Notenbogen!K24)</f>
        <v>0</v>
      </c>
      <c r="H24" s="159"/>
      <c r="I24" s="158"/>
      <c r="J24" s="156" t="e">
        <f ca="1">IF(J23&lt;1,0,ROUNDUP(J23,2))</f>
        <v>#DIV/0!</v>
      </c>
      <c r="L24" s="157">
        <f ca="1">SUMPRODUCT(P123:S123,Notenbogen!$P$75:'Notenbogen'!$S$75)+D24</f>
        <v>0</v>
      </c>
      <c r="M24" s="158"/>
      <c r="N24" s="157">
        <f ca="1">SUMPRODUCT(P124:S124,Notenbogen!$P$76:'Notenbogen'!$S$76)+COUNT(Notenbogen!T24:V24)+F24</f>
        <v>0</v>
      </c>
      <c r="O24" s="159">
        <f>COUNT(Notenbogen!K24,Notenbogen!W24)</f>
        <v>0</v>
      </c>
      <c r="P24" s="159"/>
      <c r="Q24" s="158"/>
      <c r="R24" s="156" t="e">
        <f ca="1">IF(R23&lt;1,0,ROUNDUP(R23,2))</f>
        <v>#DIV/0!</v>
      </c>
      <c r="U24" s="46"/>
      <c r="V24" s="359">
        <f t="shared" ref="V24:V39" si="5">+X24</f>
        <v>0</v>
      </c>
      <c r="W24" s="359">
        <f>+W21</f>
        <v>7.5</v>
      </c>
      <c r="X24" s="359">
        <f>+X21</f>
        <v>0</v>
      </c>
      <c r="Y24" s="46">
        <f>+Y21</f>
        <v>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2:40" ht="12.75" customHeight="1" x14ac:dyDescent="0.2">
      <c r="B25" s="150">
        <f>IF(Notenbogen!B25="",0,Notenbogen!B25)</f>
        <v>0</v>
      </c>
      <c r="C25" s="160"/>
      <c r="D25" s="151">
        <f ca="1">SUMPRODUCT(Notenbogen!D25:'Notenbogen'!G25,Notenbogen!$D$75:'Notenbogen'!$G$75)</f>
        <v>0</v>
      </c>
      <c r="E25" s="152" t="e">
        <f ca="1">+ROUNDUP(D25/D26,2)</f>
        <v>#DIV/0!</v>
      </c>
      <c r="F25" s="151">
        <f ca="1">SUMPRODUCT(Notenbogen!D26:'Notenbogen'!G26,Notenbogen!$D$76:'Notenbogen'!$G$76)+SUM(Notenbogen!H26:J26)+A21</f>
        <v>0</v>
      </c>
      <c r="G25" s="153">
        <f>+Notenbogen!K26</f>
        <v>0</v>
      </c>
      <c r="H25" s="153" t="e">
        <f ca="1">+(F25+G25+G25)/(F26+G26+G26)</f>
        <v>#DIV/0!</v>
      </c>
      <c r="I25" s="152" t="e">
        <f ca="1">ROUNDUP(IF(Notenbogen!L26="",NB!H25,(1-FR)*NB!H25+FR*Notenbogen!L26),2)</f>
        <v>#DIV/0!</v>
      </c>
      <c r="J25" s="154" t="e">
        <f ca="1">IF(AND(gew=2,Notenbogen!Y25="Legasthenie"),(E25+I25)/2,IF(Notenbogen!$C$1="KA / mdl.",I25,(E25* gew+I25)/(1+gew)))</f>
        <v>#DIV/0!</v>
      </c>
      <c r="L25" s="151">
        <f ca="1">SUMPRODUCT(Notenbogen!P25:'Notenbogen'!S25,Notenbogen!$P$75:'Notenbogen'!$S$75)+D25</f>
        <v>0</v>
      </c>
      <c r="M25" s="152" t="e">
        <f ca="1">ROUNDUP(L25/L26,2)</f>
        <v>#DIV/0!</v>
      </c>
      <c r="N25" s="151">
        <f ca="1">SUMPRODUCT(Notenbogen!P26:'Notenbogen'!S26,Notenbogen!$P$76:'Notenbogen'!$S$76)+SUM(Notenbogen!T26:V26)+F25</f>
        <v>0</v>
      </c>
      <c r="O25" s="153">
        <f>SUM(Notenbogen!K26,Notenbogen!W26)</f>
        <v>0</v>
      </c>
      <c r="P25" s="153" t="e">
        <f ca="1">+(N25+O25+O25)/(N26+O26+O26)</f>
        <v>#DIV/0!</v>
      </c>
      <c r="Q25" s="152" t="e">
        <f ca="1">ROUNDUP(IF(COUNT(Notenbogen!L26,Notenbogen!X26)=2,"F",IF(COUNT(Notenbogen!L26,Notenbogen!X26)=0,P25,(1-FR)*P25+FR*(Notenbogen!L26+Notenbogen!X26))),2)</f>
        <v>#DIV/0!</v>
      </c>
      <c r="R25" s="154" t="e">
        <f ca="1">IF(AND(gew=2,Notenbogen!Y25="Legasthenie"),(M25+Q25)/2,IF(Notenbogen!$C$1="KA / mdl.",Q25,(M25* gew+Q25)/(1+gew)))</f>
        <v>#DIV/0!</v>
      </c>
      <c r="U25" s="46"/>
      <c r="V25" s="359">
        <f t="shared" si="5"/>
        <v>8</v>
      </c>
      <c r="W25" s="359">
        <f>+W20</f>
        <v>10.5</v>
      </c>
      <c r="X25" s="359">
        <f>+X20</f>
        <v>8</v>
      </c>
      <c r="Y25" s="46">
        <f>+Y20</f>
        <v>1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2:40" ht="12.75" customHeight="1" x14ac:dyDescent="0.2">
      <c r="B26" s="150">
        <f>IF(Notenbogen!B26="",0,Notenbogen!B26)</f>
        <v>0</v>
      </c>
      <c r="C26" s="162"/>
      <c r="D26" s="157">
        <f ca="1">SUMPRODUCT(D125:G125,Notenbogen!$D$75:'Notenbogen'!$G$75)</f>
        <v>0</v>
      </c>
      <c r="E26" s="158"/>
      <c r="F26" s="157">
        <f ca="1">SUMPRODUCT(D126:G126,Notenbogen!$D$76:'Notenbogen'!$G$76)+COUNT(Notenbogen!H26:J26)</f>
        <v>0</v>
      </c>
      <c r="G26" s="159">
        <f>COUNT(Notenbogen!K26)</f>
        <v>0</v>
      </c>
      <c r="H26" s="159"/>
      <c r="I26" s="158"/>
      <c r="J26" s="156" t="e">
        <f ca="1">IF(J25&lt;1,0,ROUNDUP(J25,2))</f>
        <v>#DIV/0!</v>
      </c>
      <c r="L26" s="157">
        <f ca="1">SUMPRODUCT(P125:S125,Notenbogen!$P$75:'Notenbogen'!$S$75)+D26</f>
        <v>0</v>
      </c>
      <c r="M26" s="158"/>
      <c r="N26" s="157">
        <f ca="1">SUMPRODUCT(P126:S126,Notenbogen!$P$76:'Notenbogen'!$S$76)+COUNT(Notenbogen!T26:V26)+F26</f>
        <v>0</v>
      </c>
      <c r="O26" s="159">
        <f>COUNT(Notenbogen!K26,Notenbogen!W26)</f>
        <v>0</v>
      </c>
      <c r="P26" s="159"/>
      <c r="Q26" s="158"/>
      <c r="R26" s="156" t="e">
        <f ca="1">IF(R25&lt;1,0,ROUNDUP(R25,2))</f>
        <v>#DIV/0!</v>
      </c>
      <c r="U26" s="46"/>
      <c r="V26" s="359">
        <f t="shared" si="5"/>
        <v>11</v>
      </c>
      <c r="W26" s="359">
        <f>+W19</f>
        <v>13</v>
      </c>
      <c r="X26" s="359">
        <f>+X19</f>
        <v>11</v>
      </c>
      <c r="Y26" s="46">
        <f>+Y19</f>
        <v>2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2:40" ht="12.75" customHeight="1" x14ac:dyDescent="0.2">
      <c r="B27" s="150">
        <f>IF(Notenbogen!B27="",0,Notenbogen!B27)</f>
        <v>0</v>
      </c>
      <c r="C27" s="160"/>
      <c r="D27" s="151">
        <f ca="1">SUMPRODUCT(Notenbogen!D27:'Notenbogen'!G27,Notenbogen!$D$75:'Notenbogen'!$G$75)</f>
        <v>0</v>
      </c>
      <c r="E27" s="152" t="e">
        <f ca="1">+ROUNDUP(D27/D28,2)</f>
        <v>#DIV/0!</v>
      </c>
      <c r="F27" s="151">
        <f ca="1">SUMPRODUCT(Notenbogen!D28:'Notenbogen'!G28,Notenbogen!$D$76:'Notenbogen'!$G$76)+SUM(Notenbogen!H28:J28)+A23</f>
        <v>0</v>
      </c>
      <c r="G27" s="153">
        <f>+Notenbogen!K28</f>
        <v>0</v>
      </c>
      <c r="H27" s="153" t="e">
        <f ca="1">+(F27+G27+G27)/(F28+G28+G28)</f>
        <v>#DIV/0!</v>
      </c>
      <c r="I27" s="152" t="e">
        <f ca="1">ROUNDUP(IF(Notenbogen!L28="",NB!H27,(1-FR)*NB!H27+FR*Notenbogen!L28),2)</f>
        <v>#DIV/0!</v>
      </c>
      <c r="J27" s="154" t="e">
        <f ca="1">IF(AND(gew=2,Notenbogen!Y27="Legasthenie"),(E27+I27)/2,IF(Notenbogen!$C$1="KA / mdl.",I27,(E27* gew+I27)/(1+gew)))</f>
        <v>#DIV/0!</v>
      </c>
      <c r="L27" s="151">
        <f ca="1">SUMPRODUCT(Notenbogen!P27:'Notenbogen'!S27,Notenbogen!$P$75:'Notenbogen'!$S$75)+D27</f>
        <v>0</v>
      </c>
      <c r="M27" s="152" t="e">
        <f ca="1">ROUNDUP(L27/L28,2)</f>
        <v>#DIV/0!</v>
      </c>
      <c r="N27" s="151">
        <f ca="1">SUMPRODUCT(Notenbogen!P28:'Notenbogen'!S28,Notenbogen!$P$76:'Notenbogen'!$S$76)+SUM(Notenbogen!T28:V28)+F27</f>
        <v>0</v>
      </c>
      <c r="O27" s="153">
        <f>SUM(Notenbogen!K28,Notenbogen!W28)</f>
        <v>0</v>
      </c>
      <c r="P27" s="153" t="e">
        <f ca="1">+(N27+O27+O27)/(N28+O28+O28)</f>
        <v>#DIV/0!</v>
      </c>
      <c r="Q27" s="152" t="e">
        <f ca="1">ROUNDUP(IF(COUNT(Notenbogen!L28,Notenbogen!X28)=2,"F",IF(COUNT(Notenbogen!L28,Notenbogen!X28)=0,P27,(1-FR)*P27+FR*(Notenbogen!L28+Notenbogen!X28))),2)</f>
        <v>#DIV/0!</v>
      </c>
      <c r="R27" s="154" t="e">
        <f ca="1">IF(AND(gew=2,Notenbogen!Y27="Legasthenie"),(M27+Q27)/2,IF(Notenbogen!$C$1="KA / mdl.",Q27,(M27* gew+Q27)/(1+gew)))</f>
        <v>#DIV/0!</v>
      </c>
      <c r="U27" s="46"/>
      <c r="V27" s="359">
        <f t="shared" si="5"/>
        <v>13.5</v>
      </c>
      <c r="W27" s="359">
        <f>+W18</f>
        <v>16</v>
      </c>
      <c r="X27" s="359">
        <f>+X18</f>
        <v>13.5</v>
      </c>
      <c r="Y27" s="46">
        <f>+Y18</f>
        <v>3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2:40" ht="12.75" customHeight="1" x14ac:dyDescent="0.2">
      <c r="B28" s="150">
        <f>IF(Notenbogen!B28="",0,Notenbogen!B28)</f>
        <v>0</v>
      </c>
      <c r="C28" s="162"/>
      <c r="D28" s="157">
        <f ca="1">SUMPRODUCT(D127:G127,Notenbogen!$D$75:'Notenbogen'!$G$75)</f>
        <v>0</v>
      </c>
      <c r="E28" s="158"/>
      <c r="F28" s="157">
        <f ca="1">SUMPRODUCT(D128:G128,Notenbogen!$D$76:'Notenbogen'!$G$76)+COUNT(Notenbogen!H28:J28)</f>
        <v>0</v>
      </c>
      <c r="G28" s="159">
        <f>COUNT(Notenbogen!K28)</f>
        <v>0</v>
      </c>
      <c r="H28" s="159"/>
      <c r="I28" s="158"/>
      <c r="J28" s="156" t="e">
        <f ca="1">IF(J27&lt;1,0,ROUNDUP(J27,2))</f>
        <v>#DIV/0!</v>
      </c>
      <c r="L28" s="157">
        <f ca="1">SUMPRODUCT(P127:S127,Notenbogen!$P$75:'Notenbogen'!$S$75)+D28</f>
        <v>0</v>
      </c>
      <c r="M28" s="158"/>
      <c r="N28" s="157">
        <f ca="1">SUMPRODUCT(P128:S128,Notenbogen!$P$76:'Notenbogen'!$S$76)+COUNT(Notenbogen!T28:V28)+F28</f>
        <v>0</v>
      </c>
      <c r="O28" s="159">
        <f>COUNT(Notenbogen!K28,Notenbogen!W28)</f>
        <v>0</v>
      </c>
      <c r="P28" s="159"/>
      <c r="Q28" s="158"/>
      <c r="R28" s="156" t="e">
        <f ca="1">IF(R27&lt;1,0,ROUNDUP(R27,2))</f>
        <v>#DIV/0!</v>
      </c>
      <c r="U28" s="46"/>
      <c r="V28" s="359">
        <f t="shared" si="5"/>
        <v>16.5</v>
      </c>
      <c r="W28" s="359">
        <f>+W17</f>
        <v>18</v>
      </c>
      <c r="X28" s="359">
        <f>+X17</f>
        <v>16.5</v>
      </c>
      <c r="Y28" s="46">
        <f>+Y17</f>
        <v>4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2:40" ht="12.75" customHeight="1" x14ac:dyDescent="0.2">
      <c r="B29" s="150">
        <f>IF(Notenbogen!B29="",0,Notenbogen!B29)</f>
        <v>0</v>
      </c>
      <c r="C29" s="160"/>
      <c r="D29" s="151">
        <f ca="1">SUMPRODUCT(Notenbogen!D29:'Notenbogen'!G29,Notenbogen!$D$75:'Notenbogen'!$G$75)</f>
        <v>0</v>
      </c>
      <c r="E29" s="152" t="e">
        <f ca="1">+ROUNDUP(D29/D30,2)</f>
        <v>#DIV/0!</v>
      </c>
      <c r="F29" s="151">
        <f ca="1">SUMPRODUCT(Notenbogen!D30:'Notenbogen'!G30,Notenbogen!$D$76:'Notenbogen'!$G$76)+SUM(Notenbogen!H30:J30)+A25</f>
        <v>0</v>
      </c>
      <c r="G29" s="153">
        <f>+Notenbogen!K30</f>
        <v>0</v>
      </c>
      <c r="H29" s="153" t="e">
        <f ca="1">+(F29+G29+G29)/(F30+G30+G30)</f>
        <v>#DIV/0!</v>
      </c>
      <c r="I29" s="152" t="e">
        <f ca="1">ROUNDUP(IF(Notenbogen!L30="",NB!H29,(1-FR)*NB!H29+FR*Notenbogen!L30),2)</f>
        <v>#DIV/0!</v>
      </c>
      <c r="J29" s="154" t="e">
        <f ca="1">IF(AND(gew=2,Notenbogen!Y29="Legasthenie"),(E29+I29)/2,IF(Notenbogen!$C$1="KA / mdl.",I29,(E29* gew+I29)/(1+gew)))</f>
        <v>#DIV/0!</v>
      </c>
      <c r="L29" s="151">
        <f ca="1">SUMPRODUCT(Notenbogen!P29:'Notenbogen'!S29,Notenbogen!$P$75:'Notenbogen'!$S$75)+D29</f>
        <v>0</v>
      </c>
      <c r="M29" s="152" t="e">
        <f ca="1">ROUNDUP(L29/L30,2)</f>
        <v>#DIV/0!</v>
      </c>
      <c r="N29" s="151">
        <f ca="1">SUMPRODUCT(Notenbogen!P30:'Notenbogen'!S30,Notenbogen!$P$76:'Notenbogen'!$S$76)+SUM(Notenbogen!T30:V30)+F29</f>
        <v>0</v>
      </c>
      <c r="O29" s="153">
        <f>SUM(Notenbogen!K30,Notenbogen!W30)</f>
        <v>0</v>
      </c>
      <c r="P29" s="153" t="e">
        <f ca="1">+(N29+O29+O29)/(N30+O30+O30)</f>
        <v>#DIV/0!</v>
      </c>
      <c r="Q29" s="152" t="e">
        <f ca="1">ROUNDUP(IF(COUNT(Notenbogen!L30,Notenbogen!X30)=2,"F",IF(COUNT(Notenbogen!L30,Notenbogen!X30)=0,P29,(1-FR)*P29+FR*(Notenbogen!L30+Notenbogen!X30))),2)</f>
        <v>#DIV/0!</v>
      </c>
      <c r="R29" s="154" t="e">
        <f ca="1">IF(AND(gew=2,Notenbogen!Y29="Legasthenie"),(M29+Q29)/2,IF(Notenbogen!$C$1="KA / mdl.",Q29,(M29* gew+Q29)/(1+gew)))</f>
        <v>#DIV/0!</v>
      </c>
      <c r="U29" s="46"/>
      <c r="V29" s="359">
        <f t="shared" si="5"/>
        <v>18.5</v>
      </c>
      <c r="W29" s="359">
        <f>+W16</f>
        <v>20</v>
      </c>
      <c r="X29" s="359">
        <f>+X16</f>
        <v>18.5</v>
      </c>
      <c r="Y29" s="46">
        <f>+Y16</f>
        <v>5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2:40" ht="12.75" customHeight="1" x14ac:dyDescent="0.2">
      <c r="B30" s="150">
        <f>IF(Notenbogen!B30="",0,Notenbogen!B30)</f>
        <v>0</v>
      </c>
      <c r="C30" s="162"/>
      <c r="D30" s="157">
        <f ca="1">SUMPRODUCT(D129:G129,Notenbogen!$D$75:'Notenbogen'!$G$75)</f>
        <v>0</v>
      </c>
      <c r="E30" s="158"/>
      <c r="F30" s="157">
        <f ca="1">SUMPRODUCT(D130:G130,Notenbogen!$D$76:'Notenbogen'!$G$76)+COUNT(Notenbogen!H30:J30)</f>
        <v>0</v>
      </c>
      <c r="G30" s="159">
        <f>COUNT(Notenbogen!K30)</f>
        <v>0</v>
      </c>
      <c r="H30" s="159"/>
      <c r="I30" s="158"/>
      <c r="J30" s="156" t="e">
        <f ca="1">IF(J29&lt;1,0,ROUNDUP(J29,2))</f>
        <v>#DIV/0!</v>
      </c>
      <c r="L30" s="157">
        <f ca="1">SUMPRODUCT(P129:S129,Notenbogen!$P$75:'Notenbogen'!$S$75)+D30</f>
        <v>0</v>
      </c>
      <c r="M30" s="158"/>
      <c r="N30" s="157">
        <f ca="1">SUMPRODUCT(P130:S130,Notenbogen!$P$76:'Notenbogen'!$S$76)+COUNT(Notenbogen!T30:V30)+F30</f>
        <v>0</v>
      </c>
      <c r="O30" s="159">
        <f>COUNT(Notenbogen!K30,Notenbogen!W30)</f>
        <v>0</v>
      </c>
      <c r="P30" s="159"/>
      <c r="Q30" s="158"/>
      <c r="R30" s="156" t="e">
        <f ca="1">IF(R29&lt;1,0,ROUNDUP(R29,2))</f>
        <v>#DIV/0!</v>
      </c>
      <c r="U30" s="46"/>
      <c r="V30" s="359">
        <f t="shared" si="5"/>
        <v>20.5</v>
      </c>
      <c r="W30" s="359">
        <f>+W15</f>
        <v>22</v>
      </c>
      <c r="X30" s="359">
        <f>+X15</f>
        <v>20.5</v>
      </c>
      <c r="Y30" s="46">
        <f>+Y15</f>
        <v>6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2:40" ht="12.75" customHeight="1" x14ac:dyDescent="0.2">
      <c r="B31" s="150">
        <f>IF(Notenbogen!B31="",0,Notenbogen!B31)</f>
        <v>0</v>
      </c>
      <c r="C31" s="160"/>
      <c r="D31" s="151">
        <f ca="1">SUMPRODUCT(Notenbogen!D31:'Notenbogen'!G31,Notenbogen!$D$75:'Notenbogen'!$G$75)</f>
        <v>0</v>
      </c>
      <c r="E31" s="152" t="e">
        <f ca="1">+ROUNDUP(D31/D32,2)</f>
        <v>#DIV/0!</v>
      </c>
      <c r="F31" s="151">
        <f ca="1">SUMPRODUCT(Notenbogen!D32:'Notenbogen'!G32,Notenbogen!$D$76:'Notenbogen'!$G$76)+SUM(Notenbogen!H32:J32)+A27</f>
        <v>0</v>
      </c>
      <c r="G31" s="153">
        <f>+Notenbogen!K32</f>
        <v>0</v>
      </c>
      <c r="H31" s="153" t="e">
        <f ca="1">+(F31+G31+G31)/(F32+G32+G32)</f>
        <v>#DIV/0!</v>
      </c>
      <c r="I31" s="152" t="e">
        <f ca="1">ROUNDUP(IF(Notenbogen!L32="",NB!H31,(1-FR)*NB!H31+FR*Notenbogen!L32),2)</f>
        <v>#DIV/0!</v>
      </c>
      <c r="J31" s="154" t="e">
        <f ca="1">IF(AND(gew=2,Notenbogen!Y31="Legasthenie"),(E31+I31)/2,IF(Notenbogen!$C$1="KA / mdl.",I31,(E31* gew+I31)/(1+gew)))</f>
        <v>#DIV/0!</v>
      </c>
      <c r="L31" s="151">
        <f ca="1">SUMPRODUCT(Notenbogen!P31:'Notenbogen'!S31,Notenbogen!$P$75:'Notenbogen'!$S$75)+D31</f>
        <v>0</v>
      </c>
      <c r="M31" s="152" t="e">
        <f ca="1">ROUNDUP(L31/L32,2)</f>
        <v>#DIV/0!</v>
      </c>
      <c r="N31" s="151">
        <f ca="1">SUMPRODUCT(Notenbogen!P32:'Notenbogen'!S32,Notenbogen!$P$76:'Notenbogen'!$S$76)+SUM(Notenbogen!T32:V32)+F31</f>
        <v>0</v>
      </c>
      <c r="O31" s="153">
        <f>SUM(Notenbogen!K32,Notenbogen!W32)</f>
        <v>0</v>
      </c>
      <c r="P31" s="153" t="e">
        <f ca="1">+(N31+O31+O31)/(N32+O32+O32)</f>
        <v>#DIV/0!</v>
      </c>
      <c r="Q31" s="152" t="e">
        <f ca="1">ROUNDUP(IF(COUNT(Notenbogen!L32,Notenbogen!X32)=2,"F",IF(COUNT(Notenbogen!L32,Notenbogen!X32)=0,P31,(1-FR)*P31+FR*(Notenbogen!L32+Notenbogen!X32))),2)</f>
        <v>#DIV/0!</v>
      </c>
      <c r="R31" s="154" t="e">
        <f ca="1">IF(AND(gew=2,Notenbogen!Y31="Legasthenie"),(M31+Q31)/2,IF(Notenbogen!$C$1="KA / mdl.",Q31,(M31* gew+Q31)/(1+gew)))</f>
        <v>#DIV/0!</v>
      </c>
      <c r="U31" s="46"/>
      <c r="V31" s="359">
        <f t="shared" si="5"/>
        <v>22.5</v>
      </c>
      <c r="W31" s="359">
        <f>+W14</f>
        <v>24</v>
      </c>
      <c r="X31" s="359">
        <f>+X14</f>
        <v>22.5</v>
      </c>
      <c r="Y31" s="46">
        <f>+Y14</f>
        <v>7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2:40" ht="12.75" customHeight="1" x14ac:dyDescent="0.2">
      <c r="B32" s="150">
        <f>IF(Notenbogen!B32="",0,Notenbogen!B32)</f>
        <v>0</v>
      </c>
      <c r="C32" s="162"/>
      <c r="D32" s="157">
        <f ca="1">SUMPRODUCT(D131:G131,Notenbogen!$D$75:'Notenbogen'!$G$75)</f>
        <v>0</v>
      </c>
      <c r="E32" s="158"/>
      <c r="F32" s="157">
        <f ca="1">SUMPRODUCT(D132:G132,Notenbogen!$D$76:'Notenbogen'!$G$76)+COUNT(Notenbogen!H32:J32)</f>
        <v>0</v>
      </c>
      <c r="G32" s="159">
        <f>COUNT(Notenbogen!K32)</f>
        <v>0</v>
      </c>
      <c r="H32" s="159"/>
      <c r="I32" s="158"/>
      <c r="J32" s="156" t="e">
        <f ca="1">IF(J31&lt;1,0,ROUNDUP(J31,2))</f>
        <v>#DIV/0!</v>
      </c>
      <c r="L32" s="157">
        <f ca="1">SUMPRODUCT(P131:S131,Notenbogen!$P$75:'Notenbogen'!$S$75)+D32</f>
        <v>0</v>
      </c>
      <c r="M32" s="158"/>
      <c r="N32" s="157">
        <f ca="1">SUMPRODUCT(P132:S132,Notenbogen!$P$76:'Notenbogen'!$S$76)+COUNT(Notenbogen!T32:V32)+F32</f>
        <v>0</v>
      </c>
      <c r="O32" s="159">
        <f>COUNT(Notenbogen!K32,Notenbogen!W32)</f>
        <v>0</v>
      </c>
      <c r="P32" s="159"/>
      <c r="Q32" s="158"/>
      <c r="R32" s="156" t="e">
        <f ca="1">IF(R31&lt;1,0,ROUNDUP(R31,2))</f>
        <v>#DIV/0!</v>
      </c>
      <c r="U32" s="46"/>
      <c r="V32" s="359">
        <f t="shared" si="5"/>
        <v>24.5</v>
      </c>
      <c r="W32" s="359">
        <f>+W13</f>
        <v>26</v>
      </c>
      <c r="X32" s="359">
        <f>+X13</f>
        <v>24.5</v>
      </c>
      <c r="Y32" s="46">
        <f>+Y13</f>
        <v>8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2:40" ht="12.75" customHeight="1" x14ac:dyDescent="0.2">
      <c r="B33" s="150">
        <f>IF(Notenbogen!B33="",0,Notenbogen!B33)</f>
        <v>0</v>
      </c>
      <c r="C33" s="160"/>
      <c r="D33" s="151">
        <f ca="1">SUMPRODUCT(Notenbogen!D33:'Notenbogen'!G33,Notenbogen!$D$75:'Notenbogen'!$G$75)</f>
        <v>0</v>
      </c>
      <c r="E33" s="152" t="e">
        <f ca="1">+ROUNDUP(D33/D34,2)</f>
        <v>#DIV/0!</v>
      </c>
      <c r="F33" s="151">
        <f ca="1">SUMPRODUCT(Notenbogen!D34:'Notenbogen'!G34,Notenbogen!$D$76:'Notenbogen'!$G$76)+SUM(Notenbogen!H34:J34)+A29</f>
        <v>0</v>
      </c>
      <c r="G33" s="153">
        <f>+Notenbogen!K34</f>
        <v>0</v>
      </c>
      <c r="H33" s="153" t="e">
        <f ca="1">+(F33+G33+G33)/(F34+G34+G34)</f>
        <v>#DIV/0!</v>
      </c>
      <c r="I33" s="152" t="e">
        <f ca="1">ROUNDUP(IF(Notenbogen!L34="",NB!H33,(1-FR)*NB!H33+FR*Notenbogen!L34),2)</f>
        <v>#DIV/0!</v>
      </c>
      <c r="J33" s="154" t="e">
        <f ca="1">IF(AND(gew=2,Notenbogen!Y33="Legasthenie"),(E33+I33)/2,IF(Notenbogen!$C$1="KA / mdl.",I33,(E33* gew+I33)/(1+gew)))</f>
        <v>#DIV/0!</v>
      </c>
      <c r="L33" s="151">
        <f ca="1">SUMPRODUCT(Notenbogen!P33:'Notenbogen'!S33,Notenbogen!$P$75:'Notenbogen'!$S$75)+D33</f>
        <v>0</v>
      </c>
      <c r="M33" s="152" t="e">
        <f ca="1">ROUNDUP(L33/L34,2)</f>
        <v>#DIV/0!</v>
      </c>
      <c r="N33" s="151">
        <f ca="1">SUMPRODUCT(Notenbogen!P34:'Notenbogen'!S34,Notenbogen!$P$76:'Notenbogen'!$S$76)+SUM(Notenbogen!T34:V34)+F33</f>
        <v>0</v>
      </c>
      <c r="O33" s="153">
        <f>SUM(Notenbogen!K34,Notenbogen!W34)</f>
        <v>0</v>
      </c>
      <c r="P33" s="153" t="e">
        <f ca="1">+(N33+O33+O33)/(N34+O34+O34)</f>
        <v>#DIV/0!</v>
      </c>
      <c r="Q33" s="152" t="e">
        <f ca="1">ROUNDUP(IF(COUNT(Notenbogen!L34,Notenbogen!X34)=2,"F",IF(COUNT(Notenbogen!L34,Notenbogen!X34)=0,P33,(1-FR)*P33+FR*(Notenbogen!L34+Notenbogen!X34))),2)</f>
        <v>#DIV/0!</v>
      </c>
      <c r="R33" s="154" t="e">
        <f ca="1">IF(AND(gew=2,Notenbogen!Y33="Legasthenie"),(M33+Q33)/2,IF(Notenbogen!$C$1="KA / mdl.",Q33,(M33* gew+Q33)/(1+gew)))</f>
        <v>#DIV/0!</v>
      </c>
      <c r="U33" s="46"/>
      <c r="V33" s="359">
        <f t="shared" si="5"/>
        <v>26.5</v>
      </c>
      <c r="W33" s="359">
        <f>+W12</f>
        <v>28</v>
      </c>
      <c r="X33" s="359">
        <f>+X12</f>
        <v>26.5</v>
      </c>
      <c r="Y33" s="46">
        <f>+Y12</f>
        <v>9</v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2:40" ht="12.75" customHeight="1" x14ac:dyDescent="0.2">
      <c r="B34" s="150">
        <f>IF(Notenbogen!B34="",0,Notenbogen!B34)</f>
        <v>0</v>
      </c>
      <c r="C34" s="162"/>
      <c r="D34" s="157">
        <f ca="1">SUMPRODUCT(D133:G133,Notenbogen!$D$75:'Notenbogen'!$G$75)</f>
        <v>0</v>
      </c>
      <c r="E34" s="158"/>
      <c r="F34" s="157">
        <f ca="1">SUMPRODUCT(D134:G134,Notenbogen!$D$76:'Notenbogen'!$G$76)+COUNT(Notenbogen!H34:J34)</f>
        <v>0</v>
      </c>
      <c r="G34" s="159">
        <f>COUNT(Notenbogen!K34)</f>
        <v>0</v>
      </c>
      <c r="H34" s="159"/>
      <c r="I34" s="158"/>
      <c r="J34" s="156" t="e">
        <f ca="1">IF(J33&lt;1,0,ROUNDUP(J33,2))</f>
        <v>#DIV/0!</v>
      </c>
      <c r="L34" s="157">
        <f ca="1">SUMPRODUCT(P133:S133,Notenbogen!$P$75:'Notenbogen'!$S$75)+D34</f>
        <v>0</v>
      </c>
      <c r="M34" s="158"/>
      <c r="N34" s="157">
        <f ca="1">SUMPRODUCT(P134:S134,Notenbogen!$P$76:'Notenbogen'!$S$76)+COUNT(Notenbogen!T34:V34)+F34</f>
        <v>0</v>
      </c>
      <c r="O34" s="159">
        <f>COUNT(Notenbogen!K34,Notenbogen!W34)</f>
        <v>0</v>
      </c>
      <c r="P34" s="159"/>
      <c r="Q34" s="158"/>
      <c r="R34" s="156" t="e">
        <f ca="1">IF(R33&lt;1,0,ROUNDUP(R33,2))</f>
        <v>#DIV/0!</v>
      </c>
      <c r="U34" s="46"/>
      <c r="V34" s="359">
        <f t="shared" si="5"/>
        <v>28.5</v>
      </c>
      <c r="W34" s="359">
        <f>+W11</f>
        <v>30</v>
      </c>
      <c r="X34" s="359">
        <f>+X11</f>
        <v>28.5</v>
      </c>
      <c r="Y34" s="46">
        <f>+Y11</f>
        <v>10</v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2:40" ht="12.75" customHeight="1" x14ac:dyDescent="0.2">
      <c r="B35" s="150">
        <f>IF(Notenbogen!B35="",0,Notenbogen!B35)</f>
        <v>0</v>
      </c>
      <c r="C35" s="160"/>
      <c r="D35" s="151">
        <f ca="1">SUMPRODUCT(Notenbogen!D35:'Notenbogen'!G35,Notenbogen!$D$75:'Notenbogen'!$G$75)</f>
        <v>0</v>
      </c>
      <c r="E35" s="152" t="e">
        <f ca="1">+ROUNDUP(D35/D36,2)</f>
        <v>#DIV/0!</v>
      </c>
      <c r="F35" s="151">
        <f ca="1">SUMPRODUCT(Notenbogen!D36:'Notenbogen'!G36,Notenbogen!$D$76:'Notenbogen'!$G$76)+SUM(Notenbogen!H36:J36)+A31</f>
        <v>0</v>
      </c>
      <c r="G35" s="153">
        <f>+Notenbogen!K36</f>
        <v>0</v>
      </c>
      <c r="H35" s="153" t="e">
        <f ca="1">+(F35+G35+G35)/(F36+G36+G36)</f>
        <v>#DIV/0!</v>
      </c>
      <c r="I35" s="152" t="e">
        <f ca="1">ROUNDUP(IF(Notenbogen!L36="",NB!H35,(1-FR)*NB!H35+FR*Notenbogen!L36),2)</f>
        <v>#DIV/0!</v>
      </c>
      <c r="J35" s="154" t="e">
        <f ca="1">IF(AND(gew=2,Notenbogen!Y35="Legasthenie"),(E35+I35)/2,IF(Notenbogen!$C$1="KA / mdl.",I35,(E35* gew+I35)/(1+gew)))</f>
        <v>#DIV/0!</v>
      </c>
      <c r="L35" s="151">
        <f ca="1">SUMPRODUCT(Notenbogen!P35:'Notenbogen'!S35,Notenbogen!$P$75:'Notenbogen'!$S$75)+D35</f>
        <v>0</v>
      </c>
      <c r="M35" s="152" t="e">
        <f ca="1">ROUNDUP(L35/L36,2)</f>
        <v>#DIV/0!</v>
      </c>
      <c r="N35" s="151">
        <f ca="1">SUMPRODUCT(Notenbogen!P36:'Notenbogen'!S36,Notenbogen!$P$76:'Notenbogen'!$S$76)+SUM(Notenbogen!T36:V36)+F35</f>
        <v>0</v>
      </c>
      <c r="O35" s="153">
        <f>SUM(Notenbogen!K36,Notenbogen!W36)</f>
        <v>0</v>
      </c>
      <c r="P35" s="153" t="e">
        <f ca="1">+(N35+O35+O35)/(N36+O36+O36)</f>
        <v>#DIV/0!</v>
      </c>
      <c r="Q35" s="152" t="e">
        <f ca="1">ROUNDUP(IF(COUNT(Notenbogen!L36,Notenbogen!X36)=2,"F",IF(COUNT(Notenbogen!L36,Notenbogen!X36)=0,P35,(1-FR)*P35+FR*(Notenbogen!L36+Notenbogen!X36))),2)</f>
        <v>#DIV/0!</v>
      </c>
      <c r="R35" s="154" t="e">
        <f ca="1">IF(AND(gew=2,Notenbogen!Y35="Legasthenie"),(M35+Q35)/2,IF(Notenbogen!$C$1="KA / mdl.",Q35,(M35* gew+Q35)/(1+gew)))</f>
        <v>#DIV/0!</v>
      </c>
      <c r="U35" s="46"/>
      <c r="V35" s="359">
        <f t="shared" si="5"/>
        <v>30.5</v>
      </c>
      <c r="W35" s="359">
        <f>+W10</f>
        <v>32</v>
      </c>
      <c r="X35" s="359">
        <f>+X10</f>
        <v>30.5</v>
      </c>
      <c r="Y35" s="46">
        <f>+Y10</f>
        <v>11</v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2:40" ht="12.75" customHeight="1" x14ac:dyDescent="0.2">
      <c r="B36" s="150">
        <f>IF(Notenbogen!B36="",0,Notenbogen!B36)</f>
        <v>0</v>
      </c>
      <c r="C36" s="162"/>
      <c r="D36" s="157">
        <f ca="1">SUMPRODUCT(D135:G135,Notenbogen!$D$75:'Notenbogen'!$G$75)</f>
        <v>0</v>
      </c>
      <c r="E36" s="158"/>
      <c r="F36" s="157">
        <f ca="1">SUMPRODUCT(D136:G136,Notenbogen!$D$76:'Notenbogen'!$G$76)+COUNT(Notenbogen!H36:J36)</f>
        <v>0</v>
      </c>
      <c r="G36" s="159">
        <f>COUNT(Notenbogen!K36)</f>
        <v>0</v>
      </c>
      <c r="H36" s="159"/>
      <c r="I36" s="158"/>
      <c r="J36" s="156" t="e">
        <f ca="1">IF(J35&lt;1,0,ROUNDUP(J35,2))</f>
        <v>#DIV/0!</v>
      </c>
      <c r="L36" s="157">
        <f ca="1">SUMPRODUCT(P135:S135,Notenbogen!$P$75:'Notenbogen'!$S$75)+D36</f>
        <v>0</v>
      </c>
      <c r="M36" s="158"/>
      <c r="N36" s="157">
        <f ca="1">SUMPRODUCT(P136:S136,Notenbogen!$P$76:'Notenbogen'!$S$76)+COUNT(Notenbogen!T36:V36)+F36</f>
        <v>0</v>
      </c>
      <c r="O36" s="159">
        <f>COUNT(Notenbogen!K36,Notenbogen!W36)</f>
        <v>0</v>
      </c>
      <c r="P36" s="159"/>
      <c r="Q36" s="158"/>
      <c r="R36" s="156" t="e">
        <f ca="1">IF(R35&lt;1,0,ROUNDUP(R35,2))</f>
        <v>#DIV/0!</v>
      </c>
      <c r="U36" s="46"/>
      <c r="V36" s="359">
        <f t="shared" si="5"/>
        <v>32.5</v>
      </c>
      <c r="W36" s="359">
        <f>+W9</f>
        <v>34</v>
      </c>
      <c r="X36" s="359">
        <f>+X9</f>
        <v>32.5</v>
      </c>
      <c r="Y36" s="46">
        <f>+Y9</f>
        <v>12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2:40" ht="12.75" customHeight="1" x14ac:dyDescent="0.2">
      <c r="B37" s="150">
        <f>IF(Notenbogen!B37="",0,Notenbogen!B37)</f>
        <v>0</v>
      </c>
      <c r="C37" s="160"/>
      <c r="D37" s="151">
        <f ca="1">SUMPRODUCT(Notenbogen!D37:'Notenbogen'!G37,Notenbogen!$D$75:'Notenbogen'!$G$75)</f>
        <v>0</v>
      </c>
      <c r="E37" s="152" t="e">
        <f ca="1">+ROUNDUP(D37/D38,2)</f>
        <v>#DIV/0!</v>
      </c>
      <c r="F37" s="151">
        <f ca="1">SUMPRODUCT(Notenbogen!D38:'Notenbogen'!G38,Notenbogen!$D$76:'Notenbogen'!$G$76)+SUM(Notenbogen!H38:J38)+A33</f>
        <v>0</v>
      </c>
      <c r="G37" s="153">
        <f>+Notenbogen!K38</f>
        <v>0</v>
      </c>
      <c r="H37" s="153" t="e">
        <f ca="1">+(F37+G37+G37)/(F38+G38+G38)</f>
        <v>#DIV/0!</v>
      </c>
      <c r="I37" s="152" t="e">
        <f ca="1">ROUNDUP(IF(Notenbogen!L38="",NB!H37,(1-FR)*NB!H37+FR*Notenbogen!L38),2)</f>
        <v>#DIV/0!</v>
      </c>
      <c r="J37" s="154" t="e">
        <f ca="1">IF(AND(gew=2,Notenbogen!Y37="Legasthenie"),(E37+I37)/2,IF(Notenbogen!$C$1="KA / mdl.",I37,(E37* gew+I37)/(1+gew)))</f>
        <v>#DIV/0!</v>
      </c>
      <c r="L37" s="151">
        <f ca="1">SUMPRODUCT(Notenbogen!P37:'Notenbogen'!S37,Notenbogen!$P$75:'Notenbogen'!$S$75)+D37</f>
        <v>0</v>
      </c>
      <c r="M37" s="152" t="e">
        <f ca="1">ROUNDUP(L37/L38,2)</f>
        <v>#DIV/0!</v>
      </c>
      <c r="N37" s="151">
        <f ca="1">SUMPRODUCT(Notenbogen!P38:'Notenbogen'!S38,Notenbogen!$P$76:'Notenbogen'!$S$76)+SUM(Notenbogen!T38:V38)+F37</f>
        <v>0</v>
      </c>
      <c r="O37" s="153">
        <f>SUM(Notenbogen!K38,Notenbogen!W38)</f>
        <v>0</v>
      </c>
      <c r="P37" s="153" t="e">
        <f ca="1">+(N37+O37+O37)/(N38+O38+O38)</f>
        <v>#DIV/0!</v>
      </c>
      <c r="Q37" s="152" t="e">
        <f ca="1">ROUNDUP(IF(COUNT(Notenbogen!L38,Notenbogen!X38)=2,"F",IF(COUNT(Notenbogen!L38,Notenbogen!X38)=0,P37,(1-FR)*P37+FR*(Notenbogen!L38+Notenbogen!X38))),2)</f>
        <v>#DIV/0!</v>
      </c>
      <c r="R37" s="154" t="e">
        <f ca="1">IF(AND(gew=2,Notenbogen!Y37="Legasthenie"),(M37+Q37)/2,IF(Notenbogen!$C$1="KA / mdl.",Q37,(M37* gew+Q37)/(1+gew)))</f>
        <v>#DIV/0!</v>
      </c>
      <c r="U37" s="46"/>
      <c r="V37" s="359">
        <f t="shared" si="5"/>
        <v>34.5</v>
      </c>
      <c r="W37" s="359">
        <f>+W8</f>
        <v>36</v>
      </c>
      <c r="X37" s="359">
        <f>+X8</f>
        <v>34.5</v>
      </c>
      <c r="Y37" s="46">
        <f>+Y8</f>
        <v>13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2:40" ht="12.75" customHeight="1" x14ac:dyDescent="0.2">
      <c r="B38" s="150">
        <f>IF(Notenbogen!B38="",0,Notenbogen!B38)</f>
        <v>0</v>
      </c>
      <c r="C38" s="162"/>
      <c r="D38" s="157">
        <f ca="1">SUMPRODUCT(D137:G137,Notenbogen!$D$75:'Notenbogen'!$G$75)</f>
        <v>0</v>
      </c>
      <c r="E38" s="158"/>
      <c r="F38" s="157">
        <f ca="1">SUMPRODUCT(D138:G138,Notenbogen!$D$76:'Notenbogen'!$G$76)+COUNT(Notenbogen!H38:J38)</f>
        <v>0</v>
      </c>
      <c r="G38" s="159">
        <f>COUNT(Notenbogen!K38)</f>
        <v>0</v>
      </c>
      <c r="H38" s="159"/>
      <c r="I38" s="158"/>
      <c r="J38" s="156" t="e">
        <f ca="1">IF(J37&lt;1,0,ROUNDUP(J37,2))</f>
        <v>#DIV/0!</v>
      </c>
      <c r="L38" s="157">
        <f ca="1">SUMPRODUCT(P137:S137,Notenbogen!$P$75:'Notenbogen'!$S$75)+D38</f>
        <v>0</v>
      </c>
      <c r="M38" s="158"/>
      <c r="N38" s="157">
        <f ca="1">SUMPRODUCT(P138:S138,Notenbogen!$P$76:'Notenbogen'!$S$76)+COUNT(Notenbogen!T38:V38)+F38</f>
        <v>0</v>
      </c>
      <c r="O38" s="159">
        <f>COUNT(Notenbogen!K38,Notenbogen!W38)</f>
        <v>0</v>
      </c>
      <c r="P38" s="159"/>
      <c r="Q38" s="158"/>
      <c r="R38" s="156" t="e">
        <f ca="1">IF(R37&lt;1,0,ROUNDUP(R37,2))</f>
        <v>#DIV/0!</v>
      </c>
      <c r="U38" s="46"/>
      <c r="V38" s="359">
        <f t="shared" si="5"/>
        <v>36.5</v>
      </c>
      <c r="W38" s="359">
        <f>+W7</f>
        <v>38</v>
      </c>
      <c r="X38" s="359">
        <f>+X7</f>
        <v>36.5</v>
      </c>
      <c r="Y38" s="46">
        <f>+Y7</f>
        <v>14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2:40" ht="12.75" customHeight="1" x14ac:dyDescent="0.2">
      <c r="B39" s="150">
        <f>IF(Notenbogen!B39="",0,Notenbogen!B39)</f>
        <v>0</v>
      </c>
      <c r="C39" s="160"/>
      <c r="D39" s="151">
        <f ca="1">SUMPRODUCT(Notenbogen!D39:'Notenbogen'!G39,Notenbogen!$D$75:'Notenbogen'!$G$75)</f>
        <v>0</v>
      </c>
      <c r="E39" s="152" t="e">
        <f ca="1">+ROUNDUP(D39/D40,2)</f>
        <v>#DIV/0!</v>
      </c>
      <c r="F39" s="151">
        <f ca="1">SUMPRODUCT(Notenbogen!D40:'Notenbogen'!G40,Notenbogen!$D$76:'Notenbogen'!$G$76)+SUM(Notenbogen!H40:J40)+A35</f>
        <v>0</v>
      </c>
      <c r="G39" s="153">
        <f>+Notenbogen!K40</f>
        <v>0</v>
      </c>
      <c r="H39" s="153" t="e">
        <f ca="1">+(F39+G39+G39)/(F40+G40+G40)</f>
        <v>#DIV/0!</v>
      </c>
      <c r="I39" s="152" t="e">
        <f ca="1">ROUNDUP(IF(Notenbogen!L40="",NB!H39,(1-FR)*NB!H39+FR*Notenbogen!L40),2)</f>
        <v>#DIV/0!</v>
      </c>
      <c r="J39" s="154" t="e">
        <f ca="1">IF(AND(gew=2,Notenbogen!Y39="Legasthenie"),(E39+I39)/2,IF(Notenbogen!$C$1="KA / mdl.",I39,(E39* gew+I39)/(1+gew)))</f>
        <v>#DIV/0!</v>
      </c>
      <c r="L39" s="151">
        <f ca="1">SUMPRODUCT(Notenbogen!P39:'Notenbogen'!S39,Notenbogen!$P$75:'Notenbogen'!$S$75)+D39</f>
        <v>0</v>
      </c>
      <c r="M39" s="152" t="e">
        <f ca="1">ROUNDUP(L39/L40,2)</f>
        <v>#DIV/0!</v>
      </c>
      <c r="N39" s="151">
        <f ca="1">SUMPRODUCT(Notenbogen!P40:'Notenbogen'!S40,Notenbogen!$P$76:'Notenbogen'!$S$76)+SUM(Notenbogen!T40:V40)+F39</f>
        <v>0</v>
      </c>
      <c r="O39" s="153">
        <f>SUM(Notenbogen!K40,Notenbogen!W40)</f>
        <v>0</v>
      </c>
      <c r="P39" s="153" t="e">
        <f ca="1">+(N39+O39+O39)/(N40+O40+O40)</f>
        <v>#DIV/0!</v>
      </c>
      <c r="Q39" s="152" t="e">
        <f ca="1">ROUNDUP(IF(COUNT(Notenbogen!L40,Notenbogen!X40)=2,"F",IF(COUNT(Notenbogen!L40,Notenbogen!X40)=0,P39,(1-FR)*P39+FR*(Notenbogen!L40+Notenbogen!X40))),2)</f>
        <v>#DIV/0!</v>
      </c>
      <c r="R39" s="154" t="e">
        <f ca="1">IF(AND(gew=2,Notenbogen!Y39="Legasthenie"),(M39+Q39)/2,IF(Notenbogen!$C$1="KA / mdl.",Q39,(M39* gew+Q39)/(1+gew)))</f>
        <v>#DIV/0!</v>
      </c>
      <c r="U39" s="46"/>
      <c r="V39" s="359">
        <f t="shared" si="5"/>
        <v>38.5</v>
      </c>
      <c r="W39" s="359">
        <f>+W6</f>
        <v>40</v>
      </c>
      <c r="X39" s="359">
        <f>+X6</f>
        <v>38.5</v>
      </c>
      <c r="Y39" s="98">
        <f>+Y6</f>
        <v>15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2:40" ht="12.75" customHeight="1" x14ac:dyDescent="0.2">
      <c r="B40" s="150">
        <f>IF(Notenbogen!B40="",0,Notenbogen!B40)</f>
        <v>0</v>
      </c>
      <c r="C40" s="162"/>
      <c r="D40" s="157">
        <f ca="1">SUMPRODUCT(D139:G139,Notenbogen!$D$75:'Notenbogen'!$G$75)</f>
        <v>0</v>
      </c>
      <c r="E40" s="158"/>
      <c r="F40" s="157">
        <f ca="1">SUMPRODUCT(D140:G140,Notenbogen!$D$76:'Notenbogen'!$G$76)+COUNT(Notenbogen!H40:J40)</f>
        <v>0</v>
      </c>
      <c r="G40" s="159">
        <f>COUNT(Notenbogen!K40)</f>
        <v>0</v>
      </c>
      <c r="H40" s="159"/>
      <c r="I40" s="158"/>
      <c r="J40" s="156" t="e">
        <f ca="1">IF(J39&lt;1,0,ROUNDUP(J39,2))</f>
        <v>#DIV/0!</v>
      </c>
      <c r="L40" s="157">
        <f ca="1">SUMPRODUCT(P139:S139,Notenbogen!$P$75:'Notenbogen'!$S$75)+D40</f>
        <v>0</v>
      </c>
      <c r="M40" s="158"/>
      <c r="N40" s="157">
        <f ca="1">SUMPRODUCT(P140:S140,Notenbogen!$P$76:'Notenbogen'!$S$76)+COUNT(Notenbogen!T40:V40)+F40</f>
        <v>0</v>
      </c>
      <c r="O40" s="159">
        <f>COUNT(Notenbogen!K40,Notenbogen!W40)</f>
        <v>0</v>
      </c>
      <c r="P40" s="159"/>
      <c r="Q40" s="158"/>
      <c r="R40" s="156" t="e">
        <f ca="1">IF(R39&lt;1,0,ROUNDUP(R39,2))</f>
        <v>#DIV/0!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2:40" ht="12.75" customHeight="1" x14ac:dyDescent="0.2">
      <c r="B41" s="150">
        <f>IF(Notenbogen!B41="",0,Notenbogen!B41)</f>
        <v>0</v>
      </c>
      <c r="C41" s="160"/>
      <c r="D41" s="151">
        <f ca="1">SUMPRODUCT(Notenbogen!D41:'Notenbogen'!G41,Notenbogen!$D$75:'Notenbogen'!$G$75)</f>
        <v>0</v>
      </c>
      <c r="E41" s="152" t="e">
        <f ca="1">+ROUNDUP(D41/D42,2)</f>
        <v>#DIV/0!</v>
      </c>
      <c r="F41" s="151">
        <f ca="1">SUMPRODUCT(Notenbogen!D42:'Notenbogen'!G42,Notenbogen!$D$76:'Notenbogen'!$G$76)+SUM(Notenbogen!H42:J42)+A37</f>
        <v>0</v>
      </c>
      <c r="G41" s="153">
        <f>+Notenbogen!K42</f>
        <v>0</v>
      </c>
      <c r="H41" s="153" t="e">
        <f ca="1">+(F41+G41+G41)/(F42+G42+G42)</f>
        <v>#DIV/0!</v>
      </c>
      <c r="I41" s="152" t="e">
        <f ca="1">ROUNDUP(IF(Notenbogen!L42="",NB!H41,(1-FR)*NB!H41+FR*Notenbogen!L42),2)</f>
        <v>#DIV/0!</v>
      </c>
      <c r="J41" s="154" t="e">
        <f ca="1">IF(AND(gew=2,Notenbogen!Y41="Legasthenie"),(E41+I41)/2,IF(Notenbogen!$C$1="KA / mdl.",I41,(E41* gew+I41)/(1+gew)))</f>
        <v>#DIV/0!</v>
      </c>
      <c r="L41" s="151">
        <f ca="1">SUMPRODUCT(Notenbogen!P41:'Notenbogen'!S41,Notenbogen!$P$75:'Notenbogen'!$S$75)+D41</f>
        <v>0</v>
      </c>
      <c r="M41" s="152" t="e">
        <f ca="1">ROUNDUP(L41/L42,2)</f>
        <v>#DIV/0!</v>
      </c>
      <c r="N41" s="151">
        <f ca="1">SUMPRODUCT(Notenbogen!P42:'Notenbogen'!S42,Notenbogen!$P$76:'Notenbogen'!$S$76)+SUM(Notenbogen!T42:V42)+F41</f>
        <v>0</v>
      </c>
      <c r="O41" s="153">
        <f>SUM(Notenbogen!K42,Notenbogen!W42)</f>
        <v>0</v>
      </c>
      <c r="P41" s="153" t="e">
        <f ca="1">+(N41+O41+O41)/(N42+O42+O42)</f>
        <v>#DIV/0!</v>
      </c>
      <c r="Q41" s="152" t="e">
        <f ca="1">ROUNDUP(IF(COUNT(Notenbogen!L42,Notenbogen!X42)=2,"F",IF(COUNT(Notenbogen!L42,Notenbogen!X42)=0,P41,(1-FR)*P41+FR*(Notenbogen!L42+Notenbogen!X42))),2)</f>
        <v>#DIV/0!</v>
      </c>
      <c r="R41" s="154" t="e">
        <f ca="1">IF(AND(gew=2,Notenbogen!Y41="Legasthenie"),(M41+Q41)/2,IF(Notenbogen!$C$1="KA / mdl.",Q41,(M41* gew+Q41)/(1+gew)))</f>
        <v>#DIV/0!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2:40" ht="12.75" customHeight="1" x14ac:dyDescent="0.2">
      <c r="B42" s="150">
        <f>IF(Notenbogen!B42="",0,Notenbogen!B42)</f>
        <v>0</v>
      </c>
      <c r="C42" s="162"/>
      <c r="D42" s="157">
        <f ca="1">SUMPRODUCT(D141:G141,Notenbogen!$D$75:'Notenbogen'!$G$75)</f>
        <v>0</v>
      </c>
      <c r="E42" s="158"/>
      <c r="F42" s="157">
        <f ca="1">SUMPRODUCT(D142:G142,Notenbogen!$D$76:'Notenbogen'!$G$76)+COUNT(Notenbogen!H42:J42)</f>
        <v>0</v>
      </c>
      <c r="G42" s="159">
        <f>COUNT(Notenbogen!K42)</f>
        <v>0</v>
      </c>
      <c r="H42" s="159"/>
      <c r="I42" s="158"/>
      <c r="J42" s="156" t="e">
        <f ca="1">IF(J41&lt;1,0,ROUNDUP(J41,2))</f>
        <v>#DIV/0!</v>
      </c>
      <c r="L42" s="157">
        <f ca="1">SUMPRODUCT(P141:S141,Notenbogen!$P$75:'Notenbogen'!$S$75)+D42</f>
        <v>0</v>
      </c>
      <c r="M42" s="158"/>
      <c r="N42" s="157">
        <f ca="1">SUMPRODUCT(P142:S142,Notenbogen!$P$76:'Notenbogen'!$S$76)+COUNT(Notenbogen!T42:V42)+F42</f>
        <v>0</v>
      </c>
      <c r="O42" s="159">
        <f>COUNT(Notenbogen!K42,Notenbogen!W42)</f>
        <v>0</v>
      </c>
      <c r="P42" s="159"/>
      <c r="Q42" s="158"/>
      <c r="R42" s="156" t="e">
        <f ca="1">IF(R41&lt;1,0,ROUNDUP(R41,2))</f>
        <v>#DIV/0!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2:40" ht="12.75" customHeight="1" x14ac:dyDescent="0.2">
      <c r="B43" s="150">
        <f>IF(Notenbogen!B43="",0,Notenbogen!B43)</f>
        <v>0</v>
      </c>
      <c r="C43" s="160"/>
      <c r="D43" s="151">
        <f ca="1">SUMPRODUCT(Notenbogen!D43:'Notenbogen'!G43,Notenbogen!$D$75:'Notenbogen'!$G$75)</f>
        <v>0</v>
      </c>
      <c r="E43" s="152" t="e">
        <f ca="1">+ROUNDUP(D43/D44,2)</f>
        <v>#DIV/0!</v>
      </c>
      <c r="F43" s="151">
        <f ca="1">SUMPRODUCT(Notenbogen!D44:'Notenbogen'!G44,Notenbogen!$D$76:'Notenbogen'!$G$76)+SUM(Notenbogen!H44:J44)+A39</f>
        <v>0</v>
      </c>
      <c r="G43" s="153">
        <f>+Notenbogen!K44</f>
        <v>0</v>
      </c>
      <c r="H43" s="153" t="e">
        <f ca="1">+(F43+G43+G43)/(F44+G44+G44)</f>
        <v>#DIV/0!</v>
      </c>
      <c r="I43" s="152" t="e">
        <f ca="1">ROUNDUP(IF(Notenbogen!L44="",NB!H43,(1-FR)*NB!H43+FR*Notenbogen!L44),2)</f>
        <v>#DIV/0!</v>
      </c>
      <c r="J43" s="154" t="e">
        <f ca="1">IF(AND(gew=2,Notenbogen!Y43="Legasthenie"),(E43+I43)/2,IF(Notenbogen!$C$1="KA / mdl.",I43,(E43* gew+I43)/(1+gew)))</f>
        <v>#DIV/0!</v>
      </c>
      <c r="L43" s="151">
        <f ca="1">SUMPRODUCT(Notenbogen!P43:'Notenbogen'!S43,Notenbogen!$P$75:'Notenbogen'!$S$75)+D43</f>
        <v>0</v>
      </c>
      <c r="M43" s="152" t="e">
        <f ca="1">ROUNDUP(L43/L44,2)</f>
        <v>#DIV/0!</v>
      </c>
      <c r="N43" s="151">
        <f ca="1">SUMPRODUCT(Notenbogen!P44:'Notenbogen'!S44,Notenbogen!$P$76:'Notenbogen'!$S$76)+SUM(Notenbogen!T44:V44)+F43</f>
        <v>0</v>
      </c>
      <c r="O43" s="153">
        <f>SUM(Notenbogen!K44,Notenbogen!W44)</f>
        <v>0</v>
      </c>
      <c r="P43" s="153" t="e">
        <f ca="1">+(N43+O43+O43)/(N44+O44+O44)</f>
        <v>#DIV/0!</v>
      </c>
      <c r="Q43" s="152" t="e">
        <f ca="1">ROUNDUP(IF(COUNT(Notenbogen!L44,Notenbogen!X44)=2,"F",IF(COUNT(Notenbogen!L44,Notenbogen!X44)=0,P43,(1-FR)*P43+FR*(Notenbogen!L44+Notenbogen!X44))),2)</f>
        <v>#DIV/0!</v>
      </c>
      <c r="R43" s="154" t="e">
        <f ca="1">IF(AND(gew=2,Notenbogen!Y43="Legasthenie"),(M43+Q43)/2,IF(Notenbogen!$C$1="KA / mdl.",Q43,(M43* gew+Q43)/(1+gew)))</f>
        <v>#DIV/0!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52"/>
      <c r="AI43" s="57"/>
      <c r="AJ43" s="60"/>
      <c r="AK43" s="60"/>
      <c r="AL43" s="52"/>
      <c r="AM43" s="88" t="s">
        <v>58</v>
      </c>
      <c r="AN43" s="57"/>
    </row>
    <row r="44" spans="2:40" ht="12.75" customHeight="1" thickBot="1" x14ac:dyDescent="0.25">
      <c r="B44" s="150">
        <f>IF(Notenbogen!B44="",0,Notenbogen!B44)</f>
        <v>0</v>
      </c>
      <c r="C44" s="162"/>
      <c r="D44" s="157">
        <f ca="1">SUMPRODUCT(D143:G143,Notenbogen!$D$75:'Notenbogen'!$G$75)</f>
        <v>0</v>
      </c>
      <c r="E44" s="158"/>
      <c r="F44" s="157">
        <f ca="1">SUMPRODUCT(D144:G144,Notenbogen!$D$76:'Notenbogen'!$G$76)+COUNT(Notenbogen!H44:J44)</f>
        <v>0</v>
      </c>
      <c r="G44" s="159">
        <f>COUNT(Notenbogen!K44)</f>
        <v>0</v>
      </c>
      <c r="H44" s="159"/>
      <c r="I44" s="158"/>
      <c r="J44" s="156" t="e">
        <f ca="1">IF(J43&lt;1,0,ROUNDUP(J43,2))</f>
        <v>#DIV/0!</v>
      </c>
      <c r="L44" s="157">
        <f ca="1">SUMPRODUCT(P143:S143,Notenbogen!$P$75:'Notenbogen'!$S$75)+D44</f>
        <v>0</v>
      </c>
      <c r="M44" s="158"/>
      <c r="N44" s="157">
        <f ca="1">SUMPRODUCT(P144:S144,Notenbogen!$P$76:'Notenbogen'!$S$76)+COUNT(Notenbogen!T44:V44)+F44</f>
        <v>0</v>
      </c>
      <c r="O44" s="159">
        <f>COUNT(Notenbogen!K44,Notenbogen!W44)</f>
        <v>0</v>
      </c>
      <c r="P44" s="159"/>
      <c r="Q44" s="158"/>
      <c r="R44" s="156" t="e">
        <f ca="1">IF(R43&lt;1,0,ROUNDUP(R43,2))</f>
        <v>#DIV/0!</v>
      </c>
      <c r="U44" s="360"/>
      <c r="V44" s="375"/>
      <c r="W44" s="454"/>
      <c r="X44" s="454"/>
      <c r="Y44" s="65"/>
      <c r="Z44" s="454"/>
      <c r="AA44" s="454"/>
      <c r="AB44" s="46"/>
      <c r="AC44" s="65"/>
      <c r="AD44" s="57"/>
      <c r="AE44" s="57"/>
      <c r="AF44" s="60"/>
      <c r="AG44" s="60"/>
      <c r="AH44" s="52"/>
      <c r="AI44" s="65"/>
      <c r="AJ44" s="57"/>
      <c r="AK44" s="65"/>
      <c r="AL44" s="57"/>
      <c r="AM44" s="57"/>
      <c r="AN44" s="57"/>
    </row>
    <row r="45" spans="2:40" ht="12.75" customHeight="1" x14ac:dyDescent="0.2">
      <c r="B45" s="150">
        <f>IF(Notenbogen!B45="",0,Notenbogen!B45)</f>
        <v>0</v>
      </c>
      <c r="C45" s="160"/>
      <c r="D45" s="151">
        <f ca="1">SUMPRODUCT(Notenbogen!D45:'Notenbogen'!G45,Notenbogen!$D$75:'Notenbogen'!$G$75)</f>
        <v>0</v>
      </c>
      <c r="E45" s="152" t="e">
        <f ca="1">+ROUNDUP(D45/D46,2)</f>
        <v>#DIV/0!</v>
      </c>
      <c r="F45" s="151">
        <f ca="1">SUMPRODUCT(Notenbogen!D46:'Notenbogen'!G46,Notenbogen!$D$76:'Notenbogen'!$G$76)+SUM(Notenbogen!H46:J46)+A41</f>
        <v>0</v>
      </c>
      <c r="G45" s="153">
        <f>+Notenbogen!K46</f>
        <v>0</v>
      </c>
      <c r="H45" s="153" t="e">
        <f ca="1">+(F45+G45+G45)/(F46+G46+G46)</f>
        <v>#DIV/0!</v>
      </c>
      <c r="I45" s="152" t="e">
        <f ca="1">ROUNDUP(IF(Notenbogen!L46="",NB!H45,(1-FR)*NB!H45+FR*Notenbogen!L46),2)</f>
        <v>#DIV/0!</v>
      </c>
      <c r="J45" s="154" t="e">
        <f ca="1">IF(AND(gew=2,Notenbogen!Y45="Legasthenie"),(E45+I45)/2,IF(Notenbogen!$C$1="KA / mdl.",I45,(E45* gew+I45)/(1+gew)))</f>
        <v>#DIV/0!</v>
      </c>
      <c r="L45" s="151">
        <f ca="1">SUMPRODUCT(Notenbogen!P45:'Notenbogen'!S45,Notenbogen!$P$75:'Notenbogen'!$S$75)+D45</f>
        <v>0</v>
      </c>
      <c r="M45" s="152" t="e">
        <f ca="1">ROUNDUP(L45/L46,2)</f>
        <v>#DIV/0!</v>
      </c>
      <c r="N45" s="151">
        <f ca="1">SUMPRODUCT(Notenbogen!P46:'Notenbogen'!S46,Notenbogen!$P$76:'Notenbogen'!$S$76)+SUM(Notenbogen!T46:V46)+F45</f>
        <v>0</v>
      </c>
      <c r="O45" s="153">
        <f>SUM(Notenbogen!K46,Notenbogen!W46)</f>
        <v>0</v>
      </c>
      <c r="P45" s="153" t="e">
        <f ca="1">+(N45+O45+O45)/(N46+O46+O46)</f>
        <v>#DIV/0!</v>
      </c>
      <c r="Q45" s="152" t="e">
        <f ca="1">ROUNDUP(IF(COUNT(Notenbogen!L46,Notenbogen!X46)=2,"F",IF(COUNT(Notenbogen!L46,Notenbogen!X46)=0,P45,(1-FR)*P45+FR*(Notenbogen!L46+Notenbogen!X46))),2)</f>
        <v>#DIV/0!</v>
      </c>
      <c r="R45" s="154" t="e">
        <f ca="1">IF(AND(gew=2,Notenbogen!Y45="Legasthenie"),(M45+Q45)/2,IF(Notenbogen!$C$1="KA / mdl.",Q45,(M45* gew+Q45)/(1+gew)))</f>
        <v>#DIV/0!</v>
      </c>
      <c r="U45" s="376"/>
      <c r="V45" s="375"/>
      <c r="W45" s="458"/>
      <c r="X45" s="458"/>
      <c r="Y45" s="65"/>
      <c r="Z45" s="454"/>
      <c r="AA45" s="454"/>
      <c r="AB45" s="46"/>
      <c r="AC45" s="49" t="s">
        <v>17</v>
      </c>
      <c r="AD45" s="50" t="s">
        <v>32</v>
      </c>
      <c r="AE45" s="51"/>
      <c r="AF45" s="461" t="s">
        <v>41</v>
      </c>
      <c r="AG45" s="462"/>
      <c r="AH45" s="52"/>
      <c r="AI45" s="49" t="s">
        <v>17</v>
      </c>
      <c r="AJ45" s="50" t="s">
        <v>32</v>
      </c>
      <c r="AK45" s="53"/>
      <c r="AL45" s="452" t="s">
        <v>42</v>
      </c>
      <c r="AM45" s="453"/>
      <c r="AN45" s="54" t="s">
        <v>43</v>
      </c>
    </row>
    <row r="46" spans="2:40" ht="12.75" customHeight="1" x14ac:dyDescent="0.2">
      <c r="B46" s="150">
        <f>IF(Notenbogen!B46="",0,Notenbogen!B46)</f>
        <v>0</v>
      </c>
      <c r="C46" s="162"/>
      <c r="D46" s="157">
        <f ca="1">SUMPRODUCT(D145:G145,Notenbogen!$D$75:'Notenbogen'!$G$75)</f>
        <v>0</v>
      </c>
      <c r="E46" s="158"/>
      <c r="F46" s="157">
        <f ca="1">SUMPRODUCT(D146:G146,Notenbogen!$D$76:'Notenbogen'!$G$76)+COUNT(Notenbogen!H46:J46)</f>
        <v>0</v>
      </c>
      <c r="G46" s="159">
        <f>COUNT(Notenbogen!K46)</f>
        <v>0</v>
      </c>
      <c r="H46" s="159"/>
      <c r="I46" s="158"/>
      <c r="J46" s="156" t="e">
        <f ca="1">IF(J45&lt;1,0,ROUNDUP(J45,2))</f>
        <v>#DIV/0!</v>
      </c>
      <c r="L46" s="157">
        <f ca="1">SUMPRODUCT(P145:S145,Notenbogen!$P$75:'Notenbogen'!$S$75)+D46</f>
        <v>0</v>
      </c>
      <c r="M46" s="158"/>
      <c r="N46" s="157">
        <f ca="1">SUMPRODUCT(P146:S146,Notenbogen!$P$76:'Notenbogen'!$S$76)+COUNT(Notenbogen!T46:V46)+F46</f>
        <v>0</v>
      </c>
      <c r="O46" s="159">
        <f>COUNT(Notenbogen!K46,Notenbogen!W46)</f>
        <v>0</v>
      </c>
      <c r="P46" s="159"/>
      <c r="Q46" s="158"/>
      <c r="R46" s="156" t="e">
        <f ca="1">IF(R45&lt;1,0,ROUNDUP(R45,2))</f>
        <v>#DIV/0!</v>
      </c>
      <c r="U46" s="377"/>
      <c r="V46" s="375"/>
      <c r="W46" s="360"/>
      <c r="X46" s="360"/>
      <c r="Y46" s="65"/>
      <c r="Z46" s="454"/>
      <c r="AA46" s="454"/>
      <c r="AB46" s="46"/>
      <c r="AC46" s="58"/>
      <c r="AD46" s="59"/>
      <c r="AE46" s="57"/>
      <c r="AF46" s="60" t="s">
        <v>46</v>
      </c>
      <c r="AG46" s="61" t="s">
        <v>47</v>
      </c>
      <c r="AH46" s="52"/>
      <c r="AI46" s="58"/>
      <c r="AJ46" s="59"/>
      <c r="AK46" s="57"/>
      <c r="AL46" s="57" t="s">
        <v>46</v>
      </c>
      <c r="AM46" s="62" t="s">
        <v>47</v>
      </c>
      <c r="AN46" s="63"/>
    </row>
    <row r="47" spans="2:40" ht="12.75" customHeight="1" x14ac:dyDescent="0.2">
      <c r="B47" s="150">
        <f>IF(Notenbogen!B47="",0,Notenbogen!B47)</f>
        <v>0</v>
      </c>
      <c r="C47" s="160"/>
      <c r="D47" s="151">
        <f ca="1">SUMPRODUCT(Notenbogen!D47:'Notenbogen'!G47,Notenbogen!$D$75:'Notenbogen'!$G$75)</f>
        <v>0</v>
      </c>
      <c r="E47" s="152" t="e">
        <f ca="1">+ROUNDUP(D47/D48,2)</f>
        <v>#DIV/0!</v>
      </c>
      <c r="F47" s="151">
        <f ca="1">SUMPRODUCT(Notenbogen!D48:'Notenbogen'!G48,Notenbogen!$D$76:'Notenbogen'!$G$76)+SUM(Notenbogen!H48:J48)+A43</f>
        <v>0</v>
      </c>
      <c r="G47" s="153">
        <f>+Notenbogen!K48</f>
        <v>0</v>
      </c>
      <c r="H47" s="153" t="e">
        <f ca="1">+(F47+G47+G47)/(F48+G48+G48)</f>
        <v>#DIV/0!</v>
      </c>
      <c r="I47" s="152" t="e">
        <f ca="1">ROUNDUP(IF(Notenbogen!L48="",NB!H47,(1-FR)*NB!H47+FR*Notenbogen!L48),2)</f>
        <v>#DIV/0!</v>
      </c>
      <c r="J47" s="154" t="e">
        <f ca="1">IF(AND(gew=2,Notenbogen!Y47="Legasthenie"),(E47+I47)/2,IF(Notenbogen!$C$1="KA / mdl.",I47,(E47* gew+I47)/(1+gew)))</f>
        <v>#DIV/0!</v>
      </c>
      <c r="L47" s="151">
        <f ca="1">SUMPRODUCT(Notenbogen!P47:'Notenbogen'!S47,Notenbogen!$P$75:'Notenbogen'!$S$75)+D47</f>
        <v>0</v>
      </c>
      <c r="M47" s="152" t="e">
        <f ca="1">ROUNDUP(L47/L48,2)</f>
        <v>#DIV/0!</v>
      </c>
      <c r="N47" s="151">
        <f ca="1">SUMPRODUCT(Notenbogen!P48:'Notenbogen'!S48,Notenbogen!$P$76:'Notenbogen'!$S$76)+SUM(Notenbogen!T48:V48)+F47</f>
        <v>0</v>
      </c>
      <c r="O47" s="153">
        <f>SUM(Notenbogen!K48,Notenbogen!W48)</f>
        <v>0</v>
      </c>
      <c r="P47" s="153" t="e">
        <f ca="1">+(N47+O47+O47)/(N48+O48+O48)</f>
        <v>#DIV/0!</v>
      </c>
      <c r="Q47" s="152" t="e">
        <f ca="1">ROUNDUP(IF(COUNT(Notenbogen!L48,Notenbogen!X48)=2,"F",IF(COUNT(Notenbogen!L48,Notenbogen!X48)=0,P47,(1-FR)*P47+FR*(Notenbogen!L48+Notenbogen!X48))),2)</f>
        <v>#DIV/0!</v>
      </c>
      <c r="R47" s="154" t="e">
        <f ca="1">IF(AND(gew=2,Notenbogen!Y47="Legasthenie"),(M47+Q47)/2,IF(Notenbogen!$C$1="KA / mdl.",Q47,(M47* gew+Q47)/(1+gew)))</f>
        <v>#DIV/0!</v>
      </c>
      <c r="U47" s="65"/>
      <c r="V47" s="375"/>
      <c r="W47" s="360"/>
      <c r="X47" s="360"/>
      <c r="Y47" s="65"/>
      <c r="Z47" s="360"/>
      <c r="AA47" s="360"/>
      <c r="AB47" s="46"/>
      <c r="AC47" s="68"/>
      <c r="AD47" s="69"/>
      <c r="AE47" s="70"/>
      <c r="AF47" s="76"/>
      <c r="AG47" s="77"/>
      <c r="AH47" s="65"/>
      <c r="AI47" s="68"/>
      <c r="AJ47" s="69"/>
      <c r="AK47" s="70"/>
      <c r="AL47" s="71"/>
      <c r="AM47" s="72"/>
      <c r="AN47" s="73"/>
    </row>
    <row r="48" spans="2:40" ht="12.75" customHeight="1" x14ac:dyDescent="0.2">
      <c r="B48" s="150">
        <f>IF(Notenbogen!B48="",0,Notenbogen!B48)</f>
        <v>0</v>
      </c>
      <c r="C48" s="162"/>
      <c r="D48" s="157">
        <f ca="1">SUMPRODUCT(D147:G147,Notenbogen!$D$75:'Notenbogen'!$G$75)</f>
        <v>0</v>
      </c>
      <c r="E48" s="158"/>
      <c r="F48" s="157">
        <f ca="1">SUMPRODUCT(D148:G148,Notenbogen!$D$76:'Notenbogen'!$G$76)+COUNT(Notenbogen!H48:J48)</f>
        <v>0</v>
      </c>
      <c r="G48" s="159">
        <f>COUNT(Notenbogen!K48)</f>
        <v>0</v>
      </c>
      <c r="H48" s="159"/>
      <c r="I48" s="158"/>
      <c r="J48" s="156" t="e">
        <f ca="1">IF(J47&lt;1,0,ROUNDUP(J47,2))</f>
        <v>#DIV/0!</v>
      </c>
      <c r="L48" s="157">
        <f ca="1">SUMPRODUCT(P147:S147,Notenbogen!$P$75:'Notenbogen'!$S$75)+D48</f>
        <v>0</v>
      </c>
      <c r="M48" s="158"/>
      <c r="N48" s="157">
        <f ca="1">SUMPRODUCT(P148:S148,Notenbogen!$P$76:'Notenbogen'!$S$76)+COUNT(Notenbogen!T48:V48)+F48</f>
        <v>0</v>
      </c>
      <c r="O48" s="159">
        <f>COUNT(Notenbogen!K48,Notenbogen!W48)</f>
        <v>0</v>
      </c>
      <c r="P48" s="159"/>
      <c r="Q48" s="158"/>
      <c r="R48" s="156" t="e">
        <f ca="1">IF(R47&lt;1,0,ROUNDUP(R47,2))</f>
        <v>#DIV/0!</v>
      </c>
      <c r="U48" s="376"/>
      <c r="V48" s="375"/>
      <c r="W48" s="60"/>
      <c r="X48" s="60"/>
      <c r="Y48" s="65"/>
      <c r="Z48" s="360"/>
      <c r="AA48" s="360"/>
      <c r="AB48" s="46"/>
      <c r="AC48" s="78" t="s">
        <v>50</v>
      </c>
      <c r="AD48" s="59">
        <v>15</v>
      </c>
      <c r="AE48" s="65"/>
      <c r="AF48" s="60">
        <f>I1SA!$H$35+30*(100-I1SA!$H$35)/30</f>
        <v>100</v>
      </c>
      <c r="AG48" s="61">
        <f t="shared" ref="AG48:AG59" si="6">AF49+0.1</f>
        <v>94.1</v>
      </c>
      <c r="AH48" s="65"/>
      <c r="AI48" s="78" t="s">
        <v>50</v>
      </c>
      <c r="AJ48" s="59">
        <v>15</v>
      </c>
      <c r="AK48" s="65"/>
      <c r="AL48" s="60">
        <f>I1SA!$H$30</f>
        <v>40</v>
      </c>
      <c r="AM48" s="353">
        <f>AL49+0.5</f>
        <v>38</v>
      </c>
      <c r="AN48" s="63">
        <f t="shared" ref="AN48:AN62" si="7">IF(AM48&gt;AL48,"ALARM",AL48-AL49)</f>
        <v>2.5</v>
      </c>
    </row>
    <row r="49" spans="2:40" ht="12.75" customHeight="1" x14ac:dyDescent="0.2">
      <c r="B49" s="150">
        <f>IF(Notenbogen!B49="",0,Notenbogen!B49)</f>
        <v>0</v>
      </c>
      <c r="C49" s="160"/>
      <c r="D49" s="151">
        <f ca="1">SUMPRODUCT(Notenbogen!D49:'Notenbogen'!G49,Notenbogen!$D$75:'Notenbogen'!$G$75)</f>
        <v>0</v>
      </c>
      <c r="E49" s="152" t="e">
        <f ca="1">+ROUNDUP(D49/D50,2)</f>
        <v>#DIV/0!</v>
      </c>
      <c r="F49" s="151">
        <f ca="1">SUMPRODUCT(Notenbogen!D50:'Notenbogen'!G50,Notenbogen!$D$76:'Notenbogen'!$G$76)+SUM(Notenbogen!H50:J50)+A45</f>
        <v>0</v>
      </c>
      <c r="G49" s="153">
        <f>+Notenbogen!K50</f>
        <v>0</v>
      </c>
      <c r="H49" s="153" t="e">
        <f ca="1">+(F49+G49+G49)/(F50+G50+G50)</f>
        <v>#DIV/0!</v>
      </c>
      <c r="I49" s="152" t="e">
        <f ca="1">ROUNDUP(IF(Notenbogen!L50="",NB!H49,(1-FR)*NB!H49+FR*Notenbogen!L50),2)</f>
        <v>#DIV/0!</v>
      </c>
      <c r="J49" s="154" t="e">
        <f ca="1">IF(AND(gew=2,Notenbogen!Y49="Legasthenie"),(E49+I49)/2,IF(Notenbogen!$C$1="KA / mdl.",I49,(E49* gew+I49)/(1+gew)))</f>
        <v>#DIV/0!</v>
      </c>
      <c r="L49" s="151">
        <f ca="1">SUMPRODUCT(Notenbogen!P49:'Notenbogen'!S49,Notenbogen!$P$75:'Notenbogen'!$S$75)+D49</f>
        <v>0</v>
      </c>
      <c r="M49" s="152" t="e">
        <f ca="1">ROUNDUP(L49/L50,2)</f>
        <v>#DIV/0!</v>
      </c>
      <c r="N49" s="151">
        <f ca="1">SUMPRODUCT(Notenbogen!P50:'Notenbogen'!S50,Notenbogen!$P$76:'Notenbogen'!$S$76)+SUM(Notenbogen!T50:V50)+F49</f>
        <v>0</v>
      </c>
      <c r="O49" s="153">
        <f>SUM(Notenbogen!K50,Notenbogen!W50)</f>
        <v>0</v>
      </c>
      <c r="P49" s="153" t="e">
        <f ca="1">+(N49+O49+O49)/(N50+O50+O50)</f>
        <v>#DIV/0!</v>
      </c>
      <c r="Q49" s="152" t="e">
        <f ca="1">ROUNDUP(IF(COUNT(Notenbogen!L50,Notenbogen!X50)=2,"F",IF(COUNT(Notenbogen!L50,Notenbogen!X50)=0,P49,(1-FR)*P49+FR*(Notenbogen!L50+Notenbogen!X50))),2)</f>
        <v>#DIV/0!</v>
      </c>
      <c r="R49" s="154" t="e">
        <f ca="1">IF(AND(gew=2,Notenbogen!Y49="Legasthenie"),(M49+Q49)/2,IF(Notenbogen!$C$1="KA / mdl.",Q49,(M49* gew+Q49)/(1+gew)))</f>
        <v>#DIV/0!</v>
      </c>
      <c r="U49" s="376"/>
      <c r="V49" s="375"/>
      <c r="W49" s="60"/>
      <c r="X49" s="60"/>
      <c r="Y49" s="65"/>
      <c r="Z49" s="360"/>
      <c r="AA49" s="360"/>
      <c r="AB49" s="46"/>
      <c r="AC49" s="58">
        <v>1</v>
      </c>
      <c r="AD49" s="59">
        <v>14</v>
      </c>
      <c r="AE49" s="65"/>
      <c r="AF49" s="60">
        <f>I1SA!$H$35+27*(100-I1SA!$H$35)/30</f>
        <v>94</v>
      </c>
      <c r="AG49" s="61">
        <f t="shared" si="6"/>
        <v>88.1</v>
      </c>
      <c r="AH49" s="65"/>
      <c r="AI49" s="58">
        <v>1</v>
      </c>
      <c r="AJ49" s="59">
        <v>14</v>
      </c>
      <c r="AK49" s="65"/>
      <c r="AL49" s="60">
        <f>ROUNDDOWN(I1SA!$H$30*AF49/500,1)*5</f>
        <v>37.5</v>
      </c>
      <c r="AM49" s="353">
        <f t="shared" ref="AM49:AM61" si="8">AL50+0.5</f>
        <v>35.5</v>
      </c>
      <c r="AN49" s="63">
        <f t="shared" si="7"/>
        <v>2.5</v>
      </c>
    </row>
    <row r="50" spans="2:40" ht="12.75" customHeight="1" x14ac:dyDescent="0.2">
      <c r="B50" s="150">
        <f>IF(Notenbogen!B50="",0,Notenbogen!B50)</f>
        <v>0</v>
      </c>
      <c r="C50" s="162"/>
      <c r="D50" s="157">
        <f ca="1">SUMPRODUCT(D149:G149,Notenbogen!$D$75:'Notenbogen'!$G$75)</f>
        <v>0</v>
      </c>
      <c r="E50" s="158"/>
      <c r="F50" s="157">
        <f ca="1">SUMPRODUCT(D150:G150,Notenbogen!$D$76:'Notenbogen'!$G$76)+COUNT(Notenbogen!H50:J50)</f>
        <v>0</v>
      </c>
      <c r="G50" s="159">
        <f>COUNT(Notenbogen!K50)</f>
        <v>0</v>
      </c>
      <c r="H50" s="159"/>
      <c r="I50" s="158"/>
      <c r="J50" s="156" t="e">
        <f ca="1">IF(J49&lt;1,0,ROUNDUP(J49,2))</f>
        <v>#DIV/0!</v>
      </c>
      <c r="L50" s="157">
        <f ca="1">SUMPRODUCT(P149:S149,Notenbogen!$P$75:'Notenbogen'!$S$75)+D50</f>
        <v>0</v>
      </c>
      <c r="M50" s="158"/>
      <c r="N50" s="157">
        <f ca="1">SUMPRODUCT(P150:S150,Notenbogen!$P$76:'Notenbogen'!$S$76)+COUNT(Notenbogen!T50:V50)+F50</f>
        <v>0</v>
      </c>
      <c r="O50" s="159">
        <f>COUNT(Notenbogen!K50,Notenbogen!W50)</f>
        <v>0</v>
      </c>
      <c r="P50" s="159"/>
      <c r="Q50" s="158"/>
      <c r="R50" s="156" t="e">
        <f ca="1">IF(R49&lt;1,0,ROUNDUP(R49,2))</f>
        <v>#DIV/0!</v>
      </c>
      <c r="U50" s="376"/>
      <c r="V50" s="375"/>
      <c r="W50" s="60"/>
      <c r="X50" s="60"/>
      <c r="Y50" s="65"/>
      <c r="Z50" s="360"/>
      <c r="AA50" s="360"/>
      <c r="AB50" s="46"/>
      <c r="AC50" s="81" t="s">
        <v>22</v>
      </c>
      <c r="AD50" s="69">
        <v>13</v>
      </c>
      <c r="AE50" s="70"/>
      <c r="AF50" s="82">
        <f>I1SA!$H$35+24*(100-I1SA!$H$35)/30</f>
        <v>88</v>
      </c>
      <c r="AG50" s="83">
        <f t="shared" si="6"/>
        <v>82.1</v>
      </c>
      <c r="AH50" s="65"/>
      <c r="AI50" s="81" t="s">
        <v>22</v>
      </c>
      <c r="AJ50" s="69">
        <v>13</v>
      </c>
      <c r="AK50" s="70"/>
      <c r="AL50" s="60">
        <f>ROUNDDOWN(I1SA!$H$30*AF50/500,1)*5</f>
        <v>35</v>
      </c>
      <c r="AM50" s="353">
        <f t="shared" si="8"/>
        <v>33</v>
      </c>
      <c r="AN50" s="73">
        <f t="shared" si="7"/>
        <v>2.5</v>
      </c>
    </row>
    <row r="51" spans="2:40" ht="12.75" customHeight="1" x14ac:dyDescent="0.2">
      <c r="B51" s="150">
        <f>IF(Notenbogen!B51="",0,Notenbogen!B51)</f>
        <v>0</v>
      </c>
      <c r="C51" s="160"/>
      <c r="D51" s="151">
        <f ca="1">SUMPRODUCT(Notenbogen!D51:'Notenbogen'!G51,Notenbogen!$D$75:'Notenbogen'!$G$75)</f>
        <v>0</v>
      </c>
      <c r="E51" s="152" t="e">
        <f ca="1">+ROUNDUP(D51/D52,2)</f>
        <v>#DIV/0!</v>
      </c>
      <c r="F51" s="151">
        <f ca="1">SUMPRODUCT(Notenbogen!D52:'Notenbogen'!G52,Notenbogen!$D$76:'Notenbogen'!$G$76)+SUM(Notenbogen!H52:J52)+A47</f>
        <v>0</v>
      </c>
      <c r="G51" s="153">
        <f>+Notenbogen!K52</f>
        <v>0</v>
      </c>
      <c r="H51" s="153" t="e">
        <f ca="1">+(F51+G51+G51)/(F52+G52+G52)</f>
        <v>#DIV/0!</v>
      </c>
      <c r="I51" s="152" t="e">
        <f ca="1">ROUNDUP(IF(Notenbogen!L52="",NB!H51,(1-FR)*NB!H51+FR*Notenbogen!L52),2)</f>
        <v>#DIV/0!</v>
      </c>
      <c r="J51" s="154" t="e">
        <f ca="1">IF(AND(gew=2,Notenbogen!Y51="Legasthenie"),(E51+I51)/2,IF(Notenbogen!$C$1="KA / mdl.",I51,(E51* gew+I51)/(1+gew)))</f>
        <v>#DIV/0!</v>
      </c>
      <c r="L51" s="151">
        <f ca="1">SUMPRODUCT(Notenbogen!P51:'Notenbogen'!S51,Notenbogen!$P$75:'Notenbogen'!$S$75)+D51</f>
        <v>0</v>
      </c>
      <c r="M51" s="152" t="e">
        <f ca="1">ROUNDUP(L51/L52,2)</f>
        <v>#DIV/0!</v>
      </c>
      <c r="N51" s="151">
        <f ca="1">SUMPRODUCT(Notenbogen!P52:'Notenbogen'!S52,Notenbogen!$P$76:'Notenbogen'!$S$76)+SUM(Notenbogen!T52:V52)+F51</f>
        <v>0</v>
      </c>
      <c r="O51" s="153">
        <f>SUM(Notenbogen!K52,Notenbogen!W52)</f>
        <v>0</v>
      </c>
      <c r="P51" s="153" t="e">
        <f ca="1">+(N51+O51+O51)/(N52+O52+O52)</f>
        <v>#DIV/0!</v>
      </c>
      <c r="Q51" s="152" t="e">
        <f ca="1">ROUNDUP(IF(COUNT(Notenbogen!L52,Notenbogen!X52)=2,"F",IF(COUNT(Notenbogen!L52,Notenbogen!X52)=0,P51,(1-FR)*P51+FR*(Notenbogen!L52+Notenbogen!X52))),2)</f>
        <v>#DIV/0!</v>
      </c>
      <c r="R51" s="154" t="e">
        <f ca="1">IF(AND(gew=2,Notenbogen!Y51="Legasthenie"),(M51+Q51)/2,IF(Notenbogen!$C$1="KA / mdl.",Q51,(M51* gew+Q51)/(1+gew)))</f>
        <v>#DIV/0!</v>
      </c>
      <c r="U51" s="376"/>
      <c r="V51" s="375"/>
      <c r="W51" s="60"/>
      <c r="X51" s="60"/>
      <c r="Y51" s="65"/>
      <c r="Z51" s="360"/>
      <c r="AA51" s="360"/>
      <c r="AB51" s="46"/>
      <c r="AC51" s="78" t="s">
        <v>50</v>
      </c>
      <c r="AD51" s="59">
        <v>12</v>
      </c>
      <c r="AE51" s="65"/>
      <c r="AF51" s="60">
        <f>I1SA!$H$35+21*(100-I1SA!$H$35)/30</f>
        <v>82</v>
      </c>
      <c r="AG51" s="61">
        <f t="shared" si="6"/>
        <v>76.099999999999994</v>
      </c>
      <c r="AH51" s="65"/>
      <c r="AI51" s="78" t="s">
        <v>50</v>
      </c>
      <c r="AJ51" s="59">
        <v>12</v>
      </c>
      <c r="AK51" s="65"/>
      <c r="AL51" s="60">
        <f>ROUNDDOWN(I1SA!$H$30*AF51/500,1)*5</f>
        <v>32.5</v>
      </c>
      <c r="AM51" s="353">
        <f t="shared" si="8"/>
        <v>30.5</v>
      </c>
      <c r="AN51" s="63">
        <f t="shared" si="7"/>
        <v>2.5</v>
      </c>
    </row>
    <row r="52" spans="2:40" ht="12.75" customHeight="1" x14ac:dyDescent="0.2">
      <c r="B52" s="150">
        <f>IF(Notenbogen!B52="",0,Notenbogen!B52)</f>
        <v>0</v>
      </c>
      <c r="C52" s="162"/>
      <c r="D52" s="157">
        <f ca="1">SUMPRODUCT(D151:G151,Notenbogen!$D$75:'Notenbogen'!$G$75)</f>
        <v>0</v>
      </c>
      <c r="E52" s="158"/>
      <c r="F52" s="157">
        <f ca="1">SUMPRODUCT(D152:G152,Notenbogen!$D$76:'Notenbogen'!$G$76)+COUNT(Notenbogen!H52:J52)</f>
        <v>0</v>
      </c>
      <c r="G52" s="159">
        <f>COUNT(Notenbogen!K52)</f>
        <v>0</v>
      </c>
      <c r="H52" s="159"/>
      <c r="I52" s="158"/>
      <c r="J52" s="156" t="e">
        <f ca="1">IF(J51&lt;1,0,ROUNDUP(J51,2))</f>
        <v>#DIV/0!</v>
      </c>
      <c r="L52" s="157">
        <f ca="1">SUMPRODUCT(P151:S151,Notenbogen!$P$75:'Notenbogen'!$S$75)+D52</f>
        <v>0</v>
      </c>
      <c r="M52" s="158"/>
      <c r="N52" s="157">
        <f ca="1">SUMPRODUCT(P152:S152,Notenbogen!$P$76:'Notenbogen'!$S$76)+COUNT(Notenbogen!T52:V52)+F52</f>
        <v>0</v>
      </c>
      <c r="O52" s="159">
        <f>COUNT(Notenbogen!K52,Notenbogen!W52)</f>
        <v>0</v>
      </c>
      <c r="P52" s="159"/>
      <c r="Q52" s="158"/>
      <c r="R52" s="156" t="e">
        <f ca="1">IF(R51&lt;1,0,ROUNDUP(R51,2))</f>
        <v>#DIV/0!</v>
      </c>
      <c r="U52" s="376"/>
      <c r="V52" s="375"/>
      <c r="W52" s="60"/>
      <c r="X52" s="60"/>
      <c r="Y52" s="65"/>
      <c r="Z52" s="360"/>
      <c r="AA52" s="360"/>
      <c r="AB52" s="46"/>
      <c r="AC52" s="58">
        <v>2</v>
      </c>
      <c r="AD52" s="59">
        <v>11</v>
      </c>
      <c r="AE52" s="65"/>
      <c r="AF52" s="60">
        <f>I1SA!$H$35+18*(100-I1SA!$H$35)/30</f>
        <v>76</v>
      </c>
      <c r="AG52" s="61">
        <f t="shared" si="6"/>
        <v>70.099999999999994</v>
      </c>
      <c r="AH52" s="65"/>
      <c r="AI52" s="58">
        <v>2</v>
      </c>
      <c r="AJ52" s="59">
        <v>11</v>
      </c>
      <c r="AK52" s="65"/>
      <c r="AL52" s="60">
        <f>ROUNDDOWN(I1SA!$H$30*AF52/500,1)*5</f>
        <v>30</v>
      </c>
      <c r="AM52" s="353">
        <f t="shared" si="8"/>
        <v>28.5</v>
      </c>
      <c r="AN52" s="63">
        <f t="shared" si="7"/>
        <v>2</v>
      </c>
    </row>
    <row r="53" spans="2:40" ht="12.75" customHeight="1" x14ac:dyDescent="0.2">
      <c r="B53" s="150">
        <f>IF(Notenbogen!B53="",0,Notenbogen!B53)</f>
        <v>0</v>
      </c>
      <c r="C53" s="160"/>
      <c r="D53" s="151">
        <f ca="1">SUMPRODUCT(Notenbogen!D53:'Notenbogen'!G53,Notenbogen!$D$75:'Notenbogen'!$G$75)</f>
        <v>0</v>
      </c>
      <c r="E53" s="152" t="e">
        <f ca="1">+ROUNDUP(D53/D54,2)</f>
        <v>#DIV/0!</v>
      </c>
      <c r="F53" s="151">
        <f ca="1">SUMPRODUCT(Notenbogen!D54:'Notenbogen'!G54,Notenbogen!$D$76:'Notenbogen'!$G$76)+SUM(Notenbogen!H54:J54)+A49</f>
        <v>0</v>
      </c>
      <c r="G53" s="153">
        <f>+Notenbogen!K54</f>
        <v>0</v>
      </c>
      <c r="H53" s="153" t="e">
        <f ca="1">+(F53+G53+G53)/(F54+G54+G54)</f>
        <v>#DIV/0!</v>
      </c>
      <c r="I53" s="152" t="e">
        <f ca="1">ROUNDUP(IF(Notenbogen!L54="",NB!H53,(1-FR)*NB!H53+FR*Notenbogen!L54),2)</f>
        <v>#DIV/0!</v>
      </c>
      <c r="J53" s="154" t="e">
        <f ca="1">IF(AND(gew=2,Notenbogen!Y53="Legasthenie"),(E53+I53)/2,IF(Notenbogen!$C$1="KA / mdl.",I53,(E53* gew+I53)/(1+gew)))</f>
        <v>#DIV/0!</v>
      </c>
      <c r="L53" s="151">
        <f ca="1">SUMPRODUCT(Notenbogen!P53:'Notenbogen'!S53,Notenbogen!$P$75:'Notenbogen'!$S$75)+D53</f>
        <v>0</v>
      </c>
      <c r="M53" s="152" t="e">
        <f ca="1">ROUNDUP(L53/L54,2)</f>
        <v>#DIV/0!</v>
      </c>
      <c r="N53" s="151">
        <f ca="1">SUMPRODUCT(Notenbogen!P54:'Notenbogen'!S54,Notenbogen!$P$76:'Notenbogen'!$S$76)+SUM(Notenbogen!T54:V54)+F53</f>
        <v>0</v>
      </c>
      <c r="O53" s="153">
        <f>SUM(Notenbogen!K54,Notenbogen!W54)</f>
        <v>0</v>
      </c>
      <c r="P53" s="153" t="e">
        <f ca="1">+(N53+O53+O53)/(N54+O54+O54)</f>
        <v>#DIV/0!</v>
      </c>
      <c r="Q53" s="152" t="e">
        <f ca="1">ROUNDUP(IF(COUNT(Notenbogen!L54,Notenbogen!X54)=2,"F",IF(COUNT(Notenbogen!L54,Notenbogen!X54)=0,P53,(1-FR)*P53+FR*(Notenbogen!L54+Notenbogen!X54))),2)</f>
        <v>#DIV/0!</v>
      </c>
      <c r="R53" s="154" t="e">
        <f ca="1">IF(AND(gew=2,Notenbogen!Y53="Legasthenie"),(M53+Q53)/2,IF(Notenbogen!$C$1="KA / mdl.",Q53,(M53* gew+Q53)/(1+gew)))</f>
        <v>#DIV/0!</v>
      </c>
      <c r="U53" s="376"/>
      <c r="V53" s="375"/>
      <c r="W53" s="60"/>
      <c r="X53" s="60"/>
      <c r="Y53" s="65"/>
      <c r="Z53" s="360"/>
      <c r="AA53" s="360"/>
      <c r="AB53" s="46"/>
      <c r="AC53" s="81" t="s">
        <v>22</v>
      </c>
      <c r="AD53" s="69">
        <v>10</v>
      </c>
      <c r="AE53" s="70"/>
      <c r="AF53" s="82">
        <f>I1SA!$H$35+15*(100-I1SA!$H$35)/30</f>
        <v>70</v>
      </c>
      <c r="AG53" s="83">
        <f t="shared" si="6"/>
        <v>64.099999999999994</v>
      </c>
      <c r="AH53" s="65"/>
      <c r="AI53" s="81" t="s">
        <v>22</v>
      </c>
      <c r="AJ53" s="69">
        <v>10</v>
      </c>
      <c r="AK53" s="70"/>
      <c r="AL53" s="60">
        <f>ROUNDDOWN(I1SA!$H$30*AF53/500,1)*5</f>
        <v>28</v>
      </c>
      <c r="AM53" s="353">
        <f t="shared" si="8"/>
        <v>26</v>
      </c>
      <c r="AN53" s="73">
        <f t="shared" si="7"/>
        <v>2.5</v>
      </c>
    </row>
    <row r="54" spans="2:40" ht="12.75" customHeight="1" x14ac:dyDescent="0.2">
      <c r="B54" s="150">
        <f>IF(Notenbogen!B54="",0,Notenbogen!B54)</f>
        <v>0</v>
      </c>
      <c r="C54" s="162"/>
      <c r="D54" s="157">
        <f ca="1">SUMPRODUCT(D153:G153,Notenbogen!$D$75:'Notenbogen'!$G$75)</f>
        <v>0</v>
      </c>
      <c r="E54" s="158"/>
      <c r="F54" s="157">
        <f ca="1">SUMPRODUCT(D154:G154,Notenbogen!$D$76:'Notenbogen'!$G$76)+COUNT(Notenbogen!H54:J54)</f>
        <v>0</v>
      </c>
      <c r="G54" s="159">
        <f>COUNT(Notenbogen!K54)</f>
        <v>0</v>
      </c>
      <c r="H54" s="159"/>
      <c r="I54" s="158"/>
      <c r="J54" s="156" t="e">
        <f ca="1">IF(J53&lt;1,0,ROUNDUP(J53,2))</f>
        <v>#DIV/0!</v>
      </c>
      <c r="L54" s="157">
        <f ca="1">SUMPRODUCT(P153:S153,Notenbogen!$P$75:'Notenbogen'!$S$75)+D54</f>
        <v>0</v>
      </c>
      <c r="M54" s="158"/>
      <c r="N54" s="157">
        <f ca="1">SUMPRODUCT(P154:S154,Notenbogen!$P$76:'Notenbogen'!$S$76)+COUNT(Notenbogen!T54:V54)+F54</f>
        <v>0</v>
      </c>
      <c r="O54" s="159">
        <f>COUNT(Notenbogen!K54,Notenbogen!W54)</f>
        <v>0</v>
      </c>
      <c r="P54" s="159"/>
      <c r="Q54" s="158"/>
      <c r="R54" s="156" t="e">
        <f ca="1">IF(R53&lt;1,0,ROUNDUP(R53,2))</f>
        <v>#DIV/0!</v>
      </c>
      <c r="U54" s="376"/>
      <c r="V54" s="375"/>
      <c r="W54" s="60"/>
      <c r="X54" s="60"/>
      <c r="Y54" s="65"/>
      <c r="Z54" s="360"/>
      <c r="AA54" s="360"/>
      <c r="AB54" s="46"/>
      <c r="AC54" s="78" t="s">
        <v>50</v>
      </c>
      <c r="AD54" s="59">
        <v>9</v>
      </c>
      <c r="AE54" s="65"/>
      <c r="AF54" s="60">
        <f>I1SA!$H$35+12*(100-I1SA!$H$35)/30</f>
        <v>64</v>
      </c>
      <c r="AG54" s="61">
        <f t="shared" si="6"/>
        <v>60.1</v>
      </c>
      <c r="AH54" s="65"/>
      <c r="AI54" s="78" t="s">
        <v>50</v>
      </c>
      <c r="AJ54" s="59">
        <v>9</v>
      </c>
      <c r="AK54" s="65"/>
      <c r="AL54" s="60">
        <f>ROUNDDOWN(I1SA!$H$30*AF54/500,1)*5</f>
        <v>25.5</v>
      </c>
      <c r="AM54" s="353">
        <f t="shared" si="8"/>
        <v>24.5</v>
      </c>
      <c r="AN54" s="63">
        <f t="shared" si="7"/>
        <v>1.5</v>
      </c>
    </row>
    <row r="55" spans="2:40" ht="12.75" customHeight="1" x14ac:dyDescent="0.2">
      <c r="B55" s="150">
        <f>IF(Notenbogen!B55="",0,Notenbogen!B55)</f>
        <v>0</v>
      </c>
      <c r="C55" s="160"/>
      <c r="D55" s="151">
        <f ca="1">SUMPRODUCT(Notenbogen!D55:'Notenbogen'!G55,Notenbogen!$D$75:'Notenbogen'!$G$75)</f>
        <v>0</v>
      </c>
      <c r="E55" s="152" t="e">
        <f ca="1">+ROUNDUP(D55/D56,2)</f>
        <v>#DIV/0!</v>
      </c>
      <c r="F55" s="151">
        <f ca="1">SUMPRODUCT(Notenbogen!D56:'Notenbogen'!G56,Notenbogen!$D$76:'Notenbogen'!$G$76)+SUM(Notenbogen!H56:J56)+A51</f>
        <v>0</v>
      </c>
      <c r="G55" s="153">
        <f>+Notenbogen!K56</f>
        <v>0</v>
      </c>
      <c r="H55" s="153" t="e">
        <f ca="1">+(F55+G55+G55)/(F56+G56+G56)</f>
        <v>#DIV/0!</v>
      </c>
      <c r="I55" s="152" t="e">
        <f ca="1">ROUNDUP(IF(Notenbogen!L56="",NB!H55,(1-FR)*NB!H55+FR*Notenbogen!L56),2)</f>
        <v>#DIV/0!</v>
      </c>
      <c r="J55" s="154" t="e">
        <f ca="1">IF(AND(gew=2,Notenbogen!Y55="Legasthenie"),(E55+I55)/2,IF(Notenbogen!$C$1="KA / mdl.",I55,(E55* gew+I55)/(1+gew)))</f>
        <v>#DIV/0!</v>
      </c>
      <c r="L55" s="151">
        <f ca="1">SUMPRODUCT(Notenbogen!P55:'Notenbogen'!S55,Notenbogen!$P$75:'Notenbogen'!$S$75)+D55</f>
        <v>0</v>
      </c>
      <c r="M55" s="152" t="e">
        <f ca="1">ROUNDUP(L55/L56,2)</f>
        <v>#DIV/0!</v>
      </c>
      <c r="N55" s="151">
        <f ca="1">SUMPRODUCT(Notenbogen!P56:'Notenbogen'!S56,Notenbogen!$P$76:'Notenbogen'!$S$76)+SUM(Notenbogen!T56:V56)+F55</f>
        <v>0</v>
      </c>
      <c r="O55" s="153">
        <f>SUM(Notenbogen!K56,Notenbogen!W56)</f>
        <v>0</v>
      </c>
      <c r="P55" s="153" t="e">
        <f ca="1">+(N55+O55+O55)/(N56+O56+O56)</f>
        <v>#DIV/0!</v>
      </c>
      <c r="Q55" s="152" t="e">
        <f ca="1">ROUNDUP(IF(COUNT(Notenbogen!L56,Notenbogen!X56)=2,"F",IF(COUNT(Notenbogen!L56,Notenbogen!X56)=0,P55,(1-FR)*P55+FR*(Notenbogen!L56+Notenbogen!X56))),2)</f>
        <v>#DIV/0!</v>
      </c>
      <c r="R55" s="154" t="e">
        <f ca="1">IF(AND(gew=2,Notenbogen!Y55="Legasthenie"),(M55+Q55)/2,IF(Notenbogen!$C$1="KA / mdl.",Q55,(M55* gew+Q55)/(1+gew)))</f>
        <v>#DIV/0!</v>
      </c>
      <c r="U55" s="376"/>
      <c r="V55" s="375"/>
      <c r="W55" s="60"/>
      <c r="X55" s="60"/>
      <c r="Y55" s="65"/>
      <c r="Z55" s="360"/>
      <c r="AA55" s="360"/>
      <c r="AB55" s="46"/>
      <c r="AC55" s="58">
        <v>3</v>
      </c>
      <c r="AD55" s="59">
        <v>8</v>
      </c>
      <c r="AE55" s="65"/>
      <c r="AF55" s="60">
        <f>I1SA!$H$35+10*(100-I1SA!$H$35)/30</f>
        <v>60</v>
      </c>
      <c r="AG55" s="61">
        <f t="shared" si="6"/>
        <v>56.1</v>
      </c>
      <c r="AH55" s="65"/>
      <c r="AI55" s="58">
        <v>3</v>
      </c>
      <c r="AJ55" s="59">
        <v>8</v>
      </c>
      <c r="AK55" s="65"/>
      <c r="AL55" s="60">
        <f>ROUNDDOWN(I1SA!$H$30*AF55/500,1)*5</f>
        <v>24</v>
      </c>
      <c r="AM55" s="353">
        <f t="shared" si="8"/>
        <v>22.5</v>
      </c>
      <c r="AN55" s="63">
        <f t="shared" si="7"/>
        <v>2</v>
      </c>
    </row>
    <row r="56" spans="2:40" ht="12.75" customHeight="1" x14ac:dyDescent="0.2">
      <c r="B56" s="150">
        <f>IF(Notenbogen!B56="",0,Notenbogen!B56)</f>
        <v>0</v>
      </c>
      <c r="C56" s="162"/>
      <c r="D56" s="157">
        <f ca="1">SUMPRODUCT(D155:G155,Notenbogen!$D$75:'Notenbogen'!$G$75)</f>
        <v>0</v>
      </c>
      <c r="E56" s="158"/>
      <c r="F56" s="157">
        <f ca="1">SUMPRODUCT(D156:G156,Notenbogen!$D$76:'Notenbogen'!$G$76)+COUNT(Notenbogen!H56:J56)</f>
        <v>0</v>
      </c>
      <c r="G56" s="159">
        <f>COUNT(Notenbogen!K56)</f>
        <v>0</v>
      </c>
      <c r="H56" s="159"/>
      <c r="I56" s="158"/>
      <c r="J56" s="156" t="e">
        <f ca="1">IF(J55&lt;1,0,ROUNDUP(J55,2))</f>
        <v>#DIV/0!</v>
      </c>
      <c r="L56" s="157">
        <f ca="1">SUMPRODUCT(P155:S155,Notenbogen!$P$75:'Notenbogen'!$S$75)+D56</f>
        <v>0</v>
      </c>
      <c r="M56" s="158"/>
      <c r="N56" s="157">
        <f ca="1">SUMPRODUCT(P156:S156,Notenbogen!$P$76:'Notenbogen'!$S$76)+COUNT(Notenbogen!T56:V56)+F56</f>
        <v>0</v>
      </c>
      <c r="O56" s="159">
        <f>COUNT(Notenbogen!K56,Notenbogen!W56)</f>
        <v>0</v>
      </c>
      <c r="P56" s="159"/>
      <c r="Q56" s="158"/>
      <c r="R56" s="156" t="e">
        <f ca="1">IF(R55&lt;1,0,ROUNDUP(R55,2))</f>
        <v>#DIV/0!</v>
      </c>
      <c r="U56" s="376"/>
      <c r="V56" s="375"/>
      <c r="W56" s="60"/>
      <c r="X56" s="60"/>
      <c r="Y56" s="65"/>
      <c r="Z56" s="360"/>
      <c r="AA56" s="360"/>
      <c r="AB56" s="46"/>
      <c r="AC56" s="81" t="s">
        <v>22</v>
      </c>
      <c r="AD56" s="69">
        <v>7</v>
      </c>
      <c r="AE56" s="70"/>
      <c r="AF56" s="82">
        <f>I1SA!$H$35+8*(100-I1SA!$H$35)/30</f>
        <v>56</v>
      </c>
      <c r="AG56" s="83">
        <f t="shared" si="6"/>
        <v>52.1</v>
      </c>
      <c r="AH56" s="65"/>
      <c r="AI56" s="81" t="s">
        <v>22</v>
      </c>
      <c r="AJ56" s="69">
        <v>7</v>
      </c>
      <c r="AK56" s="70"/>
      <c r="AL56" s="60">
        <f>ROUNDDOWN(I1SA!$H$30*AF56/500,1)*5</f>
        <v>22</v>
      </c>
      <c r="AM56" s="353">
        <f t="shared" si="8"/>
        <v>21</v>
      </c>
      <c r="AN56" s="73">
        <f t="shared" si="7"/>
        <v>1.5</v>
      </c>
    </row>
    <row r="57" spans="2:40" ht="12.75" customHeight="1" x14ac:dyDescent="0.2">
      <c r="B57" s="150">
        <f>IF(Notenbogen!B57="",0,Notenbogen!B57)</f>
        <v>0</v>
      </c>
      <c r="C57" s="160"/>
      <c r="D57" s="151">
        <f ca="1">SUMPRODUCT(Notenbogen!D57:'Notenbogen'!G57,Notenbogen!$D$75:'Notenbogen'!$G$75)</f>
        <v>0</v>
      </c>
      <c r="E57" s="152" t="e">
        <f ca="1">+ROUNDUP(D57/D58,2)</f>
        <v>#DIV/0!</v>
      </c>
      <c r="F57" s="151">
        <f ca="1">SUMPRODUCT(Notenbogen!D58:'Notenbogen'!G58,Notenbogen!$D$76:'Notenbogen'!$G$76)+SUM(Notenbogen!H58:J58)+A53</f>
        <v>0</v>
      </c>
      <c r="G57" s="153">
        <f>+Notenbogen!K58</f>
        <v>0</v>
      </c>
      <c r="H57" s="153" t="e">
        <f ca="1">+(F57+G57+G57)/(F58+G58+G58)</f>
        <v>#DIV/0!</v>
      </c>
      <c r="I57" s="152" t="e">
        <f ca="1">ROUNDUP(IF(Notenbogen!L58="",NB!H57,(1-FR)*NB!H57+FR*Notenbogen!L58),2)</f>
        <v>#DIV/0!</v>
      </c>
      <c r="J57" s="154" t="e">
        <f ca="1">IF(AND(gew=2,Notenbogen!Y57="Legasthenie"),(E57+I57)/2,IF(Notenbogen!$C$1="KA / mdl.",I57,(E57* gew+I57)/(1+gew)))</f>
        <v>#DIV/0!</v>
      </c>
      <c r="L57" s="151">
        <f ca="1">SUMPRODUCT(Notenbogen!P57:'Notenbogen'!S57,Notenbogen!$P$75:'Notenbogen'!$S$75)+D57</f>
        <v>0</v>
      </c>
      <c r="M57" s="152" t="e">
        <f ca="1">ROUNDUP(L57/L58,2)</f>
        <v>#DIV/0!</v>
      </c>
      <c r="N57" s="151">
        <f ca="1">SUMPRODUCT(Notenbogen!P58:'Notenbogen'!S58,Notenbogen!$P$76:'Notenbogen'!$S$76)+SUM(Notenbogen!T58:V58)+F57</f>
        <v>0</v>
      </c>
      <c r="O57" s="153">
        <f>SUM(Notenbogen!K58,Notenbogen!W58)</f>
        <v>0</v>
      </c>
      <c r="P57" s="153" t="e">
        <f ca="1">+(N57+O57+O57)/(N58+O58+O58)</f>
        <v>#DIV/0!</v>
      </c>
      <c r="Q57" s="152" t="e">
        <f ca="1">ROUNDUP(IF(COUNT(Notenbogen!L58,Notenbogen!X58)=2,"F",IF(COUNT(Notenbogen!L58,Notenbogen!X58)=0,P57,(1-FR)*P57+FR*(Notenbogen!L58+Notenbogen!X58))),2)</f>
        <v>#DIV/0!</v>
      </c>
      <c r="R57" s="154" t="e">
        <f ca="1">IF(AND(gew=2,Notenbogen!Y57="Legasthenie"),(M57+Q57)/2,IF(Notenbogen!$C$1="KA / mdl.",Q57,(M57* gew+Q57)/(1+gew)))</f>
        <v>#DIV/0!</v>
      </c>
      <c r="U57" s="376"/>
      <c r="V57" s="375"/>
      <c r="W57" s="60"/>
      <c r="X57" s="60"/>
      <c r="Y57" s="65"/>
      <c r="Z57" s="360"/>
      <c r="AA57" s="360"/>
      <c r="AB57" s="46"/>
      <c r="AC57" s="78" t="s">
        <v>50</v>
      </c>
      <c r="AD57" s="59">
        <v>6</v>
      </c>
      <c r="AE57" s="65"/>
      <c r="AF57" s="60">
        <f>I1SA!$H$35+6*(100-I1SA!$H$35)/30</f>
        <v>52</v>
      </c>
      <c r="AG57" s="61">
        <f t="shared" si="6"/>
        <v>48.1</v>
      </c>
      <c r="AH57" s="65"/>
      <c r="AI57" s="78" t="s">
        <v>50</v>
      </c>
      <c r="AJ57" s="59">
        <v>6</v>
      </c>
      <c r="AK57" s="65"/>
      <c r="AL57" s="60">
        <f>ROUNDDOWN(I1SA!$H$30*AF57/500,1)*5</f>
        <v>20.5</v>
      </c>
      <c r="AM57" s="353">
        <f t="shared" si="8"/>
        <v>19.5</v>
      </c>
      <c r="AN57" s="63">
        <f t="shared" si="7"/>
        <v>1.5</v>
      </c>
    </row>
    <row r="58" spans="2:40" ht="12.75" customHeight="1" x14ac:dyDescent="0.2">
      <c r="B58" s="150">
        <f>IF(Notenbogen!B58="",0,Notenbogen!B58)</f>
        <v>0</v>
      </c>
      <c r="C58" s="162"/>
      <c r="D58" s="157">
        <f ca="1">SUMPRODUCT(D157:G157,Notenbogen!$D$75:'Notenbogen'!$G$75)</f>
        <v>0</v>
      </c>
      <c r="E58" s="158"/>
      <c r="F58" s="157">
        <f ca="1">SUMPRODUCT(D158:G158,Notenbogen!$D$76:'Notenbogen'!$G$76)+COUNT(Notenbogen!H58:J58)</f>
        <v>0</v>
      </c>
      <c r="G58" s="159">
        <f>COUNT(Notenbogen!K58)</f>
        <v>0</v>
      </c>
      <c r="H58" s="159"/>
      <c r="I58" s="158"/>
      <c r="J58" s="156" t="e">
        <f ca="1">IF(J57&lt;1,0,ROUNDUP(J57,2))</f>
        <v>#DIV/0!</v>
      </c>
      <c r="L58" s="157">
        <f ca="1">SUMPRODUCT(P157:S157,Notenbogen!$P$75:'Notenbogen'!$S$75)+D58</f>
        <v>0</v>
      </c>
      <c r="M58" s="158"/>
      <c r="N58" s="157">
        <f ca="1">SUMPRODUCT(P158:S158,Notenbogen!$P$76:'Notenbogen'!$S$76)+COUNT(Notenbogen!T58:V58)+F58</f>
        <v>0</v>
      </c>
      <c r="O58" s="159">
        <f>COUNT(Notenbogen!K58,Notenbogen!W58)</f>
        <v>0</v>
      </c>
      <c r="P58" s="159"/>
      <c r="Q58" s="158"/>
      <c r="R58" s="156" t="e">
        <f ca="1">IF(R57&lt;1,0,ROUNDUP(R57,2))</f>
        <v>#DIV/0!</v>
      </c>
      <c r="U58" s="376"/>
      <c r="V58" s="375"/>
      <c r="W58" s="60"/>
      <c r="X58" s="60"/>
      <c r="Y58" s="65"/>
      <c r="Z58" s="360"/>
      <c r="AA58" s="360"/>
      <c r="AB58" s="46"/>
      <c r="AC58" s="58">
        <v>4</v>
      </c>
      <c r="AD58" s="59">
        <v>5</v>
      </c>
      <c r="AE58" s="65"/>
      <c r="AF58" s="60">
        <f>I1SA!$H$35+4*(100-I1SA!$H$35)/30</f>
        <v>48</v>
      </c>
      <c r="AG58" s="61">
        <f t="shared" si="6"/>
        <v>44.1</v>
      </c>
      <c r="AH58" s="65"/>
      <c r="AI58" s="58">
        <v>4</v>
      </c>
      <c r="AJ58" s="59">
        <v>5</v>
      </c>
      <c r="AK58" s="65"/>
      <c r="AL58" s="60">
        <f>ROUNDDOWN(I1SA!$H$30*AF58/500,1)*5</f>
        <v>19</v>
      </c>
      <c r="AM58" s="353">
        <f t="shared" si="8"/>
        <v>18</v>
      </c>
      <c r="AN58" s="63">
        <f t="shared" si="7"/>
        <v>1.5</v>
      </c>
    </row>
    <row r="59" spans="2:40" ht="12.75" customHeight="1" x14ac:dyDescent="0.2">
      <c r="B59" s="150">
        <f>IF(Notenbogen!B59="",0,Notenbogen!B59)</f>
        <v>0</v>
      </c>
      <c r="C59" s="160"/>
      <c r="D59" s="151">
        <f ca="1">SUMPRODUCT(Notenbogen!D59:'Notenbogen'!G59,Notenbogen!$D$75:'Notenbogen'!$G$75)</f>
        <v>0</v>
      </c>
      <c r="E59" s="152" t="e">
        <f ca="1">+ROUNDUP(D59/D60,2)</f>
        <v>#DIV/0!</v>
      </c>
      <c r="F59" s="151">
        <f ca="1">SUMPRODUCT(Notenbogen!D60:'Notenbogen'!G60,Notenbogen!$D$76:'Notenbogen'!$G$76)+SUM(Notenbogen!H60:J60)+A55</f>
        <v>0</v>
      </c>
      <c r="G59" s="153">
        <f>+Notenbogen!K60</f>
        <v>0</v>
      </c>
      <c r="H59" s="153" t="e">
        <f ca="1">+(F59+G59+G59)/(F60+G60+G60)</f>
        <v>#DIV/0!</v>
      </c>
      <c r="I59" s="152" t="e">
        <f ca="1">ROUNDUP(IF(Notenbogen!L60="",NB!H59,(1-FR)*NB!H59+FR*Notenbogen!L60),2)</f>
        <v>#DIV/0!</v>
      </c>
      <c r="J59" s="154" t="e">
        <f ca="1">IF(AND(gew=2,Notenbogen!Y59="Legasthenie"),(E59+I59)/2,IF(Notenbogen!$C$1="KA / mdl.",I59,(E59* gew+I59)/(1+gew)))</f>
        <v>#DIV/0!</v>
      </c>
      <c r="L59" s="151">
        <f ca="1">SUMPRODUCT(Notenbogen!P59:'Notenbogen'!S59,Notenbogen!$P$75:'Notenbogen'!$S$75)+D59</f>
        <v>0</v>
      </c>
      <c r="M59" s="152" t="e">
        <f ca="1">ROUNDUP(L59/L60,2)</f>
        <v>#DIV/0!</v>
      </c>
      <c r="N59" s="151">
        <f ca="1">SUMPRODUCT(Notenbogen!P60:'Notenbogen'!S60,Notenbogen!$P$76:'Notenbogen'!$S$76)+SUM(Notenbogen!T60:V60)+F59</f>
        <v>0</v>
      </c>
      <c r="O59" s="153">
        <f>SUM(Notenbogen!K60,Notenbogen!W60)</f>
        <v>0</v>
      </c>
      <c r="P59" s="153" t="e">
        <f ca="1">+(N59+O59+O59)/(N60+O60+O60)</f>
        <v>#DIV/0!</v>
      </c>
      <c r="Q59" s="152" t="e">
        <f ca="1">ROUNDUP(IF(COUNT(Notenbogen!L60,Notenbogen!X60)=2,"F",IF(COUNT(Notenbogen!L60,Notenbogen!X60)=0,P59,(1-FR)*P59+FR*(Notenbogen!L60+Notenbogen!X60))),2)</f>
        <v>#DIV/0!</v>
      </c>
      <c r="R59" s="154" t="e">
        <f ca="1">IF(AND(gew=2,Notenbogen!Y59="Legasthenie"),(M59+Q59)/2,IF(Notenbogen!$C$1="KA / mdl.",Q59,(M59* gew+Q59)/(1+gew)))</f>
        <v>#DIV/0!</v>
      </c>
      <c r="U59" s="376"/>
      <c r="V59" s="375"/>
      <c r="W59" s="60"/>
      <c r="X59" s="60"/>
      <c r="Y59" s="65"/>
      <c r="Z59" s="360"/>
      <c r="AA59" s="360"/>
      <c r="AB59" s="46"/>
      <c r="AC59" s="81" t="s">
        <v>22</v>
      </c>
      <c r="AD59" s="69">
        <v>4</v>
      </c>
      <c r="AE59" s="70"/>
      <c r="AF59" s="82">
        <f>I1SA!$H$35+2*(100-I1SA!$H$35)/30</f>
        <v>44</v>
      </c>
      <c r="AG59" s="83">
        <f t="shared" si="6"/>
        <v>40.1</v>
      </c>
      <c r="AH59" s="65"/>
      <c r="AI59" s="81" t="s">
        <v>22</v>
      </c>
      <c r="AJ59" s="69">
        <v>4</v>
      </c>
      <c r="AK59" s="70"/>
      <c r="AL59" s="60">
        <f>ROUNDDOWN(I1SA!$H$30*AF59/500,1)*5</f>
        <v>17.5</v>
      </c>
      <c r="AM59" s="353">
        <f t="shared" si="8"/>
        <v>16.5</v>
      </c>
      <c r="AN59" s="73">
        <f t="shared" si="7"/>
        <v>1.5</v>
      </c>
    </row>
    <row r="60" spans="2:40" ht="12.75" customHeight="1" x14ac:dyDescent="0.2">
      <c r="B60" s="150">
        <f>IF(Notenbogen!B60="",0,Notenbogen!B60)</f>
        <v>0</v>
      </c>
      <c r="C60" s="162"/>
      <c r="D60" s="157">
        <f ca="1">SUMPRODUCT(D159:G159,Notenbogen!$D$75:'Notenbogen'!$G$75)</f>
        <v>0</v>
      </c>
      <c r="E60" s="158"/>
      <c r="F60" s="157">
        <f ca="1">SUMPRODUCT(D160:G160,Notenbogen!$D$76:'Notenbogen'!$G$76)+COUNT(Notenbogen!H60:J60)</f>
        <v>0</v>
      </c>
      <c r="G60" s="159">
        <f>COUNT(Notenbogen!K60)</f>
        <v>0</v>
      </c>
      <c r="H60" s="159"/>
      <c r="I60" s="158"/>
      <c r="J60" s="156" t="e">
        <f ca="1">IF(J59&lt;1,0,ROUNDUP(J59,2))</f>
        <v>#DIV/0!</v>
      </c>
      <c r="L60" s="157">
        <f ca="1">SUMPRODUCT(P159:S159,Notenbogen!$P$75:'Notenbogen'!$S$75)+D60</f>
        <v>0</v>
      </c>
      <c r="M60" s="158"/>
      <c r="N60" s="157">
        <f ca="1">SUMPRODUCT(P160:S160,Notenbogen!$P$76:'Notenbogen'!$S$76)+COUNT(Notenbogen!T60:V60)+F60</f>
        <v>0</v>
      </c>
      <c r="O60" s="159">
        <f>COUNT(Notenbogen!K60,Notenbogen!W60)</f>
        <v>0</v>
      </c>
      <c r="P60" s="159"/>
      <c r="Q60" s="158"/>
      <c r="R60" s="156" t="e">
        <f ca="1">IF(R59&lt;1,0,ROUNDUP(R59,2))</f>
        <v>#DIV/0!</v>
      </c>
      <c r="U60" s="376"/>
      <c r="V60" s="375"/>
      <c r="W60" s="60"/>
      <c r="X60" s="60"/>
      <c r="Y60" s="65"/>
      <c r="Z60" s="360"/>
      <c r="AA60" s="360"/>
      <c r="AB60" s="46"/>
      <c r="AC60" s="78" t="s">
        <v>50</v>
      </c>
      <c r="AD60" s="59">
        <v>3</v>
      </c>
      <c r="AE60" s="65"/>
      <c r="AF60" s="60">
        <f>I1SA!$H$35</f>
        <v>40</v>
      </c>
      <c r="AG60" s="61">
        <f>AF61+0.01</f>
        <v>33.343333333333334</v>
      </c>
      <c r="AH60" s="65"/>
      <c r="AI60" s="78" t="s">
        <v>50</v>
      </c>
      <c r="AJ60" s="59">
        <v>3</v>
      </c>
      <c r="AK60" s="65"/>
      <c r="AL60" s="60">
        <f>ROUNDDOWN(I1SA!$H$30*AF60/500,1)*5</f>
        <v>16</v>
      </c>
      <c r="AM60" s="353">
        <f t="shared" si="8"/>
        <v>13.5</v>
      </c>
      <c r="AN60" s="63">
        <f t="shared" si="7"/>
        <v>3</v>
      </c>
    </row>
    <row r="61" spans="2:40" ht="12.75" customHeight="1" x14ac:dyDescent="0.2">
      <c r="B61" s="150">
        <f>IF(Notenbogen!B61="",0,Notenbogen!B61)</f>
        <v>0</v>
      </c>
      <c r="C61" s="160"/>
      <c r="D61" s="151">
        <f ca="1">SUMPRODUCT(Notenbogen!D61:'Notenbogen'!G61,Notenbogen!$D$75:'Notenbogen'!$G$75)</f>
        <v>0</v>
      </c>
      <c r="E61" s="152" t="e">
        <f ca="1">+ROUNDUP(D61/D62,2)</f>
        <v>#DIV/0!</v>
      </c>
      <c r="F61" s="151">
        <f ca="1">SUMPRODUCT(Notenbogen!D62:'Notenbogen'!G62,Notenbogen!$D$76:'Notenbogen'!$G$76)+SUM(Notenbogen!H62:J62)+A57</f>
        <v>0</v>
      </c>
      <c r="G61" s="153">
        <f>+Notenbogen!K62</f>
        <v>0</v>
      </c>
      <c r="H61" s="153" t="e">
        <f ca="1">+(F61+G61+G61)/(F62+G62+G62)</f>
        <v>#DIV/0!</v>
      </c>
      <c r="I61" s="152" t="e">
        <f ca="1">ROUNDUP(IF(Notenbogen!L62="",NB!H61,(1-FR)*NB!H61+FR*Notenbogen!L62),2)</f>
        <v>#DIV/0!</v>
      </c>
      <c r="J61" s="154" t="e">
        <f ca="1">IF(AND(gew=2,Notenbogen!Y61="Legasthenie"),(E61+I61)/2,IF(Notenbogen!$C$1="KA / mdl.",I61,(E61* gew+I61)/(1+gew)))</f>
        <v>#DIV/0!</v>
      </c>
      <c r="L61" s="151">
        <f ca="1">SUMPRODUCT(Notenbogen!P61:'Notenbogen'!S61,Notenbogen!$P$75:'Notenbogen'!$S$75)+D61</f>
        <v>0</v>
      </c>
      <c r="M61" s="152" t="e">
        <f ca="1">ROUNDUP(L61/L62,2)</f>
        <v>#DIV/0!</v>
      </c>
      <c r="N61" s="151">
        <f ca="1">SUMPRODUCT(Notenbogen!P62:'Notenbogen'!S62,Notenbogen!$P$76:'Notenbogen'!$S$76)+SUM(Notenbogen!T62:V62)+F61</f>
        <v>0</v>
      </c>
      <c r="O61" s="153">
        <f>SUM(Notenbogen!K62,Notenbogen!W62)</f>
        <v>0</v>
      </c>
      <c r="P61" s="153" t="e">
        <f ca="1">+(N61+O61+O61)/(N62+O62+O62)</f>
        <v>#DIV/0!</v>
      </c>
      <c r="Q61" s="152" t="e">
        <f ca="1">ROUNDUP(IF(COUNT(Notenbogen!L62,Notenbogen!X62)=2,"F",IF(COUNT(Notenbogen!L62,Notenbogen!X62)=0,P61,(1-FR)*P61+FR*(Notenbogen!L62+Notenbogen!X62))),2)</f>
        <v>#DIV/0!</v>
      </c>
      <c r="R61" s="154" t="e">
        <f ca="1">IF(AND(gew=2,Notenbogen!Y61="Legasthenie"),(M61+Q61)/2,IF(Notenbogen!$C$1="KA / mdl.",Q61,(M61* gew+Q61)/(1+gew)))</f>
        <v>#DIV/0!</v>
      </c>
      <c r="U61" s="376"/>
      <c r="V61" s="375"/>
      <c r="W61" s="60"/>
      <c r="X61" s="60"/>
      <c r="Y61" s="65"/>
      <c r="Z61" s="360"/>
      <c r="AA61" s="360"/>
      <c r="AB61" s="46"/>
      <c r="AC61" s="58">
        <v>5</v>
      </c>
      <c r="AD61" s="59">
        <v>2</v>
      </c>
      <c r="AE61" s="65"/>
      <c r="AF61" s="60">
        <f>AG62+2*(AF60-AG62)/3</f>
        <v>33.333333333333336</v>
      </c>
      <c r="AG61" s="61">
        <f>AF62+0.01</f>
        <v>26.676666666666669</v>
      </c>
      <c r="AH61" s="65"/>
      <c r="AI61" s="58">
        <v>5</v>
      </c>
      <c r="AJ61" s="59">
        <v>2</v>
      </c>
      <c r="AK61" s="65"/>
      <c r="AL61" s="60">
        <f>ROUNDDOWN(I1SA!$H$30*AF61/500,1)*5</f>
        <v>13</v>
      </c>
      <c r="AM61" s="353">
        <f t="shared" si="8"/>
        <v>11</v>
      </c>
      <c r="AN61" s="63">
        <f t="shared" si="7"/>
        <v>2.5</v>
      </c>
    </row>
    <row r="62" spans="2:40" ht="12.75" customHeight="1" x14ac:dyDescent="0.2">
      <c r="B62" s="150">
        <f>IF(Notenbogen!B62="",0,Notenbogen!B62)</f>
        <v>0</v>
      </c>
      <c r="C62" s="162"/>
      <c r="D62" s="157">
        <f ca="1">SUMPRODUCT(D161:G161,Notenbogen!$D$75:'Notenbogen'!$G$75)</f>
        <v>0</v>
      </c>
      <c r="E62" s="158"/>
      <c r="F62" s="157">
        <f ca="1">SUMPRODUCT(D162:G162,Notenbogen!$D$76:'Notenbogen'!$G$76)+COUNT(Notenbogen!H62:J62)</f>
        <v>0</v>
      </c>
      <c r="G62" s="159">
        <f>COUNT(Notenbogen!K62)</f>
        <v>0</v>
      </c>
      <c r="H62" s="159"/>
      <c r="I62" s="158"/>
      <c r="J62" s="156" t="e">
        <f ca="1">IF(J61&lt;1,0,ROUNDUP(J61,2))</f>
        <v>#DIV/0!</v>
      </c>
      <c r="L62" s="157">
        <f ca="1">SUMPRODUCT(P161:S161,Notenbogen!$P$75:'Notenbogen'!$S$75)+D62</f>
        <v>0</v>
      </c>
      <c r="M62" s="158"/>
      <c r="N62" s="157">
        <f ca="1">SUMPRODUCT(P162:S162,Notenbogen!$P$76:'Notenbogen'!$S$76)+COUNT(Notenbogen!T62:V62)+F62</f>
        <v>0</v>
      </c>
      <c r="O62" s="159">
        <f>COUNT(Notenbogen!K62,Notenbogen!W62)</f>
        <v>0</v>
      </c>
      <c r="P62" s="159"/>
      <c r="Q62" s="158"/>
      <c r="R62" s="156" t="e">
        <f ca="1">IF(R61&lt;1,0,ROUNDUP(R61,2))</f>
        <v>#DIV/0!</v>
      </c>
      <c r="U62" s="376"/>
      <c r="V62" s="375"/>
      <c r="W62" s="60"/>
      <c r="X62" s="385"/>
      <c r="Y62" s="65"/>
      <c r="Z62" s="360"/>
      <c r="AA62" s="360"/>
      <c r="AB62" s="46"/>
      <c r="AC62" s="81" t="s">
        <v>22</v>
      </c>
      <c r="AD62" s="69">
        <v>1</v>
      </c>
      <c r="AE62" s="70"/>
      <c r="AF62" s="82">
        <f>AG62+(AF60-AG62)/3</f>
        <v>26.666666666666668</v>
      </c>
      <c r="AG62" s="83">
        <f>I1SA!$H$34</f>
        <v>20</v>
      </c>
      <c r="AH62" s="65"/>
      <c r="AI62" s="81" t="s">
        <v>22</v>
      </c>
      <c r="AJ62" s="69">
        <v>1</v>
      </c>
      <c r="AK62" s="70"/>
      <c r="AL62" s="60">
        <f>ROUNDDOWN(I1SA!$H$30*AF62/500,1)*5</f>
        <v>10.5</v>
      </c>
      <c r="AM62" s="361">
        <f>ROUNDUP(I1SA!$H$30*(I1SA!$H$34/500),1)*5</f>
        <v>8</v>
      </c>
      <c r="AN62" s="73">
        <f t="shared" si="7"/>
        <v>3</v>
      </c>
    </row>
    <row r="63" spans="2:40" ht="12.75" customHeight="1" thickBot="1" x14ac:dyDescent="0.25">
      <c r="B63" s="150">
        <f>IF(Notenbogen!B63="",0,Notenbogen!B63)</f>
        <v>0</v>
      </c>
      <c r="C63" s="160"/>
      <c r="D63" s="151">
        <f ca="1">SUMPRODUCT(Notenbogen!D63:'Notenbogen'!G63,Notenbogen!$D$75:'Notenbogen'!$G$75)</f>
        <v>0</v>
      </c>
      <c r="E63" s="152" t="e">
        <f ca="1">+ROUNDUP(D63/D64,2)</f>
        <v>#DIV/0!</v>
      </c>
      <c r="F63" s="151">
        <f ca="1">SUMPRODUCT(Notenbogen!D64:'Notenbogen'!G64,Notenbogen!$D$76:'Notenbogen'!$G$76)+SUM(Notenbogen!H64:J64)+A59</f>
        <v>0</v>
      </c>
      <c r="G63" s="153">
        <f>+Notenbogen!K64</f>
        <v>0</v>
      </c>
      <c r="H63" s="153" t="e">
        <f ca="1">+(F63+G63+G63)/(F64+G64+G64)</f>
        <v>#DIV/0!</v>
      </c>
      <c r="I63" s="152" t="e">
        <f ca="1">ROUNDUP(IF(Notenbogen!L64="",NB!H63,(1-FR)*NB!H63+FR*Notenbogen!L64),2)</f>
        <v>#DIV/0!</v>
      </c>
      <c r="J63" s="154" t="e">
        <f ca="1">IF(AND(gew=2,Notenbogen!Y63="Legasthenie"),(E63+I63)/2,IF(Notenbogen!$C$1="KA / mdl.",I63,(E63* gew+I63)/(1+gew)))</f>
        <v>#DIV/0!</v>
      </c>
      <c r="L63" s="151">
        <f ca="1">SUMPRODUCT(Notenbogen!P63:'Notenbogen'!S63,Notenbogen!$P$75:'Notenbogen'!$S$75)+D63</f>
        <v>0</v>
      </c>
      <c r="M63" s="152" t="e">
        <f ca="1">ROUNDUP(L63/L64,2)</f>
        <v>#DIV/0!</v>
      </c>
      <c r="N63" s="151">
        <f ca="1">SUMPRODUCT(Notenbogen!P64:'Notenbogen'!S64,Notenbogen!$P$76:'Notenbogen'!$S$76)+SUM(Notenbogen!T64:V64)+F63</f>
        <v>0</v>
      </c>
      <c r="O63" s="153">
        <f>SUM(Notenbogen!K64,Notenbogen!W64)</f>
        <v>0</v>
      </c>
      <c r="P63" s="153" t="e">
        <f ca="1">+(N63+O63+O63)/(N64+O64+O64)</f>
        <v>#DIV/0!</v>
      </c>
      <c r="Q63" s="152" t="e">
        <f ca="1">ROUNDUP(IF(COUNT(Notenbogen!L64,Notenbogen!X64)=2,"F",IF(COUNT(Notenbogen!L64,Notenbogen!X64)=0,P63,(1-FR)*P63+FR*(Notenbogen!L64+Notenbogen!X64))),2)</f>
        <v>#DIV/0!</v>
      </c>
      <c r="R63" s="154" t="e">
        <f ca="1">IF(AND(gew=2,Notenbogen!Y63="Legasthenie"),(M63+Q63)/2,IF(Notenbogen!$C$1="KA / mdl.",Q63,(M63* gew+Q63)/(1+gew)))</f>
        <v>#DIV/0!</v>
      </c>
      <c r="U63" s="375"/>
      <c r="V63" s="375"/>
      <c r="W63" s="60"/>
      <c r="X63" s="60"/>
      <c r="Y63" s="65"/>
      <c r="Z63" s="360"/>
      <c r="AA63" s="360"/>
      <c r="AB63" s="46"/>
      <c r="AC63" s="89">
        <v>6</v>
      </c>
      <c r="AD63" s="90">
        <v>0</v>
      </c>
      <c r="AE63" s="91"/>
      <c r="AF63" s="96">
        <f>I1SA!$H$34-0.1</f>
        <v>19.899999999999999</v>
      </c>
      <c r="AG63" s="97">
        <v>0</v>
      </c>
      <c r="AH63" s="65"/>
      <c r="AI63" s="89">
        <v>6</v>
      </c>
      <c r="AJ63" s="90">
        <v>0</v>
      </c>
      <c r="AK63" s="91"/>
      <c r="AL63" s="96">
        <f>AM62-0.5</f>
        <v>7.5</v>
      </c>
      <c r="AM63" s="362">
        <v>0</v>
      </c>
      <c r="AN63" s="94">
        <f>IF(AM63&gt;AM62,"ALARM",AL63)</f>
        <v>7.5</v>
      </c>
    </row>
    <row r="64" spans="2:40" ht="12.75" customHeight="1" x14ac:dyDescent="0.2">
      <c r="B64" s="150">
        <f>IF(Notenbogen!B64="",0,Notenbogen!B64)</f>
        <v>0</v>
      </c>
      <c r="C64" s="162"/>
      <c r="D64" s="157">
        <f ca="1">SUMPRODUCT(D163:G163,Notenbogen!$D$75:'Notenbogen'!$G$75)</f>
        <v>0</v>
      </c>
      <c r="E64" s="158"/>
      <c r="F64" s="157">
        <f ca="1">SUMPRODUCT(D164:G164,Notenbogen!$D$76:'Notenbogen'!$G$76)+COUNT(Notenbogen!H64:J64)</f>
        <v>0</v>
      </c>
      <c r="G64" s="159">
        <f>COUNT(Notenbogen!K64)</f>
        <v>0</v>
      </c>
      <c r="H64" s="159"/>
      <c r="I64" s="158"/>
      <c r="J64" s="156" t="e">
        <f ca="1">IF(J63&lt;1,0,ROUNDUP(J63,2))</f>
        <v>#DIV/0!</v>
      </c>
      <c r="L64" s="157">
        <f ca="1">SUMPRODUCT(P163:S163,Notenbogen!$P$75:'Notenbogen'!$S$75)+D64</f>
        <v>0</v>
      </c>
      <c r="M64" s="158"/>
      <c r="N64" s="157">
        <f ca="1">SUMPRODUCT(P164:S164,Notenbogen!$P$76:'Notenbogen'!$S$76)+COUNT(Notenbogen!T64:V64)+F64</f>
        <v>0</v>
      </c>
      <c r="O64" s="159">
        <f>COUNT(Notenbogen!K64,Notenbogen!W64)</f>
        <v>0</v>
      </c>
      <c r="P64" s="159"/>
      <c r="Q64" s="158"/>
      <c r="R64" s="156" t="e">
        <f ca="1">IF(R63&lt;1,0,ROUNDUP(R63,2))</f>
        <v>#DIV/0!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2:18" ht="12.75" customHeight="1" x14ac:dyDescent="0.2">
      <c r="B65" s="150">
        <f>IF(Notenbogen!B65="",0,Notenbogen!B65)</f>
        <v>0</v>
      </c>
      <c r="C65" s="160"/>
      <c r="D65" s="151">
        <f ca="1">SUMPRODUCT(Notenbogen!D65:'Notenbogen'!G65,Notenbogen!$D$75:'Notenbogen'!$G$75)</f>
        <v>0</v>
      </c>
      <c r="E65" s="152" t="e">
        <f ca="1">+ROUNDUP(D65/D66,2)</f>
        <v>#DIV/0!</v>
      </c>
      <c r="F65" s="151">
        <f ca="1">SUMPRODUCT(Notenbogen!D66:'Notenbogen'!G66,Notenbogen!$D$76:'Notenbogen'!$G$76)+SUM(Notenbogen!H66:J66)+A61</f>
        <v>0</v>
      </c>
      <c r="G65" s="153">
        <f>+Notenbogen!K66</f>
        <v>0</v>
      </c>
      <c r="H65" s="153" t="e">
        <f ca="1">+(F65+G65+G65)/(F66+G66+G66)</f>
        <v>#DIV/0!</v>
      </c>
      <c r="I65" s="152" t="e">
        <f ca="1">ROUNDUP(IF(Notenbogen!L66="",NB!H65,(1-FR)*NB!H65+FR*Notenbogen!L66),2)</f>
        <v>#DIV/0!</v>
      </c>
      <c r="J65" s="154" t="e">
        <f ca="1">IF(AND(gew=2,Notenbogen!Y65="Legasthenie"),(E65+I65)/2,IF(Notenbogen!$C$1="KA / mdl.",I65,(E65* gew+I65)/(1+gew)))</f>
        <v>#DIV/0!</v>
      </c>
      <c r="L65" s="151">
        <f ca="1">SUMPRODUCT(Notenbogen!P65:'Notenbogen'!S65,Notenbogen!$P$75:'Notenbogen'!$S$75)+D65</f>
        <v>0</v>
      </c>
      <c r="M65" s="152" t="e">
        <f ca="1">ROUNDUP(L65/L66,2)</f>
        <v>#DIV/0!</v>
      </c>
      <c r="N65" s="151">
        <f ca="1">SUMPRODUCT(Notenbogen!P66:'Notenbogen'!S66,Notenbogen!$P$76:'Notenbogen'!$S$76)+SUM(Notenbogen!T66:V66)+F65</f>
        <v>0</v>
      </c>
      <c r="O65" s="153">
        <f>SUM(Notenbogen!K66,Notenbogen!W66)</f>
        <v>0</v>
      </c>
      <c r="P65" s="153" t="e">
        <f ca="1">+(N65+O65+O65)/(N66+O66+O66)</f>
        <v>#DIV/0!</v>
      </c>
      <c r="Q65" s="152" t="e">
        <f ca="1">ROUNDUP(IF(COUNT(Notenbogen!L66,Notenbogen!X66)=2,"F",IF(COUNT(Notenbogen!L66,Notenbogen!X66)=0,P65,(1-FR)*P65+FR*(Notenbogen!L66+Notenbogen!X66))),2)</f>
        <v>#DIV/0!</v>
      </c>
      <c r="R65" s="154" t="e">
        <f ca="1">IF(AND(gew=2,Notenbogen!Y65="Legasthenie"),(M65+Q65)/2,IF(Notenbogen!$C$1="KA / mdl.",Q65,(M65* gew+Q65)/(1+gew)))</f>
        <v>#DIV/0!</v>
      </c>
    </row>
    <row r="66" spans="2:18" ht="12.75" customHeight="1" x14ac:dyDescent="0.2">
      <c r="B66" s="150">
        <f>IF(Notenbogen!B66="",0,Notenbogen!B66)</f>
        <v>0</v>
      </c>
      <c r="C66" s="162"/>
      <c r="D66" s="157">
        <f ca="1">SUMPRODUCT(D165:G165,Notenbogen!$D$75:'Notenbogen'!$G$75)</f>
        <v>0</v>
      </c>
      <c r="E66" s="158"/>
      <c r="F66" s="157">
        <f ca="1">SUMPRODUCT(D166:G166,Notenbogen!$D$76:'Notenbogen'!$G$76)+COUNT(Notenbogen!H66:J66)</f>
        <v>0</v>
      </c>
      <c r="G66" s="159">
        <f>COUNT(Notenbogen!K66)</f>
        <v>0</v>
      </c>
      <c r="H66" s="159"/>
      <c r="I66" s="158"/>
      <c r="J66" s="156" t="e">
        <f ca="1">IF(J65&lt;1,0,ROUNDUP(J65,2))</f>
        <v>#DIV/0!</v>
      </c>
      <c r="L66" s="157">
        <f ca="1">SUMPRODUCT(P165:S165,Notenbogen!$P$75:'Notenbogen'!$S$75)+D66</f>
        <v>0</v>
      </c>
      <c r="M66" s="158"/>
      <c r="N66" s="157">
        <f ca="1">SUMPRODUCT(P166:S166,Notenbogen!$P$76:'Notenbogen'!$S$76)+COUNT(Notenbogen!T66:V66)+F66</f>
        <v>0</v>
      </c>
      <c r="O66" s="159">
        <f>COUNT(Notenbogen!K66,Notenbogen!W66)</f>
        <v>0</v>
      </c>
      <c r="P66" s="159"/>
      <c r="Q66" s="158"/>
      <c r="R66" s="156" t="e">
        <f ca="1">IF(R65&lt;1,0,ROUNDUP(R65,2))</f>
        <v>#DIV/0!</v>
      </c>
    </row>
    <row r="67" spans="2:18" ht="12.75" customHeight="1" x14ac:dyDescent="0.2">
      <c r="B67" s="150">
        <f>IF(Notenbogen!B67="",0,Notenbogen!B67)</f>
        <v>0</v>
      </c>
      <c r="C67" s="160"/>
      <c r="D67" s="151">
        <f ca="1">SUMPRODUCT(Notenbogen!D67:'Notenbogen'!G67,Notenbogen!$D$75:'Notenbogen'!$G$75)</f>
        <v>0</v>
      </c>
      <c r="E67" s="152" t="e">
        <f ca="1">+ROUNDUP(D67/D68,2)</f>
        <v>#DIV/0!</v>
      </c>
      <c r="F67" s="151">
        <f ca="1">SUMPRODUCT(Notenbogen!D68:'Notenbogen'!G68,Notenbogen!$D$76:'Notenbogen'!$G$76)+SUM(Notenbogen!H68:J68)+A63</f>
        <v>0</v>
      </c>
      <c r="G67" s="153">
        <f>+Notenbogen!K68</f>
        <v>0</v>
      </c>
      <c r="H67" s="153" t="e">
        <f ca="1">+(F67+G67+G67)/(F68+G68+G68)</f>
        <v>#DIV/0!</v>
      </c>
      <c r="I67" s="152" t="e">
        <f ca="1">ROUNDUP(IF(Notenbogen!L68="",NB!H67,(1-FR)*NB!H67+FR*Notenbogen!L68),2)</f>
        <v>#DIV/0!</v>
      </c>
      <c r="J67" s="154" t="e">
        <f ca="1">IF(AND(gew=2,Notenbogen!Y67="Legasthenie"),(E67+I67)/2,IF(Notenbogen!$C$1="KA / mdl.",I67,(E67* gew+I67)/(1+gew)))</f>
        <v>#DIV/0!</v>
      </c>
      <c r="L67" s="151">
        <f ca="1">SUMPRODUCT(Notenbogen!P67:'Notenbogen'!S67,Notenbogen!$P$75:'Notenbogen'!$S$75)+D67</f>
        <v>0</v>
      </c>
      <c r="M67" s="152" t="e">
        <f ca="1">ROUNDUP(L67/L68,2)</f>
        <v>#DIV/0!</v>
      </c>
      <c r="N67" s="151">
        <f ca="1">SUMPRODUCT(Notenbogen!P68:'Notenbogen'!S68,Notenbogen!$P$76:'Notenbogen'!$S$76)+SUM(Notenbogen!T68:V68)+F67</f>
        <v>0</v>
      </c>
      <c r="O67" s="153">
        <f>SUM(Notenbogen!K68,Notenbogen!W68)</f>
        <v>0</v>
      </c>
      <c r="P67" s="153" t="e">
        <f ca="1">+(N67+O67+O67)/(N68+O68+O68)</f>
        <v>#DIV/0!</v>
      </c>
      <c r="Q67" s="152" t="e">
        <f ca="1">ROUNDUP(IF(COUNT(Notenbogen!L68,Notenbogen!X68)=2,"F",IF(COUNT(Notenbogen!L68,Notenbogen!X68)=0,P67,(1-FR)*P67+FR*(Notenbogen!L68+Notenbogen!X68))),2)</f>
        <v>#DIV/0!</v>
      </c>
      <c r="R67" s="154" t="e">
        <f ca="1">IF(AND(gew=2,Notenbogen!Y67="Legasthenie"),(M67+Q67)/2,IF(Notenbogen!$C$1="KA / mdl.",Q67,(M67* gew+Q67)/(1+gew)))</f>
        <v>#DIV/0!</v>
      </c>
    </row>
    <row r="68" spans="2:18" ht="12.75" customHeight="1" x14ac:dyDescent="0.2">
      <c r="B68" s="150">
        <f>IF(Notenbogen!B68="",0,Notenbogen!B68)</f>
        <v>0</v>
      </c>
      <c r="C68" s="162"/>
      <c r="D68" s="157">
        <f ca="1">SUMPRODUCT(D167:G167,Notenbogen!$D$75:'Notenbogen'!$G$75)</f>
        <v>0</v>
      </c>
      <c r="E68" s="158"/>
      <c r="F68" s="157">
        <f ca="1">SUMPRODUCT(D168:G168,Notenbogen!$D$76:'Notenbogen'!$G$76)+COUNT(Notenbogen!H68:J68)</f>
        <v>0</v>
      </c>
      <c r="G68" s="159">
        <f>COUNT(Notenbogen!K68)</f>
        <v>0</v>
      </c>
      <c r="H68" s="159"/>
      <c r="I68" s="158"/>
      <c r="J68" s="156" t="e">
        <f ca="1">IF(J67&lt;1,0,ROUNDUP(J67,2))</f>
        <v>#DIV/0!</v>
      </c>
      <c r="L68" s="157">
        <f ca="1">SUMPRODUCT(P167:S167,Notenbogen!$P$75:'Notenbogen'!$S$75)+D68</f>
        <v>0</v>
      </c>
      <c r="M68" s="158"/>
      <c r="N68" s="157">
        <f ca="1">SUMPRODUCT(P168:S168,Notenbogen!$P$76:'Notenbogen'!$S$76)+COUNT(Notenbogen!T68:V68)+F68</f>
        <v>0</v>
      </c>
      <c r="O68" s="159">
        <f>COUNT(Notenbogen!K68,Notenbogen!W68)</f>
        <v>0</v>
      </c>
      <c r="P68" s="159"/>
      <c r="Q68" s="158"/>
      <c r="R68" s="156" t="e">
        <f ca="1">IF(R67&lt;1,0,ROUNDUP(R67,2))</f>
        <v>#DIV/0!</v>
      </c>
    </row>
    <row r="69" spans="2:18" ht="12.75" customHeight="1" x14ac:dyDescent="0.2">
      <c r="B69" s="150">
        <f>IF(Notenbogen!B69="",0,Notenbogen!B69)</f>
        <v>0</v>
      </c>
      <c r="C69" s="160"/>
      <c r="D69" s="151">
        <f ca="1">SUMPRODUCT(Notenbogen!D69:'Notenbogen'!G69,Notenbogen!$D$75:'Notenbogen'!$G$75)</f>
        <v>0</v>
      </c>
      <c r="E69" s="152" t="e">
        <f ca="1">+ROUNDUP(D69/D70,2)</f>
        <v>#DIV/0!</v>
      </c>
      <c r="F69" s="151">
        <f ca="1">SUMPRODUCT(Notenbogen!D70:'Notenbogen'!G70,Notenbogen!$D$76:'Notenbogen'!$G$76)+SUM(Notenbogen!H70:J70)+A65</f>
        <v>0</v>
      </c>
      <c r="G69" s="153">
        <f>+Notenbogen!K70</f>
        <v>0</v>
      </c>
      <c r="H69" s="153" t="e">
        <f ca="1">+(F69+G69+G69)/(F70+G70+G70)</f>
        <v>#DIV/0!</v>
      </c>
      <c r="I69" s="152" t="e">
        <f ca="1">ROUNDUP(IF(Notenbogen!L70="",NB!H69,(1-FR)*NB!H69+FR*Notenbogen!L70),2)</f>
        <v>#DIV/0!</v>
      </c>
      <c r="J69" s="154" t="e">
        <f ca="1">IF(AND(gew=2,Notenbogen!Y69="Legasthenie"),(E69+I69)/2,IF(Notenbogen!$C$1="KA / mdl.",I69,(E69* gew+I69)/(1+gew)))</f>
        <v>#DIV/0!</v>
      </c>
      <c r="L69" s="151">
        <f ca="1">SUMPRODUCT(Notenbogen!P69:'Notenbogen'!S69,Notenbogen!$P$75:'Notenbogen'!$S$75)+D69</f>
        <v>0</v>
      </c>
      <c r="M69" s="152" t="e">
        <f ca="1">ROUNDUP(L69/L70,2)</f>
        <v>#DIV/0!</v>
      </c>
      <c r="N69" s="151">
        <f ca="1">SUMPRODUCT(Notenbogen!P70:'Notenbogen'!S70,Notenbogen!$P$76:'Notenbogen'!$S$76)+SUM(Notenbogen!T70:V70)+F69</f>
        <v>0</v>
      </c>
      <c r="O69" s="153">
        <f>SUM(Notenbogen!K70,Notenbogen!W70)</f>
        <v>0</v>
      </c>
      <c r="P69" s="153" t="e">
        <f ca="1">+(N69+O69+O69)/(N70+O70+O70)</f>
        <v>#DIV/0!</v>
      </c>
      <c r="Q69" s="152" t="e">
        <f ca="1">ROUNDUP(IF(COUNT(Notenbogen!L70,Notenbogen!X70)=2,"F",IF(COUNT(Notenbogen!L70,Notenbogen!X70)=0,P69,(1-FR)*P69+FR*(Notenbogen!L70+Notenbogen!X70))),2)</f>
        <v>#DIV/0!</v>
      </c>
      <c r="R69" s="154" t="e">
        <f ca="1">IF(AND(gew=2,Notenbogen!Y69="Legasthenie"),(M69+Q69)/2,IF(Notenbogen!$C$1="KA / mdl.",Q69,(M69* gew+Q69)/(1+gew)))</f>
        <v>#DIV/0!</v>
      </c>
    </row>
    <row r="70" spans="2:18" ht="12.75" customHeight="1" x14ac:dyDescent="0.2">
      <c r="B70" s="150">
        <f>IF(Notenbogen!B70="",0,Notenbogen!B70)</f>
        <v>0</v>
      </c>
      <c r="C70" s="162"/>
      <c r="D70" s="157">
        <f ca="1">SUMPRODUCT(D169:G169,Notenbogen!$D$75:'Notenbogen'!$G$75)</f>
        <v>0</v>
      </c>
      <c r="E70" s="158"/>
      <c r="F70" s="157">
        <f ca="1">SUMPRODUCT(D170:G170,Notenbogen!$D$76:'Notenbogen'!$G$76)+COUNT(Notenbogen!H70:J70)</f>
        <v>0</v>
      </c>
      <c r="G70" s="159">
        <f>COUNT(Notenbogen!K70)</f>
        <v>0</v>
      </c>
      <c r="H70" s="159"/>
      <c r="I70" s="158"/>
      <c r="J70" s="156" t="e">
        <f ca="1">IF(J69&lt;1,0,ROUNDUP(J69,2))</f>
        <v>#DIV/0!</v>
      </c>
      <c r="L70" s="157">
        <f ca="1">SUMPRODUCT(P169:S169,Notenbogen!$P$75:'Notenbogen'!$S$75)+D70</f>
        <v>0</v>
      </c>
      <c r="M70" s="158"/>
      <c r="N70" s="157">
        <f ca="1">SUMPRODUCT(P170:S170,Notenbogen!$P$76:'Notenbogen'!$S$76)+COUNT(Notenbogen!T70:V70)+F70</f>
        <v>0</v>
      </c>
      <c r="O70" s="159">
        <f>COUNT(Notenbogen!K70,Notenbogen!W70)</f>
        <v>0</v>
      </c>
      <c r="P70" s="159"/>
      <c r="Q70" s="158"/>
      <c r="R70" s="156" t="e">
        <f ca="1">IF(R69&lt;1,0,ROUNDUP(R69,2))</f>
        <v>#DIV/0!</v>
      </c>
    </row>
    <row r="71" spans="2:18" ht="12.75" customHeight="1" x14ac:dyDescent="0.2">
      <c r="B71" s="150">
        <f>IF(Notenbogen!B71="",0,Notenbogen!B71)</f>
        <v>0</v>
      </c>
      <c r="C71" s="160"/>
      <c r="D71" s="151">
        <f ca="1">SUMPRODUCT(Notenbogen!D71:'Notenbogen'!G71,Notenbogen!$D$75:'Notenbogen'!$G$75)</f>
        <v>0</v>
      </c>
      <c r="E71" s="152" t="e">
        <f ca="1">+ROUNDUP(D71/D72,2)</f>
        <v>#DIV/0!</v>
      </c>
      <c r="F71" s="151">
        <f ca="1">SUMPRODUCT(Notenbogen!D72:'Notenbogen'!G72,Notenbogen!$D$76:'Notenbogen'!$G$76)+SUM(Notenbogen!H72:J72)+A67</f>
        <v>0</v>
      </c>
      <c r="G71" s="153">
        <f>+Notenbogen!K72</f>
        <v>0</v>
      </c>
      <c r="H71" s="153" t="e">
        <f ca="1">+(F71+G71+G71)/(F72+G72+G72)</f>
        <v>#DIV/0!</v>
      </c>
      <c r="I71" s="152" t="e">
        <f ca="1">ROUNDUP(IF(Notenbogen!L72="",NB!H71,(1-FR)*NB!H71+FR*Notenbogen!L72),2)</f>
        <v>#DIV/0!</v>
      </c>
      <c r="J71" s="154" t="e">
        <f ca="1">IF(AND(gew=2,Notenbogen!Y71="Legasthenie"),(E71+I71)/2,IF(Notenbogen!$C$1="KA / mdl.",I71,(E71* gew+I71)/(1+gew)))</f>
        <v>#DIV/0!</v>
      </c>
      <c r="L71" s="151">
        <f ca="1">SUMPRODUCT(Notenbogen!P71:'Notenbogen'!S71,Notenbogen!$P$75:'Notenbogen'!$S$75)+D71</f>
        <v>0</v>
      </c>
      <c r="M71" s="152" t="e">
        <f ca="1">ROUNDUP(L71/L72,2)</f>
        <v>#DIV/0!</v>
      </c>
      <c r="N71" s="151">
        <f ca="1">SUMPRODUCT(Notenbogen!P72:'Notenbogen'!S72,Notenbogen!$P$76:'Notenbogen'!$S$76)+SUM(Notenbogen!T72:V72)+F71</f>
        <v>0</v>
      </c>
      <c r="O71" s="153">
        <f>SUM(Notenbogen!K72,Notenbogen!W72)</f>
        <v>0</v>
      </c>
      <c r="P71" s="153" t="e">
        <f ca="1">+(N71+O71+O71)/(N72+O72+O72)</f>
        <v>#DIV/0!</v>
      </c>
      <c r="Q71" s="152" t="e">
        <f ca="1">ROUNDUP(IF(COUNT(Notenbogen!L72,Notenbogen!X72)=2,"F",IF(COUNT(Notenbogen!L72,Notenbogen!X72)=0,P71,(1-FR)*P71+FR*(Notenbogen!L72+Notenbogen!X72))),2)</f>
        <v>#DIV/0!</v>
      </c>
      <c r="R71" s="154" t="e">
        <f ca="1">IF(AND(gew=2,Notenbogen!Y71="Legasthenie"),(M71+Q71)/2,IF(Notenbogen!$C$1="KA / mdl.",Q71,(M71* gew+Q71)/(1+gew)))</f>
        <v>#DIV/0!</v>
      </c>
    </row>
    <row r="72" spans="2:18" ht="12.75" customHeight="1" x14ac:dyDescent="0.2">
      <c r="B72" s="150">
        <f>IF(Notenbogen!B72="",0,Notenbogen!B72)</f>
        <v>0</v>
      </c>
      <c r="C72" s="162"/>
      <c r="D72" s="157">
        <f ca="1">SUMPRODUCT(D171:G171,Notenbogen!$D$75:'Notenbogen'!$G$75)</f>
        <v>0</v>
      </c>
      <c r="E72" s="158"/>
      <c r="F72" s="157">
        <f ca="1">SUMPRODUCT(D172:G172,Notenbogen!$D$76:'Notenbogen'!$G$76)+COUNT(Notenbogen!H72:J72)</f>
        <v>0</v>
      </c>
      <c r="G72" s="159">
        <f>COUNT(Notenbogen!K72)</f>
        <v>0</v>
      </c>
      <c r="H72" s="159"/>
      <c r="I72" s="158"/>
      <c r="J72" s="156" t="e">
        <f ca="1">IF(J71&lt;1,0,ROUNDUP(J71,2))</f>
        <v>#DIV/0!</v>
      </c>
      <c r="L72" s="157">
        <f ca="1">SUMPRODUCT(P171:S171,Notenbogen!$P$75:'Notenbogen'!$S$75)+D72</f>
        <v>0</v>
      </c>
      <c r="M72" s="158"/>
      <c r="N72" s="157">
        <f ca="1">SUMPRODUCT(P172:S172,Notenbogen!$P$76:'Notenbogen'!$S$76)+COUNT(Notenbogen!T72:V72)+F72</f>
        <v>0</v>
      </c>
      <c r="O72" s="159">
        <f>COUNT(Notenbogen!K72,Notenbogen!W72)</f>
        <v>0</v>
      </c>
      <c r="P72" s="159"/>
      <c r="Q72" s="158"/>
      <c r="R72" s="156" t="e">
        <f ca="1">IF(R71&lt;1,0,ROUNDUP(R71,2))</f>
        <v>#DIV/0!</v>
      </c>
    </row>
    <row r="73" spans="2:18" ht="12.75" customHeight="1" x14ac:dyDescent="0.2">
      <c r="B73" s="150">
        <f>IF(Notenbogen!B73="",0,Notenbogen!B73)</f>
        <v>0</v>
      </c>
      <c r="C73" s="160"/>
      <c r="D73" s="151">
        <f ca="1">SUMPRODUCT(Notenbogen!D73:'Notenbogen'!G73,Notenbogen!$D$75:'Notenbogen'!$G$75)</f>
        <v>0</v>
      </c>
      <c r="E73" s="152" t="e">
        <f ca="1">+ROUNDUP(D73/D74,2)</f>
        <v>#DIV/0!</v>
      </c>
      <c r="F73" s="151">
        <f ca="1">SUMPRODUCT(Notenbogen!D74:'Notenbogen'!G74,Notenbogen!$D$76:'Notenbogen'!$G$76)+SUM(Notenbogen!H74:J74)+A69</f>
        <v>0</v>
      </c>
      <c r="G73" s="153">
        <f>+Notenbogen!K74</f>
        <v>0</v>
      </c>
      <c r="H73" s="153" t="e">
        <f ca="1">+(F73+G73+G73)/(F74+G74+G74)</f>
        <v>#DIV/0!</v>
      </c>
      <c r="I73" s="152" t="e">
        <f ca="1">ROUNDUP(IF(Notenbogen!L74="",NB!H73,(1-FR)*NB!H73+FR*Notenbogen!L74),2)</f>
        <v>#DIV/0!</v>
      </c>
      <c r="J73" s="154" t="e">
        <f ca="1">IF(AND(gew=2,Notenbogen!Y73="Legasthenie"),(E73+I73)/2,IF(Notenbogen!$C$1="KA / mdl.",I73,(E73* gew+I73)/(1+gew)))</f>
        <v>#DIV/0!</v>
      </c>
      <c r="L73" s="151">
        <f ca="1">SUMPRODUCT(Notenbogen!P73:'Notenbogen'!S73,Notenbogen!$P$75:'Notenbogen'!$S$75)+D73</f>
        <v>0</v>
      </c>
      <c r="M73" s="152" t="e">
        <f ca="1">ROUNDUP(L73/L74,2)</f>
        <v>#DIV/0!</v>
      </c>
      <c r="N73" s="151">
        <f ca="1">SUMPRODUCT(Notenbogen!P74:'Notenbogen'!S74,Notenbogen!$P$76:'Notenbogen'!$S$76)+SUM(Notenbogen!T74:V74)+F73</f>
        <v>0</v>
      </c>
      <c r="O73" s="153">
        <f>SUM(Notenbogen!K74,Notenbogen!W74)</f>
        <v>0</v>
      </c>
      <c r="P73" s="153" t="e">
        <f ca="1">+(N73+O73+O73)/(N74+O74+O74)</f>
        <v>#DIV/0!</v>
      </c>
      <c r="Q73" s="152" t="e">
        <f ca="1">ROUNDUP(IF(COUNT(Notenbogen!L74,Notenbogen!X74)=2,"F",IF(COUNT(Notenbogen!L74,Notenbogen!X74)=0,P73,(1-FR)*P73+FR*(Notenbogen!L74+Notenbogen!X74))),2)</f>
        <v>#DIV/0!</v>
      </c>
      <c r="R73" s="154" t="e">
        <f ca="1">IF(AND(gew=2,Notenbogen!Y73="Legasthenie"),(M73+Q73)/2,IF(Notenbogen!$C$1="KA / mdl.",Q73,(M73* gew+Q73)/(1+gew)))</f>
        <v>#DIV/0!</v>
      </c>
    </row>
    <row r="74" spans="2:18" ht="12.75" customHeight="1" x14ac:dyDescent="0.2">
      <c r="B74" s="150">
        <f>IF(Notenbogen!B74="",0,Notenbogen!B74)</f>
        <v>0</v>
      </c>
      <c r="C74" s="162"/>
      <c r="D74" s="157">
        <f ca="1">SUMPRODUCT(D173:G173,Notenbogen!$D$75:'Notenbogen'!$G$75)</f>
        <v>0</v>
      </c>
      <c r="E74" s="158"/>
      <c r="F74" s="157">
        <f ca="1">SUMPRODUCT(D174:G174,Notenbogen!$D$76:'Notenbogen'!$G$76)+COUNT(Notenbogen!H74:J74)</f>
        <v>0</v>
      </c>
      <c r="G74" s="159">
        <f>COUNT(Notenbogen!K74)</f>
        <v>0</v>
      </c>
      <c r="H74" s="159"/>
      <c r="I74" s="158"/>
      <c r="J74" s="156" t="e">
        <f ca="1">IF(J73&lt;1,0,ROUNDUP(J73,2))</f>
        <v>#DIV/0!</v>
      </c>
      <c r="L74" s="157">
        <f ca="1">SUMPRODUCT(P173:S173,Notenbogen!$P$75:'Notenbogen'!$S$75)+D74</f>
        <v>0</v>
      </c>
      <c r="M74" s="158"/>
      <c r="N74" s="157">
        <f ca="1">SUMPRODUCT(P174:S174,Notenbogen!$P$76:'Notenbogen'!$S$76)+COUNT(Notenbogen!T74:V74)+F74</f>
        <v>0</v>
      </c>
      <c r="O74" s="159">
        <f>COUNT(Notenbogen!K74,Notenbogen!W74)</f>
        <v>0</v>
      </c>
      <c r="P74" s="159"/>
      <c r="Q74" s="158"/>
      <c r="R74" s="156" t="e">
        <f ca="1">IF(R73&lt;1,0,ROUNDUP(R73,2))</f>
        <v>#DIV/0!</v>
      </c>
    </row>
    <row r="101" spans="4:40" ht="12.75" customHeight="1" thickBot="1" x14ac:dyDescent="0.25"/>
    <row r="102" spans="4:40" ht="12.75" customHeight="1" x14ac:dyDescent="0.2">
      <c r="T102" s="177" t="s">
        <v>69</v>
      </c>
      <c r="U102" s="47"/>
      <c r="V102" s="48"/>
      <c r="W102" s="455" t="s">
        <v>39</v>
      </c>
      <c r="X102" s="456"/>
      <c r="Y102" s="465" t="s">
        <v>32</v>
      </c>
      <c r="Z102" s="463" t="s">
        <v>40</v>
      </c>
      <c r="AA102" s="464"/>
      <c r="AB102" s="46"/>
      <c r="AC102" s="49" t="s">
        <v>17</v>
      </c>
      <c r="AD102" s="50" t="s">
        <v>32</v>
      </c>
      <c r="AE102" s="51"/>
      <c r="AF102" s="461" t="s">
        <v>41</v>
      </c>
      <c r="AG102" s="462"/>
      <c r="AH102" s="52"/>
      <c r="AI102" s="49" t="s">
        <v>17</v>
      </c>
      <c r="AJ102" s="50" t="s">
        <v>32</v>
      </c>
      <c r="AK102" s="53"/>
      <c r="AL102" s="452" t="s">
        <v>42</v>
      </c>
      <c r="AM102" s="453"/>
      <c r="AN102" s="54" t="s">
        <v>43</v>
      </c>
    </row>
    <row r="103" spans="4:40" ht="12.75" customHeight="1" x14ac:dyDescent="0.2">
      <c r="U103" s="55" t="s">
        <v>44</v>
      </c>
      <c r="V103" s="41" t="s">
        <v>43</v>
      </c>
      <c r="W103" s="457" t="s">
        <v>42</v>
      </c>
      <c r="X103" s="458"/>
      <c r="Y103" s="466"/>
      <c r="Z103" s="459" t="s">
        <v>45</v>
      </c>
      <c r="AA103" s="460"/>
      <c r="AB103" s="46"/>
      <c r="AC103" s="58"/>
      <c r="AD103" s="59"/>
      <c r="AE103" s="57"/>
      <c r="AF103" s="60" t="s">
        <v>46</v>
      </c>
      <c r="AG103" s="61" t="s">
        <v>47</v>
      </c>
      <c r="AH103" s="52"/>
      <c r="AI103" s="58"/>
      <c r="AJ103" s="59"/>
      <c r="AK103" s="57"/>
      <c r="AL103" s="57" t="s">
        <v>46</v>
      </c>
      <c r="AM103" s="62" t="s">
        <v>47</v>
      </c>
      <c r="AN103" s="63"/>
    </row>
    <row r="104" spans="4:40" ht="12.75" customHeight="1" x14ac:dyDescent="0.2">
      <c r="U104" s="64" t="s">
        <v>48</v>
      </c>
      <c r="V104" s="41" t="s">
        <v>39</v>
      </c>
      <c r="W104" s="56" t="s">
        <v>46</v>
      </c>
      <c r="X104" s="57" t="s">
        <v>47</v>
      </c>
      <c r="Y104" s="466"/>
      <c r="Z104" s="459" t="s">
        <v>49</v>
      </c>
      <c r="AA104" s="460"/>
      <c r="AB104" s="65"/>
      <c r="AC104" s="58"/>
      <c r="AD104" s="59"/>
      <c r="AE104" s="65"/>
      <c r="AF104" s="66"/>
      <c r="AG104" s="67"/>
      <c r="AH104" s="65"/>
      <c r="AI104" s="68"/>
      <c r="AJ104" s="69"/>
      <c r="AK104" s="70"/>
      <c r="AL104" s="71"/>
      <c r="AM104" s="72"/>
      <c r="AN104" s="73"/>
    </row>
    <row r="105" spans="4:40" ht="12.75" customHeight="1" x14ac:dyDescent="0.2">
      <c r="D105" s="8">
        <f ca="1">COUNT(Notenbogen!D5)</f>
        <v>0</v>
      </c>
      <c r="E105" s="8">
        <f ca="1">COUNT(Notenbogen!E5)</f>
        <v>0</v>
      </c>
      <c r="F105" s="8">
        <f ca="1">COUNT(Notenbogen!F5)</f>
        <v>0</v>
      </c>
      <c r="G105" s="8">
        <f>COUNT(Notenbogen!G5)</f>
        <v>0</v>
      </c>
      <c r="P105" s="8">
        <f ca="1">COUNT(Notenbogen!P5)</f>
        <v>0</v>
      </c>
      <c r="Q105" s="8">
        <f ca="1">COUNT(Notenbogen!Q5)</f>
        <v>0</v>
      </c>
      <c r="R105" s="8">
        <f ca="1">COUNT(Notenbogen!R5)</f>
        <v>0</v>
      </c>
      <c r="S105" s="8">
        <f>COUNT(Notenbogen!S5)</f>
        <v>0</v>
      </c>
      <c r="U105" s="74"/>
      <c r="V105" s="42"/>
      <c r="W105" s="75"/>
      <c r="X105" s="71"/>
      <c r="Y105" s="467"/>
      <c r="Z105" s="115"/>
      <c r="AA105" s="63"/>
      <c r="AB105" s="65"/>
      <c r="AC105" s="68"/>
      <c r="AD105" s="69"/>
      <c r="AE105" s="70"/>
      <c r="AF105" s="76"/>
      <c r="AG105" s="77"/>
      <c r="AH105" s="65"/>
      <c r="AI105" s="78" t="s">
        <v>50</v>
      </c>
      <c r="AJ105" s="59">
        <v>15</v>
      </c>
      <c r="AK105" s="65"/>
      <c r="AL105" s="60">
        <f>I2SA!$H$30</f>
        <v>40</v>
      </c>
      <c r="AM105" s="353">
        <f>AL106+0.5</f>
        <v>38.5</v>
      </c>
      <c r="AN105" s="63">
        <f t="shared" ref="AN105:AN119" si="9">IF(AM105&gt;AL105,"ALARM",AL105-AL106)</f>
        <v>2</v>
      </c>
    </row>
    <row r="106" spans="4:40" ht="12.75" customHeight="1" x14ac:dyDescent="0.2">
      <c r="D106" s="8">
        <f ca="1">COUNT(Notenbogen!D6)</f>
        <v>0</v>
      </c>
      <c r="E106" s="8">
        <f ca="1">COUNT(Notenbogen!E6)</f>
        <v>0</v>
      </c>
      <c r="F106" s="8">
        <f ca="1">COUNT(Notenbogen!F6)</f>
        <v>0</v>
      </c>
      <c r="G106" s="8">
        <f ca="1">COUNT(Notenbogen!G6)</f>
        <v>0</v>
      </c>
      <c r="P106" s="8">
        <f ca="1">COUNT(Notenbogen!P6)</f>
        <v>0</v>
      </c>
      <c r="Q106" s="8">
        <f ca="1">COUNT(Notenbogen!Q6)</f>
        <v>0</v>
      </c>
      <c r="R106" s="8">
        <f ca="1">COUNT(Notenbogen!R6)</f>
        <v>0</v>
      </c>
      <c r="S106" s="8">
        <f ca="1">COUNT(Notenbogen!S6)</f>
        <v>0</v>
      </c>
      <c r="U106" s="108">
        <f>+I2SA!A43</f>
        <v>0</v>
      </c>
      <c r="V106" s="110">
        <f>IF(I2SA!$H$32="M",AN105+U106,AN148+U106)</f>
        <v>2</v>
      </c>
      <c r="W106" s="380">
        <f>I2SA!$H$30</f>
        <v>40</v>
      </c>
      <c r="X106" s="353">
        <f>W107+0.5</f>
        <v>38.5</v>
      </c>
      <c r="Y106" s="56">
        <v>15</v>
      </c>
      <c r="Z106" s="117" t="str">
        <f>IF(ABS(IF(I2SA!$H$32="M",AL105-W106,AL148-W106))&gt;1,"ALARM"," ")</f>
        <v xml:space="preserve"> </v>
      </c>
      <c r="AA106" s="114" t="str">
        <f>IF(ABS(IF(I2SA!$H$32="M",AM105-X106,AM148-X106))&gt;1,"ALARM"," ")</f>
        <v xml:space="preserve"> </v>
      </c>
      <c r="AB106" s="65"/>
      <c r="AC106" s="78" t="s">
        <v>50</v>
      </c>
      <c r="AD106" s="59">
        <v>15</v>
      </c>
      <c r="AE106" s="65"/>
      <c r="AF106" s="60">
        <f>I2SA!$H$35+12*(100-I2SA!$H$35)/12</f>
        <v>100</v>
      </c>
      <c r="AG106" s="61">
        <f t="shared" ref="AG106:AG117" si="10">AF107+0.1</f>
        <v>95.1</v>
      </c>
      <c r="AH106" s="65"/>
      <c r="AI106" s="58">
        <v>1</v>
      </c>
      <c r="AJ106" s="59">
        <v>14</v>
      </c>
      <c r="AK106" s="65"/>
      <c r="AL106" s="60">
        <f>ROUNDDOWN(I2SA!$H$30*AF107/500,1)*5</f>
        <v>38</v>
      </c>
      <c r="AM106" s="353">
        <f t="shared" ref="AM106:AM118" si="11">AL107+0.5</f>
        <v>36.5</v>
      </c>
      <c r="AN106" s="63">
        <f t="shared" si="9"/>
        <v>2</v>
      </c>
    </row>
    <row r="107" spans="4:40" ht="12.75" customHeight="1" x14ac:dyDescent="0.2">
      <c r="D107" s="8">
        <f ca="1">COUNT(Notenbogen!D7)</f>
        <v>0</v>
      </c>
      <c r="E107" s="8">
        <f ca="1">COUNT(Notenbogen!E7)</f>
        <v>0</v>
      </c>
      <c r="F107" s="8">
        <f ca="1">COUNT(Notenbogen!F7)</f>
        <v>0</v>
      </c>
      <c r="G107" s="8">
        <f>COUNT(Notenbogen!G7)</f>
        <v>0</v>
      </c>
      <c r="P107" s="8">
        <f ca="1">COUNT(Notenbogen!P7)</f>
        <v>0</v>
      </c>
      <c r="Q107" s="8">
        <f ca="1">COUNT(Notenbogen!Q7)</f>
        <v>0</v>
      </c>
      <c r="R107" s="8">
        <f ca="1">COUNT(Notenbogen!R7)</f>
        <v>0</v>
      </c>
      <c r="S107" s="8">
        <f>COUNT(Notenbogen!S7)</f>
        <v>0</v>
      </c>
      <c r="U107" s="84">
        <f>+I2SA!A44</f>
        <v>0</v>
      </c>
      <c r="V107" s="111">
        <f>IF(I2SA!$H$32="M",AN106+U107,AN149+U107)</f>
        <v>2</v>
      </c>
      <c r="W107" s="380">
        <f t="shared" ref="W107:W121" si="12">W106-V106</f>
        <v>38</v>
      </c>
      <c r="X107" s="353">
        <f t="shared" ref="X107:X120" si="13">W108+0.5</f>
        <v>36.5</v>
      </c>
      <c r="Y107" s="56">
        <v>14</v>
      </c>
      <c r="Z107" s="115" t="str">
        <f>IF(ABS(IF(I2SA!$H$32="M",AL106-W107,AL149-W107))&gt;1,"ALARM"," ")</f>
        <v xml:space="preserve"> </v>
      </c>
      <c r="AA107" s="63" t="str">
        <f>IF(ABS(IF(I2SA!$H$32="M",AM106-X107,AM149-X107))&gt;1,"ALARM"," ")</f>
        <v xml:space="preserve"> </v>
      </c>
      <c r="AB107" s="65"/>
      <c r="AC107" s="58">
        <v>1</v>
      </c>
      <c r="AD107" s="59">
        <v>14</v>
      </c>
      <c r="AE107" s="65"/>
      <c r="AF107" s="60">
        <f>I2SA!$H$35+11*(100-I2SA!$H$35)/12</f>
        <v>95</v>
      </c>
      <c r="AG107" s="61">
        <f t="shared" si="10"/>
        <v>90.1</v>
      </c>
      <c r="AH107" s="65"/>
      <c r="AI107" s="81" t="s">
        <v>22</v>
      </c>
      <c r="AJ107" s="69">
        <v>13</v>
      </c>
      <c r="AK107" s="70"/>
      <c r="AL107" s="60">
        <f>ROUNDDOWN(I2SA!$H$30*AF108/500,1)*5</f>
        <v>36</v>
      </c>
      <c r="AM107" s="353">
        <f t="shared" si="11"/>
        <v>34.5</v>
      </c>
      <c r="AN107" s="73">
        <f t="shared" si="9"/>
        <v>2</v>
      </c>
    </row>
    <row r="108" spans="4:40" ht="12.75" customHeight="1" x14ac:dyDescent="0.2">
      <c r="D108" s="8">
        <f ca="1">COUNT(Notenbogen!D8)</f>
        <v>0</v>
      </c>
      <c r="E108" s="8">
        <f ca="1">COUNT(Notenbogen!E8)</f>
        <v>0</v>
      </c>
      <c r="F108" s="8">
        <f ca="1">COUNT(Notenbogen!F8)</f>
        <v>0</v>
      </c>
      <c r="G108" s="8">
        <f ca="1">COUNT(Notenbogen!G8)</f>
        <v>0</v>
      </c>
      <c r="P108" s="8">
        <f ca="1">COUNT(Notenbogen!P8)</f>
        <v>0</v>
      </c>
      <c r="Q108" s="8">
        <f ca="1">COUNT(Notenbogen!Q8)</f>
        <v>0</v>
      </c>
      <c r="R108" s="8">
        <f ca="1">COUNT(Notenbogen!R8)</f>
        <v>0</v>
      </c>
      <c r="S108" s="8">
        <f ca="1">COUNT(Notenbogen!S8)</f>
        <v>0</v>
      </c>
      <c r="U108" s="109">
        <f>+I2SA!A45</f>
        <v>0</v>
      </c>
      <c r="V108" s="111">
        <f>IF(I2SA!$H$32="M",AN107+U108,AN150+U108)</f>
        <v>2</v>
      </c>
      <c r="W108" s="381">
        <f t="shared" si="12"/>
        <v>36</v>
      </c>
      <c r="X108" s="353">
        <f t="shared" si="13"/>
        <v>34.5</v>
      </c>
      <c r="Y108" s="75">
        <v>13</v>
      </c>
      <c r="Z108" s="118" t="str">
        <f>IF(ABS(IF(I2SA!$H$32="M",AL107-W108,AL150-W108))&gt;1,"ALARM"," ")</f>
        <v xml:space="preserve"> </v>
      </c>
      <c r="AA108" s="73" t="str">
        <f>IF(ABS(IF(I2SA!$H$32="M",AM107-X108,AM150-X108))&gt;1,"ALARM"," ")</f>
        <v xml:space="preserve"> </v>
      </c>
      <c r="AB108" s="65"/>
      <c r="AC108" s="81" t="s">
        <v>22</v>
      </c>
      <c r="AD108" s="69">
        <v>13</v>
      </c>
      <c r="AE108" s="70"/>
      <c r="AF108" s="82">
        <f>I2SA!$H$35+10*(100-I2SA!$H$35)/12</f>
        <v>90</v>
      </c>
      <c r="AG108" s="83">
        <f t="shared" si="10"/>
        <v>85.1</v>
      </c>
      <c r="AH108" s="65"/>
      <c r="AI108" s="78" t="s">
        <v>50</v>
      </c>
      <c r="AJ108" s="59">
        <v>12</v>
      </c>
      <c r="AK108" s="65"/>
      <c r="AL108" s="60">
        <f>ROUNDDOWN(I2SA!$H$30*AF109/500,1)*5</f>
        <v>34</v>
      </c>
      <c r="AM108" s="353">
        <f t="shared" si="11"/>
        <v>32.5</v>
      </c>
      <c r="AN108" s="63">
        <f t="shared" si="9"/>
        <v>2</v>
      </c>
    </row>
    <row r="109" spans="4:40" ht="12.75" customHeight="1" x14ac:dyDescent="0.2">
      <c r="D109" s="8">
        <f ca="1">COUNT(Notenbogen!D9)</f>
        <v>0</v>
      </c>
      <c r="E109" s="8">
        <f ca="1">COUNT(Notenbogen!E9)</f>
        <v>0</v>
      </c>
      <c r="F109" s="8">
        <f ca="1">COUNT(Notenbogen!F9)</f>
        <v>0</v>
      </c>
      <c r="G109" s="8">
        <f>COUNT(Notenbogen!G9)</f>
        <v>0</v>
      </c>
      <c r="P109" s="8">
        <f ca="1">COUNT(Notenbogen!P9)</f>
        <v>0</v>
      </c>
      <c r="Q109" s="8">
        <f ca="1">COUNT(Notenbogen!Q9)</f>
        <v>0</v>
      </c>
      <c r="R109" s="8">
        <f ca="1">COUNT(Notenbogen!R9)</f>
        <v>0</v>
      </c>
      <c r="S109" s="8">
        <f>COUNT(Notenbogen!S9)</f>
        <v>0</v>
      </c>
      <c r="U109" s="84">
        <f>+I2SA!A46</f>
        <v>0</v>
      </c>
      <c r="V109" s="110">
        <f>IF(I2SA!$H$32="M",AN108+U109,AN151+U109)</f>
        <v>2</v>
      </c>
      <c r="W109" s="380">
        <f t="shared" si="12"/>
        <v>34</v>
      </c>
      <c r="X109" s="353">
        <f t="shared" si="13"/>
        <v>32.5</v>
      </c>
      <c r="Y109" s="56">
        <v>12</v>
      </c>
      <c r="Z109" s="115" t="str">
        <f>IF(ABS(IF(I2SA!$H$32="M",AL108-W109,AL151-W109))&gt;1,"ALARM"," ")</f>
        <v xml:space="preserve"> </v>
      </c>
      <c r="AA109" s="63" t="str">
        <f>IF(ABS(IF(I2SA!$H$32="M",AM108-X109,AM151-X109))&gt;1,"ALARM"," ")</f>
        <v xml:space="preserve"> </v>
      </c>
      <c r="AB109" s="65"/>
      <c r="AC109" s="78" t="s">
        <v>50</v>
      </c>
      <c r="AD109" s="59">
        <v>12</v>
      </c>
      <c r="AE109" s="65"/>
      <c r="AF109" s="60">
        <f>I2SA!$H$35+9*(100-I2SA!$H$35)/12</f>
        <v>85</v>
      </c>
      <c r="AG109" s="61">
        <f t="shared" si="10"/>
        <v>80.099999999999994</v>
      </c>
      <c r="AH109" s="65"/>
      <c r="AI109" s="58">
        <v>2</v>
      </c>
      <c r="AJ109" s="59">
        <v>11</v>
      </c>
      <c r="AK109" s="65"/>
      <c r="AL109" s="60">
        <f>ROUNDDOWN(I2SA!$H$30*AF110/500,1)*5</f>
        <v>32</v>
      </c>
      <c r="AM109" s="353">
        <f t="shared" si="11"/>
        <v>30.5</v>
      </c>
      <c r="AN109" s="63">
        <f t="shared" si="9"/>
        <v>2</v>
      </c>
    </row>
    <row r="110" spans="4:40" ht="12.75" customHeight="1" x14ac:dyDescent="0.2">
      <c r="D110" s="8">
        <f ca="1">COUNT(Notenbogen!D10)</f>
        <v>0</v>
      </c>
      <c r="E110" s="8">
        <f ca="1">COUNT(Notenbogen!E10)</f>
        <v>0</v>
      </c>
      <c r="F110" s="8">
        <f ca="1">COUNT(Notenbogen!F10)</f>
        <v>0</v>
      </c>
      <c r="G110" s="8">
        <f ca="1">COUNT(Notenbogen!G10)</f>
        <v>0</v>
      </c>
      <c r="P110" s="8">
        <f ca="1">COUNT(Notenbogen!P10)</f>
        <v>0</v>
      </c>
      <c r="Q110" s="8">
        <f ca="1">COUNT(Notenbogen!Q10)</f>
        <v>0</v>
      </c>
      <c r="R110" s="8">
        <f ca="1">COUNT(Notenbogen!R10)</f>
        <v>0</v>
      </c>
      <c r="S110" s="8">
        <f ca="1">COUNT(Notenbogen!S10)</f>
        <v>0</v>
      </c>
      <c r="U110" s="84">
        <f>+I2SA!A47</f>
        <v>0</v>
      </c>
      <c r="V110" s="111">
        <f>IF(I2SA!$H$32="M",AN109+U110,AN152+U110)</f>
        <v>2</v>
      </c>
      <c r="W110" s="380">
        <f t="shared" si="12"/>
        <v>32</v>
      </c>
      <c r="X110" s="353">
        <f t="shared" si="13"/>
        <v>30.5</v>
      </c>
      <c r="Y110" s="56">
        <v>11</v>
      </c>
      <c r="Z110" s="115" t="str">
        <f>IF(ABS(IF(I2SA!$H$32="M",AL109-W110,AL152-W110))&gt;1,"ALARM"," ")</f>
        <v xml:space="preserve"> </v>
      </c>
      <c r="AA110" s="63" t="str">
        <f>IF(ABS(IF(I2SA!$H$32="M",AM109-X110,AM152-X110))&gt;1,"ALARM"," ")</f>
        <v xml:space="preserve"> </v>
      </c>
      <c r="AB110" s="65"/>
      <c r="AC110" s="58">
        <v>2</v>
      </c>
      <c r="AD110" s="59">
        <v>11</v>
      </c>
      <c r="AE110" s="65"/>
      <c r="AF110" s="60">
        <f>I2SA!$H$35+8*(100-I2SA!$H$35)/12</f>
        <v>80</v>
      </c>
      <c r="AG110" s="61">
        <f t="shared" si="10"/>
        <v>75.099999999999994</v>
      </c>
      <c r="AH110" s="65"/>
      <c r="AI110" s="81" t="s">
        <v>22</v>
      </c>
      <c r="AJ110" s="69">
        <v>10</v>
      </c>
      <c r="AK110" s="70"/>
      <c r="AL110" s="60">
        <f>ROUNDDOWN(I2SA!$H$30*AF111/500,1)*5</f>
        <v>30</v>
      </c>
      <c r="AM110" s="353">
        <f t="shared" si="11"/>
        <v>28.5</v>
      </c>
      <c r="AN110" s="73">
        <f t="shared" si="9"/>
        <v>2</v>
      </c>
    </row>
    <row r="111" spans="4:40" ht="12.75" customHeight="1" x14ac:dyDescent="0.2">
      <c r="D111" s="8">
        <f ca="1">COUNT(Notenbogen!D11)</f>
        <v>0</v>
      </c>
      <c r="E111" s="8">
        <f ca="1">COUNT(Notenbogen!E11)</f>
        <v>0</v>
      </c>
      <c r="F111" s="8">
        <f ca="1">COUNT(Notenbogen!F11)</f>
        <v>0</v>
      </c>
      <c r="G111" s="8">
        <f>COUNT(Notenbogen!G11)</f>
        <v>0</v>
      </c>
      <c r="P111" s="8">
        <f ca="1">COUNT(Notenbogen!P11)</f>
        <v>0</v>
      </c>
      <c r="Q111" s="8">
        <f ca="1">COUNT(Notenbogen!Q11)</f>
        <v>0</v>
      </c>
      <c r="R111" s="8">
        <f ca="1">COUNT(Notenbogen!R11)</f>
        <v>0</v>
      </c>
      <c r="S111" s="8">
        <f>COUNT(Notenbogen!S11)</f>
        <v>0</v>
      </c>
      <c r="U111" s="84">
        <f>+I2SA!A48</f>
        <v>0</v>
      </c>
      <c r="V111" s="113">
        <f>IF(I2SA!$H$32="M",AN110+U111,AN153+U111)</f>
        <v>2</v>
      </c>
      <c r="W111" s="381">
        <f t="shared" si="12"/>
        <v>30</v>
      </c>
      <c r="X111" s="353">
        <f t="shared" si="13"/>
        <v>28.5</v>
      </c>
      <c r="Y111" s="75">
        <v>10</v>
      </c>
      <c r="Z111" s="115" t="str">
        <f>IF(ABS(IF(I2SA!$H$32="M",AL110-W111,AL153-W111))&gt;1,"ALARM"," ")</f>
        <v xml:space="preserve"> </v>
      </c>
      <c r="AA111" s="63" t="str">
        <f>IF(ABS(IF(I2SA!$H$32="M",AM110-X111,AM153-X111))&gt;1,"ALARM"," ")</f>
        <v xml:space="preserve"> </v>
      </c>
      <c r="AB111" s="65"/>
      <c r="AC111" s="81" t="s">
        <v>22</v>
      </c>
      <c r="AD111" s="69">
        <v>10</v>
      </c>
      <c r="AE111" s="70"/>
      <c r="AF111" s="82">
        <f>I2SA!$H$35+7*(100-I2SA!$H$35)/12</f>
        <v>75</v>
      </c>
      <c r="AG111" s="83">
        <f t="shared" si="10"/>
        <v>70.099999999999994</v>
      </c>
      <c r="AH111" s="65"/>
      <c r="AI111" s="78" t="s">
        <v>50</v>
      </c>
      <c r="AJ111" s="59">
        <v>9</v>
      </c>
      <c r="AK111" s="65"/>
      <c r="AL111" s="60">
        <f>ROUNDDOWN(I2SA!$H$30*AF112/500,1)*5</f>
        <v>28</v>
      </c>
      <c r="AM111" s="353">
        <f t="shared" si="11"/>
        <v>26.5</v>
      </c>
      <c r="AN111" s="63">
        <f t="shared" si="9"/>
        <v>2</v>
      </c>
    </row>
    <row r="112" spans="4:40" ht="12.75" customHeight="1" x14ac:dyDescent="0.2">
      <c r="D112" s="8">
        <f ca="1">COUNT(Notenbogen!D12)</f>
        <v>0</v>
      </c>
      <c r="E112" s="8">
        <f ca="1">COUNT(Notenbogen!E12)</f>
        <v>0</v>
      </c>
      <c r="F112" s="8">
        <f ca="1">COUNT(Notenbogen!F12)</f>
        <v>0</v>
      </c>
      <c r="G112" s="8">
        <f ca="1">COUNT(Notenbogen!G12)</f>
        <v>0</v>
      </c>
      <c r="P112" s="8">
        <f ca="1">COUNT(Notenbogen!P12)</f>
        <v>0</v>
      </c>
      <c r="Q112" s="8">
        <f ca="1">COUNT(Notenbogen!Q12)</f>
        <v>0</v>
      </c>
      <c r="R112" s="8">
        <f ca="1">COUNT(Notenbogen!R12)</f>
        <v>0</v>
      </c>
      <c r="S112" s="8">
        <f ca="1">COUNT(Notenbogen!S12)</f>
        <v>0</v>
      </c>
      <c r="U112" s="108">
        <f>+I2SA!A49</f>
        <v>0</v>
      </c>
      <c r="V112" s="111">
        <f>IF(I2SA!$H$32="M",AN111+U112,AN154+U112)</f>
        <v>2</v>
      </c>
      <c r="W112" s="380">
        <f t="shared" si="12"/>
        <v>28</v>
      </c>
      <c r="X112" s="353">
        <f t="shared" si="13"/>
        <v>26.5</v>
      </c>
      <c r="Y112" s="56">
        <v>9</v>
      </c>
      <c r="Z112" s="117" t="str">
        <f>IF(ABS(IF(I2SA!$H$32="M",AL111-W112,AL154-W112))&gt;1,"ALARM"," ")</f>
        <v xml:space="preserve"> </v>
      </c>
      <c r="AA112" s="114" t="str">
        <f>IF(ABS(IF(I2SA!$H$32="M",AM111-X112,AM154-X112))&gt;1,"ALARM"," ")</f>
        <v xml:space="preserve"> </v>
      </c>
      <c r="AB112" s="65"/>
      <c r="AC112" s="78" t="s">
        <v>50</v>
      </c>
      <c r="AD112" s="59">
        <v>9</v>
      </c>
      <c r="AE112" s="65"/>
      <c r="AF112" s="60">
        <f>I2SA!$H$35+6*(100-I2SA!$H$35)/12</f>
        <v>70</v>
      </c>
      <c r="AG112" s="61">
        <f t="shared" si="10"/>
        <v>65.099999999999994</v>
      </c>
      <c r="AH112" s="65"/>
      <c r="AI112" s="58">
        <v>3</v>
      </c>
      <c r="AJ112" s="59">
        <v>8</v>
      </c>
      <c r="AK112" s="65"/>
      <c r="AL112" s="60">
        <f>ROUNDDOWN(I2SA!$H$30*AF113/500,1)*5</f>
        <v>26</v>
      </c>
      <c r="AM112" s="353">
        <f t="shared" si="11"/>
        <v>24.5</v>
      </c>
      <c r="AN112" s="63">
        <f t="shared" si="9"/>
        <v>2</v>
      </c>
    </row>
    <row r="113" spans="4:40" ht="12.75" customHeight="1" x14ac:dyDescent="0.2">
      <c r="D113" s="8">
        <f ca="1">COUNT(Notenbogen!D13)</f>
        <v>0</v>
      </c>
      <c r="E113" s="8">
        <f ca="1">COUNT(Notenbogen!E13)</f>
        <v>0</v>
      </c>
      <c r="F113" s="8">
        <f ca="1">COUNT(Notenbogen!F13)</f>
        <v>0</v>
      </c>
      <c r="G113" s="8">
        <f>COUNT(Notenbogen!G13)</f>
        <v>0</v>
      </c>
      <c r="P113" s="8">
        <f ca="1">COUNT(Notenbogen!P13)</f>
        <v>0</v>
      </c>
      <c r="Q113" s="8">
        <f ca="1">COUNT(Notenbogen!Q13)</f>
        <v>0</v>
      </c>
      <c r="R113" s="8">
        <f ca="1">COUNT(Notenbogen!R13)</f>
        <v>0</v>
      </c>
      <c r="S113" s="8">
        <f>COUNT(Notenbogen!S13)</f>
        <v>0</v>
      </c>
      <c r="U113" s="84">
        <f>+I2SA!A50</f>
        <v>0</v>
      </c>
      <c r="V113" s="111">
        <f>IF(I2SA!$H$32="M",AN112+U113,AN155+U113)</f>
        <v>2</v>
      </c>
      <c r="W113" s="380">
        <f t="shared" si="12"/>
        <v>26</v>
      </c>
      <c r="X113" s="353">
        <f t="shared" si="13"/>
        <v>24.5</v>
      </c>
      <c r="Y113" s="56">
        <v>8</v>
      </c>
      <c r="Z113" s="115" t="str">
        <f>IF(ABS(IF(I2SA!$H$32="M",AL112-W113,AL155-W113))&gt;1,"ALARM"," ")</f>
        <v xml:space="preserve"> </v>
      </c>
      <c r="AA113" s="63" t="str">
        <f>IF(ABS(IF(I2SA!$H$32="M",AM112-X113,AM155-X113))&gt;1,"ALARM"," ")</f>
        <v xml:space="preserve"> </v>
      </c>
      <c r="AB113" s="65"/>
      <c r="AC113" s="58">
        <v>3</v>
      </c>
      <c r="AD113" s="59">
        <v>8</v>
      </c>
      <c r="AE113" s="65"/>
      <c r="AF113" s="60">
        <f>I2SA!$H$35+5*(100-I2SA!$H$35)/12</f>
        <v>65</v>
      </c>
      <c r="AG113" s="61">
        <f t="shared" si="10"/>
        <v>60.1</v>
      </c>
      <c r="AH113" s="65"/>
      <c r="AI113" s="81" t="s">
        <v>22</v>
      </c>
      <c r="AJ113" s="69">
        <v>7</v>
      </c>
      <c r="AK113" s="70"/>
      <c r="AL113" s="60">
        <f>ROUNDDOWN(I2SA!$H$30*AF114/500,1)*5</f>
        <v>24</v>
      </c>
      <c r="AM113" s="353">
        <f t="shared" si="11"/>
        <v>22.5</v>
      </c>
      <c r="AN113" s="73">
        <f t="shared" si="9"/>
        <v>2</v>
      </c>
    </row>
    <row r="114" spans="4:40" ht="12.75" customHeight="1" x14ac:dyDescent="0.2">
      <c r="D114" s="8">
        <f ca="1">COUNT(Notenbogen!D14)</f>
        <v>0</v>
      </c>
      <c r="E114" s="8">
        <f ca="1">COUNT(Notenbogen!E14)</f>
        <v>0</v>
      </c>
      <c r="F114" s="8">
        <f ca="1">COUNT(Notenbogen!F14)</f>
        <v>0</v>
      </c>
      <c r="G114" s="8">
        <f ca="1">COUNT(Notenbogen!G14)</f>
        <v>0</v>
      </c>
      <c r="P114" s="8">
        <f ca="1">COUNT(Notenbogen!P14)</f>
        <v>0</v>
      </c>
      <c r="Q114" s="8">
        <f ca="1">COUNT(Notenbogen!Q14)</f>
        <v>0</v>
      </c>
      <c r="R114" s="8">
        <f ca="1">COUNT(Notenbogen!R14)</f>
        <v>0</v>
      </c>
      <c r="S114" s="8">
        <f ca="1">COUNT(Notenbogen!S14)</f>
        <v>0</v>
      </c>
      <c r="U114" s="109">
        <f>+I2SA!A51</f>
        <v>0</v>
      </c>
      <c r="V114" s="111">
        <f>IF(I2SA!$H$32="M",AN113+U114,AN156+U114)</f>
        <v>2</v>
      </c>
      <c r="W114" s="381">
        <f t="shared" si="12"/>
        <v>24</v>
      </c>
      <c r="X114" s="353">
        <f t="shared" si="13"/>
        <v>22.5</v>
      </c>
      <c r="Y114" s="75">
        <v>7</v>
      </c>
      <c r="Z114" s="118" t="str">
        <f>IF(ABS(IF(I2SA!$H$32="M",AL113-W114,AL156-W114))&gt;1,"ALARM"," ")</f>
        <v xml:space="preserve"> </v>
      </c>
      <c r="AA114" s="73" t="str">
        <f>IF(ABS(IF(I2SA!$H$32="M",AM113-X114,AM156-X114))&gt;1,"ALARM"," ")</f>
        <v xml:space="preserve"> </v>
      </c>
      <c r="AB114" s="65"/>
      <c r="AC114" s="81" t="s">
        <v>22</v>
      </c>
      <c r="AD114" s="69">
        <v>7</v>
      </c>
      <c r="AE114" s="70"/>
      <c r="AF114" s="82">
        <f>I2SA!$H$35+4*(100-I2SA!$H$35)/12</f>
        <v>60</v>
      </c>
      <c r="AG114" s="83">
        <f t="shared" si="10"/>
        <v>55.1</v>
      </c>
      <c r="AH114" s="65"/>
      <c r="AI114" s="78" t="s">
        <v>50</v>
      </c>
      <c r="AJ114" s="59">
        <v>6</v>
      </c>
      <c r="AK114" s="65"/>
      <c r="AL114" s="60">
        <f>ROUNDDOWN(I2SA!$H$30*AF115/500,1)*5</f>
        <v>22</v>
      </c>
      <c r="AM114" s="353">
        <f t="shared" si="11"/>
        <v>20.5</v>
      </c>
      <c r="AN114" s="63">
        <f t="shared" si="9"/>
        <v>2</v>
      </c>
    </row>
    <row r="115" spans="4:40" ht="12.75" customHeight="1" x14ac:dyDescent="0.2">
      <c r="D115" s="8">
        <f ca="1">COUNT(Notenbogen!D15)</f>
        <v>0</v>
      </c>
      <c r="E115" s="8">
        <f ca="1">COUNT(Notenbogen!E15)</f>
        <v>0</v>
      </c>
      <c r="F115" s="8">
        <f ca="1">COUNT(Notenbogen!F15)</f>
        <v>0</v>
      </c>
      <c r="G115" s="8">
        <f>COUNT(Notenbogen!G15)</f>
        <v>0</v>
      </c>
      <c r="P115" s="8">
        <f ca="1">COUNT(Notenbogen!P15)</f>
        <v>0</v>
      </c>
      <c r="Q115" s="8">
        <f ca="1">COUNT(Notenbogen!Q15)</f>
        <v>0</v>
      </c>
      <c r="R115" s="8">
        <f ca="1">COUNT(Notenbogen!R15)</f>
        <v>0</v>
      </c>
      <c r="S115" s="8">
        <f>COUNT(Notenbogen!S15)</f>
        <v>0</v>
      </c>
      <c r="U115" s="84">
        <f>+I2SA!A52</f>
        <v>0</v>
      </c>
      <c r="V115" s="110">
        <f>IF(I2SA!$H$32="M",AN114+U115,AN157+U115)</f>
        <v>2</v>
      </c>
      <c r="W115" s="380">
        <f t="shared" si="12"/>
        <v>22</v>
      </c>
      <c r="X115" s="353">
        <f t="shared" si="13"/>
        <v>20.5</v>
      </c>
      <c r="Y115" s="56">
        <v>6</v>
      </c>
      <c r="Z115" s="115" t="str">
        <f>IF(ABS(IF(I2SA!$H$32="M",AL114-W115,AL157-W115))&gt;1,"ALARM"," ")</f>
        <v xml:space="preserve"> </v>
      </c>
      <c r="AA115" s="63" t="str">
        <f>IF(ABS(IF(I2SA!$H$32="M",AM114-X115,AM157-X115))&gt;1,"ALARM"," ")</f>
        <v xml:space="preserve"> </v>
      </c>
      <c r="AB115" s="65"/>
      <c r="AC115" s="78" t="s">
        <v>50</v>
      </c>
      <c r="AD115" s="59">
        <v>6</v>
      </c>
      <c r="AE115" s="65"/>
      <c r="AF115" s="60">
        <f>I2SA!$H$35+3*(100-I2SA!$H$35)/12</f>
        <v>55</v>
      </c>
      <c r="AG115" s="61">
        <f t="shared" si="10"/>
        <v>50.1</v>
      </c>
      <c r="AH115" s="65"/>
      <c r="AI115" s="58">
        <v>4</v>
      </c>
      <c r="AJ115" s="59">
        <v>5</v>
      </c>
      <c r="AK115" s="65"/>
      <c r="AL115" s="60">
        <f>ROUNDDOWN(I2SA!$H$30*AF116/500,1)*5</f>
        <v>20</v>
      </c>
      <c r="AM115" s="353">
        <f t="shared" si="11"/>
        <v>18.5</v>
      </c>
      <c r="AN115" s="63">
        <f t="shared" si="9"/>
        <v>2</v>
      </c>
    </row>
    <row r="116" spans="4:40" ht="12.75" customHeight="1" x14ac:dyDescent="0.2">
      <c r="D116" s="8">
        <f ca="1">COUNT(Notenbogen!D16)</f>
        <v>0</v>
      </c>
      <c r="E116" s="8">
        <f ca="1">COUNT(Notenbogen!E16)</f>
        <v>0</v>
      </c>
      <c r="F116" s="8">
        <f ca="1">COUNT(Notenbogen!F16)</f>
        <v>0</v>
      </c>
      <c r="G116" s="8">
        <f ca="1">COUNT(Notenbogen!G16)</f>
        <v>0</v>
      </c>
      <c r="P116" s="8">
        <f ca="1">COUNT(Notenbogen!P16)</f>
        <v>0</v>
      </c>
      <c r="Q116" s="8">
        <f ca="1">COUNT(Notenbogen!Q16)</f>
        <v>0</v>
      </c>
      <c r="R116" s="8">
        <f ca="1">COUNT(Notenbogen!R16)</f>
        <v>0</v>
      </c>
      <c r="S116" s="8">
        <f ca="1">COUNT(Notenbogen!S16)</f>
        <v>0</v>
      </c>
      <c r="U116" s="84">
        <f>+I2SA!A53</f>
        <v>0</v>
      </c>
      <c r="V116" s="111">
        <f>IF(I2SA!$H$32="M",AN115+U116,AN158+U116)</f>
        <v>2</v>
      </c>
      <c r="W116" s="380">
        <f t="shared" si="12"/>
        <v>20</v>
      </c>
      <c r="X116" s="353">
        <f t="shared" si="13"/>
        <v>18.5</v>
      </c>
      <c r="Y116" s="56">
        <v>5</v>
      </c>
      <c r="Z116" s="115" t="str">
        <f>IF(ABS(IF(I2SA!$H$32="M",AL115-W116,AL158-W116))&gt;1,"ALARM"," ")</f>
        <v xml:space="preserve"> </v>
      </c>
      <c r="AA116" s="63" t="str">
        <f>IF(ABS(IF(I2SA!$H$32="M",AM115-X116,AM158-X116))&gt;1,"ALARM"," ")</f>
        <v xml:space="preserve"> </v>
      </c>
      <c r="AB116" s="65"/>
      <c r="AC116" s="58">
        <v>4</v>
      </c>
      <c r="AD116" s="59">
        <v>5</v>
      </c>
      <c r="AE116" s="65"/>
      <c r="AF116" s="60">
        <f>I2SA!$H$35+2*(100-I2SA!$H$35)/12</f>
        <v>50</v>
      </c>
      <c r="AG116" s="61">
        <f t="shared" si="10"/>
        <v>45.1</v>
      </c>
      <c r="AH116" s="65"/>
      <c r="AI116" s="81" t="s">
        <v>22</v>
      </c>
      <c r="AJ116" s="69">
        <v>4</v>
      </c>
      <c r="AK116" s="70"/>
      <c r="AL116" s="60">
        <f>ROUNDDOWN(I2SA!$H$30*AF117/500,1)*5</f>
        <v>18</v>
      </c>
      <c r="AM116" s="353">
        <f t="shared" si="11"/>
        <v>16.5</v>
      </c>
      <c r="AN116" s="73">
        <f t="shared" si="9"/>
        <v>2</v>
      </c>
    </row>
    <row r="117" spans="4:40" ht="12.75" customHeight="1" x14ac:dyDescent="0.2">
      <c r="D117" s="8">
        <f ca="1">COUNT(Notenbogen!D17)</f>
        <v>0</v>
      </c>
      <c r="E117" s="8">
        <f ca="1">COUNT(Notenbogen!E17)</f>
        <v>0</v>
      </c>
      <c r="F117" s="8">
        <f ca="1">COUNT(Notenbogen!F17)</f>
        <v>0</v>
      </c>
      <c r="G117" s="8">
        <f>COUNT(Notenbogen!G17)</f>
        <v>0</v>
      </c>
      <c r="P117" s="8">
        <f ca="1">COUNT(Notenbogen!P17)</f>
        <v>0</v>
      </c>
      <c r="Q117" s="8">
        <f ca="1">COUNT(Notenbogen!Q17)</f>
        <v>0</v>
      </c>
      <c r="R117" s="8">
        <f ca="1">COUNT(Notenbogen!R17)</f>
        <v>0</v>
      </c>
      <c r="S117" s="8">
        <f>COUNT(Notenbogen!S17)</f>
        <v>0</v>
      </c>
      <c r="U117" s="84">
        <f>+I2SA!A54</f>
        <v>0</v>
      </c>
      <c r="V117" s="113">
        <f>IF(I2SA!$H$32="M",AN116+U117,AN159+U117)</f>
        <v>2</v>
      </c>
      <c r="W117" s="381">
        <f t="shared" si="12"/>
        <v>18</v>
      </c>
      <c r="X117" s="353">
        <f t="shared" si="13"/>
        <v>16.5</v>
      </c>
      <c r="Y117" s="75">
        <v>4</v>
      </c>
      <c r="Z117" s="115" t="str">
        <f>IF(ABS(IF(I2SA!$H$32="M",AL116-W117,AL159-W117))&gt;1,"ALARM"," ")</f>
        <v xml:space="preserve"> </v>
      </c>
      <c r="AA117" s="63" t="str">
        <f>IF(ABS(IF(I2SA!$H$32="M",AM116-X117,AM159-X117))&gt;1,"ALARM"," ")</f>
        <v xml:space="preserve"> </v>
      </c>
      <c r="AB117" s="65"/>
      <c r="AC117" s="81" t="s">
        <v>22</v>
      </c>
      <c r="AD117" s="69">
        <v>4</v>
      </c>
      <c r="AE117" s="70"/>
      <c r="AF117" s="82">
        <f>I2SA!$H$35+1*(100-I2SA!$H$35)/12</f>
        <v>45</v>
      </c>
      <c r="AG117" s="83">
        <f t="shared" si="10"/>
        <v>40.1</v>
      </c>
      <c r="AH117" s="65"/>
      <c r="AI117" s="78" t="s">
        <v>50</v>
      </c>
      <c r="AJ117" s="59">
        <v>3</v>
      </c>
      <c r="AK117" s="65"/>
      <c r="AL117" s="60">
        <f>ROUNDDOWN(I2SA!$H$30*AF118/500,1)*5</f>
        <v>16</v>
      </c>
      <c r="AM117" s="353">
        <f t="shared" si="11"/>
        <v>13.5</v>
      </c>
      <c r="AN117" s="63">
        <f t="shared" si="9"/>
        <v>3</v>
      </c>
    </row>
    <row r="118" spans="4:40" ht="12.75" customHeight="1" x14ac:dyDescent="0.2">
      <c r="D118" s="8">
        <f ca="1">COUNT(Notenbogen!D18)</f>
        <v>0</v>
      </c>
      <c r="E118" s="8">
        <f ca="1">COUNT(Notenbogen!E18)</f>
        <v>0</v>
      </c>
      <c r="F118" s="8">
        <f ca="1">COUNT(Notenbogen!F18)</f>
        <v>0</v>
      </c>
      <c r="G118" s="8">
        <f ca="1">COUNT(Notenbogen!G18)</f>
        <v>0</v>
      </c>
      <c r="P118" s="8">
        <f ca="1">COUNT(Notenbogen!P18)</f>
        <v>0</v>
      </c>
      <c r="Q118" s="8">
        <f ca="1">COUNT(Notenbogen!Q18)</f>
        <v>0</v>
      </c>
      <c r="R118" s="8">
        <f ca="1">COUNT(Notenbogen!R18)</f>
        <v>0</v>
      </c>
      <c r="S118" s="8">
        <f ca="1">COUNT(Notenbogen!S18)</f>
        <v>0</v>
      </c>
      <c r="U118" s="108">
        <f>+I2SA!A55</f>
        <v>0</v>
      </c>
      <c r="V118" s="110">
        <f>IF(I2SA!$H$32="M",AN117+U118,AN160+U118)</f>
        <v>3</v>
      </c>
      <c r="W118" s="380">
        <f t="shared" si="12"/>
        <v>16</v>
      </c>
      <c r="X118" s="353">
        <f t="shared" si="13"/>
        <v>13.5</v>
      </c>
      <c r="Y118" s="56">
        <v>3</v>
      </c>
      <c r="Z118" s="117" t="str">
        <f>IF(ABS(IF(I2SA!$H$32="M",AL117-W118,AL160-W118))&gt;1,"ALARM"," ")</f>
        <v xml:space="preserve"> </v>
      </c>
      <c r="AA118" s="114" t="str">
        <f>IF(ABS(IF(I2SA!$H$32="M",AM117-X118,AM160-X118))&gt;1,"ALARM"," ")</f>
        <v xml:space="preserve"> </v>
      </c>
      <c r="AB118" s="65"/>
      <c r="AC118" s="78" t="s">
        <v>50</v>
      </c>
      <c r="AD118" s="59">
        <v>3</v>
      </c>
      <c r="AE118" s="65"/>
      <c r="AF118" s="60">
        <f>I2SA!$H$35</f>
        <v>40</v>
      </c>
      <c r="AG118" s="61">
        <f>AF119+0.01</f>
        <v>33.343333333333334</v>
      </c>
      <c r="AH118" s="65"/>
      <c r="AI118" s="58">
        <v>5</v>
      </c>
      <c r="AJ118" s="59">
        <v>2</v>
      </c>
      <c r="AK118" s="65"/>
      <c r="AL118" s="60">
        <f>ROUNDDOWN(I2SA!$H$30*AF119/500,1)*5</f>
        <v>13</v>
      </c>
      <c r="AM118" s="353">
        <f t="shared" si="11"/>
        <v>11</v>
      </c>
      <c r="AN118" s="63">
        <f t="shared" si="9"/>
        <v>2.5</v>
      </c>
    </row>
    <row r="119" spans="4:40" ht="12.75" customHeight="1" x14ac:dyDescent="0.2">
      <c r="D119" s="8">
        <f ca="1">COUNT(Notenbogen!D19)</f>
        <v>0</v>
      </c>
      <c r="E119" s="8">
        <f ca="1">COUNT(Notenbogen!E19)</f>
        <v>0</v>
      </c>
      <c r="F119" s="8">
        <f ca="1">COUNT(Notenbogen!F19)</f>
        <v>0</v>
      </c>
      <c r="G119" s="8">
        <f>COUNT(Notenbogen!G19)</f>
        <v>0</v>
      </c>
      <c r="P119" s="8">
        <f ca="1">COUNT(Notenbogen!P19)</f>
        <v>0</v>
      </c>
      <c r="Q119" s="8">
        <f ca="1">COUNT(Notenbogen!Q19)</f>
        <v>0</v>
      </c>
      <c r="R119" s="8">
        <f ca="1">COUNT(Notenbogen!R19)</f>
        <v>0</v>
      </c>
      <c r="S119" s="8">
        <f>COUNT(Notenbogen!S19)</f>
        <v>0</v>
      </c>
      <c r="U119" s="84">
        <f>+I2SA!A56</f>
        <v>0</v>
      </c>
      <c r="V119" s="111">
        <f>IF(I2SA!$H$32="M",AN118+U119,AN161+U119)</f>
        <v>2.5</v>
      </c>
      <c r="W119" s="380">
        <f t="shared" si="12"/>
        <v>13</v>
      </c>
      <c r="X119" s="353">
        <f t="shared" si="13"/>
        <v>11</v>
      </c>
      <c r="Y119" s="56">
        <v>2</v>
      </c>
      <c r="Z119" s="115" t="str">
        <f>IF(ABS(IF(I2SA!$H$32="M",AL118-W119,AL161-W119))&gt;1,"ALARM"," ")</f>
        <v xml:space="preserve"> </v>
      </c>
      <c r="AA119" s="63" t="str">
        <f>IF(ABS(IF(I2SA!$H$32="M",AM118-X119,AM161-X119))&gt;1,"ALARM"," ")</f>
        <v xml:space="preserve"> </v>
      </c>
      <c r="AB119" s="65"/>
      <c r="AC119" s="58">
        <v>5</v>
      </c>
      <c r="AD119" s="59">
        <v>2</v>
      </c>
      <c r="AE119" s="65"/>
      <c r="AF119" s="60">
        <f>AG120+2*(AF118-AG120)/3</f>
        <v>33.333333333333336</v>
      </c>
      <c r="AG119" s="61">
        <f>AF120+0.01</f>
        <v>26.676666666666669</v>
      </c>
      <c r="AH119" s="65"/>
      <c r="AI119" s="81" t="s">
        <v>22</v>
      </c>
      <c r="AJ119" s="69">
        <v>1</v>
      </c>
      <c r="AK119" s="70"/>
      <c r="AL119" s="60">
        <f>ROUNDDOWN(I2SA!$H$30*AF120/500,1)*5</f>
        <v>10.5</v>
      </c>
      <c r="AM119" s="361">
        <f>ROUNDUP(I2SA!$H$30*(I2SA!$H$34/500),1)*5</f>
        <v>8</v>
      </c>
      <c r="AN119" s="73">
        <f t="shared" si="9"/>
        <v>3</v>
      </c>
    </row>
    <row r="120" spans="4:40" ht="12.75" customHeight="1" thickBot="1" x14ac:dyDescent="0.25">
      <c r="D120" s="8">
        <f ca="1">COUNT(Notenbogen!D20)</f>
        <v>0</v>
      </c>
      <c r="E120" s="8">
        <f ca="1">COUNT(Notenbogen!E20)</f>
        <v>0</v>
      </c>
      <c r="F120" s="8">
        <f ca="1">COUNT(Notenbogen!F20)</f>
        <v>0</v>
      </c>
      <c r="G120" s="8">
        <f ca="1">COUNT(Notenbogen!G20)</f>
        <v>0</v>
      </c>
      <c r="P120" s="8">
        <f ca="1">COUNT(Notenbogen!P20)</f>
        <v>0</v>
      </c>
      <c r="Q120" s="8">
        <f ca="1">COUNT(Notenbogen!Q20)</f>
        <v>0</v>
      </c>
      <c r="R120" s="8">
        <f ca="1">COUNT(Notenbogen!R20)</f>
        <v>0</v>
      </c>
      <c r="S120" s="8">
        <f ca="1">COUNT(Notenbogen!S20)</f>
        <v>0</v>
      </c>
      <c r="U120" s="109">
        <f>+I2SA!A57</f>
        <v>0</v>
      </c>
      <c r="V120" s="113">
        <f>IF(I2SA!$H$32="M",AN119+U120,AN162+U120)</f>
        <v>3</v>
      </c>
      <c r="W120" s="381">
        <f t="shared" si="12"/>
        <v>10.5</v>
      </c>
      <c r="X120" s="353">
        <f t="shared" si="13"/>
        <v>8</v>
      </c>
      <c r="Y120" s="75">
        <v>1</v>
      </c>
      <c r="Z120" s="118" t="str">
        <f>IF(ABS(IF(I2SA!$H$32="M",AL119-W120,AL162-W120))&gt;1,"ALARM"," ")</f>
        <v xml:space="preserve"> </v>
      </c>
      <c r="AA120" s="73" t="str">
        <f>IF(ABS(IF(I2SA!$H$32="M",AM119-X120,AM162-X120))&gt;1,"ALARM"," ")</f>
        <v xml:space="preserve"> </v>
      </c>
      <c r="AB120" s="65"/>
      <c r="AC120" s="81" t="s">
        <v>22</v>
      </c>
      <c r="AD120" s="69">
        <v>1</v>
      </c>
      <c r="AE120" s="70"/>
      <c r="AF120" s="82">
        <f>AG120+(AF118-AG120)/3</f>
        <v>26.666666666666668</v>
      </c>
      <c r="AG120" s="83">
        <f>I2SA!$H$34</f>
        <v>20</v>
      </c>
      <c r="AH120" s="65"/>
      <c r="AI120" s="89">
        <v>6</v>
      </c>
      <c r="AJ120" s="90">
        <v>0</v>
      </c>
      <c r="AK120" s="91"/>
      <c r="AL120" s="96">
        <f>AM119-0.5</f>
        <v>7.5</v>
      </c>
      <c r="AM120" s="362">
        <v>0</v>
      </c>
      <c r="AN120" s="94">
        <f>IF(AM120&gt;AM119,"ALARM",AL120)</f>
        <v>7.5</v>
      </c>
    </row>
    <row r="121" spans="4:40" ht="12.75" customHeight="1" thickBot="1" x14ac:dyDescent="0.25">
      <c r="D121" s="8">
        <f ca="1">COUNT(Notenbogen!D21)</f>
        <v>0</v>
      </c>
      <c r="E121" s="8">
        <f ca="1">COUNT(Notenbogen!E21)</f>
        <v>0</v>
      </c>
      <c r="F121" s="8">
        <f ca="1">COUNT(Notenbogen!F21)</f>
        <v>0</v>
      </c>
      <c r="G121" s="8">
        <f>COUNT(Notenbogen!G21)</f>
        <v>0</v>
      </c>
      <c r="P121" s="8">
        <f ca="1">COUNT(Notenbogen!P21)</f>
        <v>0</v>
      </c>
      <c r="Q121" s="8">
        <f ca="1">COUNT(Notenbogen!Q21)</f>
        <v>0</v>
      </c>
      <c r="R121" s="8">
        <f ca="1">COUNT(Notenbogen!R21)</f>
        <v>0</v>
      </c>
      <c r="S121" s="8">
        <f>COUNT(Notenbogen!S21)</f>
        <v>0</v>
      </c>
      <c r="U121" s="43" t="s">
        <v>51</v>
      </c>
      <c r="V121" s="112">
        <f>IF(I2SA!$H$32="M",+W121,W163)</f>
        <v>7.5</v>
      </c>
      <c r="W121" s="384">
        <f t="shared" si="12"/>
        <v>7.5</v>
      </c>
      <c r="X121" s="362">
        <v>0</v>
      </c>
      <c r="Y121" s="95">
        <v>0</v>
      </c>
      <c r="Z121" s="116" t="str">
        <f>IF(ABS(IF(I2SA!$H$32="M",AL120-W121,AL163-W121))&gt;1,"ALARM"," ")</f>
        <v xml:space="preserve"> </v>
      </c>
      <c r="AA121" s="94" t="str">
        <f>IF(ABS(IF(I2SA!$H$32="M",AM120-X121,AM163-X121))&gt;1,"ALARM"," ")</f>
        <v xml:space="preserve"> </v>
      </c>
      <c r="AB121" s="65"/>
      <c r="AC121" s="89">
        <v>6</v>
      </c>
      <c r="AD121" s="90">
        <v>0</v>
      </c>
      <c r="AE121" s="91"/>
      <c r="AF121" s="96">
        <f>I2SA!$H$34-0.1</f>
        <v>19.899999999999999</v>
      </c>
      <c r="AG121" s="97">
        <v>0</v>
      </c>
      <c r="AH121" s="65"/>
      <c r="AI121" s="65"/>
      <c r="AJ121" s="65"/>
      <c r="AK121" s="65"/>
      <c r="AL121" s="65"/>
      <c r="AM121" s="65"/>
      <c r="AN121" s="65"/>
    </row>
    <row r="122" spans="4:40" ht="12.75" customHeight="1" x14ac:dyDescent="0.2">
      <c r="D122" s="8">
        <f ca="1">COUNT(Notenbogen!D22)</f>
        <v>0</v>
      </c>
      <c r="E122" s="8">
        <f ca="1">COUNT(Notenbogen!E22)</f>
        <v>0</v>
      </c>
      <c r="F122" s="8">
        <f ca="1">COUNT(Notenbogen!F22)</f>
        <v>0</v>
      </c>
      <c r="G122" s="8">
        <f ca="1">COUNT(Notenbogen!G22)</f>
        <v>0</v>
      </c>
      <c r="P122" s="8">
        <f ca="1">COUNT(Notenbogen!P22)</f>
        <v>0</v>
      </c>
      <c r="Q122" s="8">
        <f ca="1">COUNT(Notenbogen!Q22)</f>
        <v>0</v>
      </c>
      <c r="R122" s="8">
        <f ca="1">COUNT(Notenbogen!R22)</f>
        <v>0</v>
      </c>
      <c r="S122" s="8">
        <f ca="1">COUNT(Notenbogen!S22)</f>
        <v>0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4:40" ht="12.75" customHeight="1" x14ac:dyDescent="0.2">
      <c r="D123" s="8">
        <f ca="1">COUNT(Notenbogen!D23)</f>
        <v>0</v>
      </c>
      <c r="E123" s="8">
        <f ca="1">COUNT(Notenbogen!E23)</f>
        <v>0</v>
      </c>
      <c r="F123" s="8">
        <f ca="1">COUNT(Notenbogen!F23)</f>
        <v>0</v>
      </c>
      <c r="G123" s="8">
        <f>COUNT(Notenbogen!G23)</f>
        <v>0</v>
      </c>
      <c r="P123" s="8">
        <f ca="1">COUNT(Notenbogen!P23)</f>
        <v>0</v>
      </c>
      <c r="Q123" s="8">
        <f ca="1">COUNT(Notenbogen!Q23)</f>
        <v>0</v>
      </c>
      <c r="R123" s="8">
        <f ca="1">COUNT(Notenbogen!R23)</f>
        <v>0</v>
      </c>
      <c r="S123" s="8">
        <f>COUNT(Notenbogen!S23)</f>
        <v>0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4:40" ht="12.75" customHeight="1" x14ac:dyDescent="0.2">
      <c r="D124" s="8">
        <f ca="1">COUNT(Notenbogen!D24)</f>
        <v>0</v>
      </c>
      <c r="E124" s="8">
        <f ca="1">COUNT(Notenbogen!E24)</f>
        <v>0</v>
      </c>
      <c r="F124" s="8">
        <f ca="1">COUNT(Notenbogen!F24)</f>
        <v>0</v>
      </c>
      <c r="G124" s="8">
        <f ca="1">COUNT(Notenbogen!G24)</f>
        <v>0</v>
      </c>
      <c r="P124" s="8">
        <f ca="1">COUNT(Notenbogen!P24)</f>
        <v>0</v>
      </c>
      <c r="Q124" s="8">
        <f ca="1">COUNT(Notenbogen!Q24)</f>
        <v>0</v>
      </c>
      <c r="R124" s="8">
        <f ca="1">COUNT(Notenbogen!R24)</f>
        <v>0</v>
      </c>
      <c r="S124" s="8">
        <f ca="1">COUNT(Notenbogen!S24)</f>
        <v>0</v>
      </c>
      <c r="U124" s="46"/>
      <c r="V124" s="359">
        <f t="shared" ref="V124:V139" si="14">+X124</f>
        <v>0</v>
      </c>
      <c r="W124" s="359">
        <f>+W121</f>
        <v>7.5</v>
      </c>
      <c r="X124" s="359">
        <f>+X121</f>
        <v>0</v>
      </c>
      <c r="Y124" s="46">
        <f>+Y121</f>
        <v>0</v>
      </c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4:40" ht="12.75" customHeight="1" x14ac:dyDescent="0.2">
      <c r="D125" s="8">
        <f ca="1">COUNT(Notenbogen!D25)</f>
        <v>0</v>
      </c>
      <c r="E125" s="8">
        <f ca="1">COUNT(Notenbogen!E25)</f>
        <v>0</v>
      </c>
      <c r="F125" s="8">
        <f ca="1">COUNT(Notenbogen!F25)</f>
        <v>0</v>
      </c>
      <c r="G125" s="8">
        <f>COUNT(Notenbogen!G25)</f>
        <v>0</v>
      </c>
      <c r="P125" s="8">
        <f ca="1">COUNT(Notenbogen!P25)</f>
        <v>0</v>
      </c>
      <c r="Q125" s="8">
        <f ca="1">COUNT(Notenbogen!Q25)</f>
        <v>0</v>
      </c>
      <c r="R125" s="8">
        <f ca="1">COUNT(Notenbogen!R25)</f>
        <v>0</v>
      </c>
      <c r="S125" s="8">
        <f>COUNT(Notenbogen!S25)</f>
        <v>0</v>
      </c>
      <c r="U125" s="46"/>
      <c r="V125" s="359">
        <f t="shared" si="14"/>
        <v>8</v>
      </c>
      <c r="W125" s="359">
        <f>+W120</f>
        <v>10.5</v>
      </c>
      <c r="X125" s="359">
        <f>+X120</f>
        <v>8</v>
      </c>
      <c r="Y125" s="46">
        <f>+Y120</f>
        <v>1</v>
      </c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4:40" ht="12.75" customHeight="1" x14ac:dyDescent="0.2">
      <c r="D126" s="8">
        <f ca="1">COUNT(Notenbogen!D26)</f>
        <v>0</v>
      </c>
      <c r="E126" s="8">
        <f ca="1">COUNT(Notenbogen!E26)</f>
        <v>0</v>
      </c>
      <c r="F126" s="8">
        <f ca="1">COUNT(Notenbogen!F26)</f>
        <v>0</v>
      </c>
      <c r="G126" s="8">
        <f ca="1">COUNT(Notenbogen!G26)</f>
        <v>0</v>
      </c>
      <c r="P126" s="8">
        <f ca="1">COUNT(Notenbogen!P26)</f>
        <v>0</v>
      </c>
      <c r="Q126" s="8">
        <f ca="1">COUNT(Notenbogen!Q26)</f>
        <v>0</v>
      </c>
      <c r="R126" s="8">
        <f ca="1">COUNT(Notenbogen!R26)</f>
        <v>0</v>
      </c>
      <c r="S126" s="8">
        <f ca="1">COUNT(Notenbogen!S26)</f>
        <v>0</v>
      </c>
      <c r="U126" s="46"/>
      <c r="V126" s="359">
        <f t="shared" si="14"/>
        <v>11</v>
      </c>
      <c r="W126" s="359">
        <f>+W119</f>
        <v>13</v>
      </c>
      <c r="X126" s="359">
        <f>+X119</f>
        <v>11</v>
      </c>
      <c r="Y126" s="46">
        <f>+Y119</f>
        <v>2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4:40" ht="12.75" customHeight="1" x14ac:dyDescent="0.2">
      <c r="D127" s="8">
        <f ca="1">COUNT(Notenbogen!D27)</f>
        <v>0</v>
      </c>
      <c r="E127" s="8">
        <f ca="1">COUNT(Notenbogen!E27)</f>
        <v>0</v>
      </c>
      <c r="F127" s="8">
        <f ca="1">COUNT(Notenbogen!F27)</f>
        <v>0</v>
      </c>
      <c r="G127" s="8">
        <f>COUNT(Notenbogen!G27)</f>
        <v>0</v>
      </c>
      <c r="P127" s="8">
        <f ca="1">COUNT(Notenbogen!P27)</f>
        <v>0</v>
      </c>
      <c r="Q127" s="8">
        <f ca="1">COUNT(Notenbogen!Q27)</f>
        <v>0</v>
      </c>
      <c r="R127" s="8">
        <f ca="1">COUNT(Notenbogen!R27)</f>
        <v>0</v>
      </c>
      <c r="S127" s="8">
        <f>COUNT(Notenbogen!S27)</f>
        <v>0</v>
      </c>
      <c r="U127" s="46"/>
      <c r="V127" s="359">
        <f t="shared" si="14"/>
        <v>13.5</v>
      </c>
      <c r="W127" s="359">
        <f>+W118</f>
        <v>16</v>
      </c>
      <c r="X127" s="359">
        <f>+X118</f>
        <v>13.5</v>
      </c>
      <c r="Y127" s="46">
        <f>+Y118</f>
        <v>3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4:40" ht="12.75" customHeight="1" x14ac:dyDescent="0.2">
      <c r="D128" s="8">
        <f ca="1">COUNT(Notenbogen!D28)</f>
        <v>0</v>
      </c>
      <c r="E128" s="8">
        <f ca="1">COUNT(Notenbogen!E28)</f>
        <v>0</v>
      </c>
      <c r="F128" s="8">
        <f ca="1">COUNT(Notenbogen!F28)</f>
        <v>0</v>
      </c>
      <c r="G128" s="8">
        <f ca="1">COUNT(Notenbogen!G28)</f>
        <v>0</v>
      </c>
      <c r="P128" s="8">
        <f ca="1">COUNT(Notenbogen!P28)</f>
        <v>0</v>
      </c>
      <c r="Q128" s="8">
        <f ca="1">COUNT(Notenbogen!Q28)</f>
        <v>0</v>
      </c>
      <c r="R128" s="8">
        <f ca="1">COUNT(Notenbogen!R28)</f>
        <v>0</v>
      </c>
      <c r="S128" s="8">
        <f ca="1">COUNT(Notenbogen!S28)</f>
        <v>0</v>
      </c>
      <c r="U128" s="46"/>
      <c r="V128" s="359">
        <f t="shared" si="14"/>
        <v>16.5</v>
      </c>
      <c r="W128" s="359">
        <f>+W117</f>
        <v>18</v>
      </c>
      <c r="X128" s="359">
        <f>+X117</f>
        <v>16.5</v>
      </c>
      <c r="Y128" s="46">
        <f>+Y117</f>
        <v>4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4:40" ht="12.75" customHeight="1" x14ac:dyDescent="0.2">
      <c r="D129" s="8">
        <f ca="1">COUNT(Notenbogen!D29)</f>
        <v>0</v>
      </c>
      <c r="E129" s="8">
        <f ca="1">COUNT(Notenbogen!E29)</f>
        <v>0</v>
      </c>
      <c r="F129" s="8">
        <f ca="1">COUNT(Notenbogen!F29)</f>
        <v>0</v>
      </c>
      <c r="G129" s="8">
        <f>COUNT(Notenbogen!G29)</f>
        <v>0</v>
      </c>
      <c r="P129" s="8">
        <f ca="1">COUNT(Notenbogen!P29)</f>
        <v>0</v>
      </c>
      <c r="Q129" s="8">
        <f ca="1">COUNT(Notenbogen!Q29)</f>
        <v>0</v>
      </c>
      <c r="R129" s="8">
        <f ca="1">COUNT(Notenbogen!R29)</f>
        <v>0</v>
      </c>
      <c r="S129" s="8">
        <f>COUNT(Notenbogen!S29)</f>
        <v>0</v>
      </c>
      <c r="U129" s="46"/>
      <c r="V129" s="359">
        <f t="shared" si="14"/>
        <v>18.5</v>
      </c>
      <c r="W129" s="359">
        <f>+W116</f>
        <v>20</v>
      </c>
      <c r="X129" s="359">
        <f>+X116</f>
        <v>18.5</v>
      </c>
      <c r="Y129" s="46">
        <f>+Y116</f>
        <v>5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4:40" ht="12.75" customHeight="1" x14ac:dyDescent="0.2">
      <c r="D130" s="8">
        <f ca="1">COUNT(Notenbogen!D30)</f>
        <v>0</v>
      </c>
      <c r="E130" s="8">
        <f ca="1">COUNT(Notenbogen!E30)</f>
        <v>0</v>
      </c>
      <c r="F130" s="8">
        <f ca="1">COUNT(Notenbogen!F30)</f>
        <v>0</v>
      </c>
      <c r="G130" s="8">
        <f ca="1">COUNT(Notenbogen!G30)</f>
        <v>0</v>
      </c>
      <c r="P130" s="8">
        <f ca="1">COUNT(Notenbogen!P30)</f>
        <v>0</v>
      </c>
      <c r="Q130" s="8">
        <f ca="1">COUNT(Notenbogen!Q30)</f>
        <v>0</v>
      </c>
      <c r="R130" s="8">
        <f ca="1">COUNT(Notenbogen!R30)</f>
        <v>0</v>
      </c>
      <c r="S130" s="8">
        <f ca="1">COUNT(Notenbogen!S30)</f>
        <v>0</v>
      </c>
      <c r="U130" s="46"/>
      <c r="V130" s="359">
        <f t="shared" si="14"/>
        <v>20.5</v>
      </c>
      <c r="W130" s="359">
        <f>+W115</f>
        <v>22</v>
      </c>
      <c r="X130" s="359">
        <f>+X115</f>
        <v>20.5</v>
      </c>
      <c r="Y130" s="46">
        <f>+Y115</f>
        <v>6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4:40" ht="12.75" customHeight="1" x14ac:dyDescent="0.2">
      <c r="D131" s="8">
        <f ca="1">COUNT(Notenbogen!D31)</f>
        <v>0</v>
      </c>
      <c r="E131" s="8">
        <f ca="1">COUNT(Notenbogen!E31)</f>
        <v>0</v>
      </c>
      <c r="F131" s="8">
        <f ca="1">COUNT(Notenbogen!F31)</f>
        <v>0</v>
      </c>
      <c r="G131" s="8">
        <f>COUNT(Notenbogen!G31)</f>
        <v>0</v>
      </c>
      <c r="P131" s="8">
        <f ca="1">COUNT(Notenbogen!P31)</f>
        <v>0</v>
      </c>
      <c r="Q131" s="8">
        <f ca="1">COUNT(Notenbogen!Q31)</f>
        <v>0</v>
      </c>
      <c r="R131" s="8">
        <f ca="1">COUNT(Notenbogen!R31)</f>
        <v>0</v>
      </c>
      <c r="S131" s="8">
        <f>COUNT(Notenbogen!S31)</f>
        <v>0</v>
      </c>
      <c r="U131" s="46"/>
      <c r="V131" s="359">
        <f t="shared" si="14"/>
        <v>22.5</v>
      </c>
      <c r="W131" s="359">
        <f>+W114</f>
        <v>24</v>
      </c>
      <c r="X131" s="359">
        <f>+X114</f>
        <v>22.5</v>
      </c>
      <c r="Y131" s="46">
        <f>+Y114</f>
        <v>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4:40" ht="12.75" customHeight="1" x14ac:dyDescent="0.2">
      <c r="D132" s="8">
        <f ca="1">COUNT(Notenbogen!D32)</f>
        <v>0</v>
      </c>
      <c r="E132" s="8">
        <f ca="1">COUNT(Notenbogen!E32)</f>
        <v>0</v>
      </c>
      <c r="F132" s="8">
        <f ca="1">COUNT(Notenbogen!F32)</f>
        <v>0</v>
      </c>
      <c r="G132" s="8">
        <f ca="1">COUNT(Notenbogen!G32)</f>
        <v>0</v>
      </c>
      <c r="P132" s="8">
        <f ca="1">COUNT(Notenbogen!P32)</f>
        <v>0</v>
      </c>
      <c r="Q132" s="8">
        <f ca="1">COUNT(Notenbogen!Q32)</f>
        <v>0</v>
      </c>
      <c r="R132" s="8">
        <f ca="1">COUNT(Notenbogen!R32)</f>
        <v>0</v>
      </c>
      <c r="S132" s="8">
        <f ca="1">COUNT(Notenbogen!S32)</f>
        <v>0</v>
      </c>
      <c r="U132" s="46"/>
      <c r="V132" s="359">
        <f t="shared" si="14"/>
        <v>24.5</v>
      </c>
      <c r="W132" s="359">
        <f>+W113</f>
        <v>26</v>
      </c>
      <c r="X132" s="359">
        <f>+X113</f>
        <v>24.5</v>
      </c>
      <c r="Y132" s="46">
        <f>+Y113</f>
        <v>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4:40" ht="12.75" customHeight="1" x14ac:dyDescent="0.2">
      <c r="D133" s="8">
        <f ca="1">COUNT(Notenbogen!D33)</f>
        <v>0</v>
      </c>
      <c r="E133" s="8">
        <f ca="1">COUNT(Notenbogen!E33)</f>
        <v>0</v>
      </c>
      <c r="F133" s="8">
        <f ca="1">COUNT(Notenbogen!F33)</f>
        <v>0</v>
      </c>
      <c r="G133" s="8">
        <f>COUNT(Notenbogen!G33)</f>
        <v>0</v>
      </c>
      <c r="P133" s="8">
        <f ca="1">COUNT(Notenbogen!P33)</f>
        <v>0</v>
      </c>
      <c r="Q133" s="8">
        <f ca="1">COUNT(Notenbogen!Q33)</f>
        <v>0</v>
      </c>
      <c r="R133" s="8">
        <f ca="1">COUNT(Notenbogen!R33)</f>
        <v>0</v>
      </c>
      <c r="S133" s="8">
        <f>COUNT(Notenbogen!S33)</f>
        <v>0</v>
      </c>
      <c r="U133" s="46"/>
      <c r="V133" s="359">
        <f t="shared" si="14"/>
        <v>26.5</v>
      </c>
      <c r="W133" s="359">
        <f>+W112</f>
        <v>28</v>
      </c>
      <c r="X133" s="359">
        <f>+X112</f>
        <v>26.5</v>
      </c>
      <c r="Y133" s="46">
        <f>+Y112</f>
        <v>9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4:40" ht="12.75" customHeight="1" x14ac:dyDescent="0.2">
      <c r="D134" s="8">
        <f ca="1">COUNT(Notenbogen!D34)</f>
        <v>0</v>
      </c>
      <c r="E134" s="8">
        <f ca="1">COUNT(Notenbogen!E34)</f>
        <v>0</v>
      </c>
      <c r="F134" s="8">
        <f ca="1">COUNT(Notenbogen!F34)</f>
        <v>0</v>
      </c>
      <c r="G134" s="8">
        <f ca="1">COUNT(Notenbogen!G34)</f>
        <v>0</v>
      </c>
      <c r="P134" s="8">
        <f ca="1">COUNT(Notenbogen!P34)</f>
        <v>0</v>
      </c>
      <c r="Q134" s="8">
        <f ca="1">COUNT(Notenbogen!Q34)</f>
        <v>0</v>
      </c>
      <c r="R134" s="8">
        <f ca="1">COUNT(Notenbogen!R34)</f>
        <v>0</v>
      </c>
      <c r="S134" s="8">
        <f ca="1">COUNT(Notenbogen!S34)</f>
        <v>0</v>
      </c>
      <c r="U134" s="46"/>
      <c r="V134" s="359">
        <f t="shared" si="14"/>
        <v>28.5</v>
      </c>
      <c r="W134" s="359">
        <f>+W111</f>
        <v>30</v>
      </c>
      <c r="X134" s="359">
        <f>+X111</f>
        <v>28.5</v>
      </c>
      <c r="Y134" s="46">
        <f>+Y111</f>
        <v>10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4:40" ht="12.75" customHeight="1" x14ac:dyDescent="0.2">
      <c r="D135" s="8">
        <f ca="1">COUNT(Notenbogen!D35)</f>
        <v>0</v>
      </c>
      <c r="E135" s="8">
        <f ca="1">COUNT(Notenbogen!E35)</f>
        <v>0</v>
      </c>
      <c r="F135" s="8">
        <f ca="1">COUNT(Notenbogen!F35)</f>
        <v>0</v>
      </c>
      <c r="G135" s="8">
        <f>COUNT(Notenbogen!G35)</f>
        <v>0</v>
      </c>
      <c r="P135" s="8">
        <f ca="1">COUNT(Notenbogen!P35)</f>
        <v>0</v>
      </c>
      <c r="Q135" s="8">
        <f ca="1">COUNT(Notenbogen!Q35)</f>
        <v>0</v>
      </c>
      <c r="R135" s="8">
        <f ca="1">COUNT(Notenbogen!R35)</f>
        <v>0</v>
      </c>
      <c r="S135" s="8">
        <f>COUNT(Notenbogen!S35)</f>
        <v>0</v>
      </c>
      <c r="U135" s="46"/>
      <c r="V135" s="359">
        <f t="shared" si="14"/>
        <v>30.5</v>
      </c>
      <c r="W135" s="359">
        <f>+W110</f>
        <v>32</v>
      </c>
      <c r="X135" s="359">
        <f>+X110</f>
        <v>30.5</v>
      </c>
      <c r="Y135" s="46">
        <f>+Y110</f>
        <v>11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4:40" ht="12.75" customHeight="1" x14ac:dyDescent="0.2">
      <c r="D136" s="8">
        <f ca="1">COUNT(Notenbogen!D36)</f>
        <v>0</v>
      </c>
      <c r="E136" s="8">
        <f ca="1">COUNT(Notenbogen!E36)</f>
        <v>0</v>
      </c>
      <c r="F136" s="8">
        <f ca="1">COUNT(Notenbogen!F36)</f>
        <v>0</v>
      </c>
      <c r="G136" s="8">
        <f ca="1">COUNT(Notenbogen!G36)</f>
        <v>0</v>
      </c>
      <c r="P136" s="8">
        <f ca="1">COUNT(Notenbogen!P36)</f>
        <v>0</v>
      </c>
      <c r="Q136" s="8">
        <f ca="1">COUNT(Notenbogen!Q36)</f>
        <v>0</v>
      </c>
      <c r="R136" s="8">
        <f ca="1">COUNT(Notenbogen!R36)</f>
        <v>0</v>
      </c>
      <c r="S136" s="8">
        <f ca="1">COUNT(Notenbogen!S36)</f>
        <v>0</v>
      </c>
      <c r="U136" s="46"/>
      <c r="V136" s="359">
        <f t="shared" si="14"/>
        <v>32.5</v>
      </c>
      <c r="W136" s="359">
        <f>+W109</f>
        <v>34</v>
      </c>
      <c r="X136" s="359">
        <f>+X109</f>
        <v>32.5</v>
      </c>
      <c r="Y136" s="46">
        <f>+Y109</f>
        <v>12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4:40" ht="12.75" customHeight="1" x14ac:dyDescent="0.2">
      <c r="D137" s="8">
        <f ca="1">COUNT(Notenbogen!D37)</f>
        <v>0</v>
      </c>
      <c r="E137" s="8">
        <f ca="1">COUNT(Notenbogen!E37)</f>
        <v>0</v>
      </c>
      <c r="F137" s="8">
        <f ca="1">COUNT(Notenbogen!F37)</f>
        <v>0</v>
      </c>
      <c r="G137" s="8">
        <f>COUNT(Notenbogen!G37)</f>
        <v>0</v>
      </c>
      <c r="P137" s="8">
        <f ca="1">COUNT(Notenbogen!P37)</f>
        <v>0</v>
      </c>
      <c r="Q137" s="8">
        <f ca="1">COUNT(Notenbogen!Q37)</f>
        <v>0</v>
      </c>
      <c r="R137" s="8">
        <f ca="1">COUNT(Notenbogen!R37)</f>
        <v>0</v>
      </c>
      <c r="S137" s="8">
        <f>COUNT(Notenbogen!S37)</f>
        <v>0</v>
      </c>
      <c r="U137" s="46"/>
      <c r="V137" s="359">
        <f t="shared" si="14"/>
        <v>34.5</v>
      </c>
      <c r="W137" s="359">
        <f>+W108</f>
        <v>36</v>
      </c>
      <c r="X137" s="359">
        <f>+X108</f>
        <v>34.5</v>
      </c>
      <c r="Y137" s="46">
        <f>+Y108</f>
        <v>13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4:40" ht="12.75" customHeight="1" x14ac:dyDescent="0.2">
      <c r="D138" s="8">
        <f ca="1">COUNT(Notenbogen!D38)</f>
        <v>0</v>
      </c>
      <c r="E138" s="8">
        <f ca="1">COUNT(Notenbogen!E38)</f>
        <v>0</v>
      </c>
      <c r="F138" s="8">
        <f ca="1">COUNT(Notenbogen!F38)</f>
        <v>0</v>
      </c>
      <c r="G138" s="8">
        <f ca="1">COUNT(Notenbogen!G38)</f>
        <v>0</v>
      </c>
      <c r="P138" s="8">
        <f ca="1">COUNT(Notenbogen!P38)</f>
        <v>0</v>
      </c>
      <c r="Q138" s="8">
        <f ca="1">COUNT(Notenbogen!Q38)</f>
        <v>0</v>
      </c>
      <c r="R138" s="8">
        <f ca="1">COUNT(Notenbogen!R38)</f>
        <v>0</v>
      </c>
      <c r="S138" s="8">
        <f ca="1">COUNT(Notenbogen!S38)</f>
        <v>0</v>
      </c>
      <c r="U138" s="46"/>
      <c r="V138" s="359">
        <f t="shared" si="14"/>
        <v>36.5</v>
      </c>
      <c r="W138" s="359">
        <f>+W107</f>
        <v>38</v>
      </c>
      <c r="X138" s="359">
        <f>+X107</f>
        <v>36.5</v>
      </c>
      <c r="Y138" s="46">
        <f>+Y107</f>
        <v>14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4:40" ht="12.75" customHeight="1" x14ac:dyDescent="0.2">
      <c r="D139" s="8">
        <f ca="1">COUNT(Notenbogen!D39)</f>
        <v>0</v>
      </c>
      <c r="E139" s="8">
        <f ca="1">COUNT(Notenbogen!E39)</f>
        <v>0</v>
      </c>
      <c r="F139" s="8">
        <f ca="1">COUNT(Notenbogen!F39)</f>
        <v>0</v>
      </c>
      <c r="G139" s="8">
        <f>COUNT(Notenbogen!G39)</f>
        <v>0</v>
      </c>
      <c r="P139" s="8">
        <f ca="1">COUNT(Notenbogen!P39)</f>
        <v>0</v>
      </c>
      <c r="Q139" s="8">
        <f ca="1">COUNT(Notenbogen!Q39)</f>
        <v>0</v>
      </c>
      <c r="R139" s="8">
        <f ca="1">COUNT(Notenbogen!R39)</f>
        <v>0</v>
      </c>
      <c r="S139" s="8">
        <f>COUNT(Notenbogen!S39)</f>
        <v>0</v>
      </c>
      <c r="U139" s="46"/>
      <c r="V139" s="359">
        <f t="shared" si="14"/>
        <v>38.5</v>
      </c>
      <c r="W139" s="359">
        <f>+W106</f>
        <v>40</v>
      </c>
      <c r="X139" s="359">
        <f>+X106</f>
        <v>38.5</v>
      </c>
      <c r="Y139" s="98">
        <f>+Y106</f>
        <v>15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4:40" ht="12.75" customHeight="1" x14ac:dyDescent="0.2">
      <c r="D140" s="8">
        <f ca="1">COUNT(Notenbogen!D40)</f>
        <v>0</v>
      </c>
      <c r="E140" s="8">
        <f ca="1">COUNT(Notenbogen!E40)</f>
        <v>0</v>
      </c>
      <c r="F140" s="8">
        <f ca="1">COUNT(Notenbogen!F40)</f>
        <v>0</v>
      </c>
      <c r="G140" s="8">
        <f ca="1">COUNT(Notenbogen!G40)</f>
        <v>0</v>
      </c>
      <c r="P140" s="8">
        <f ca="1">COUNT(Notenbogen!P40)</f>
        <v>0</v>
      </c>
      <c r="Q140" s="8">
        <f ca="1">COUNT(Notenbogen!Q40)</f>
        <v>0</v>
      </c>
      <c r="R140" s="8">
        <f ca="1">COUNT(Notenbogen!R40)</f>
        <v>0</v>
      </c>
      <c r="S140" s="8">
        <f ca="1">COUNT(Notenbogen!S40)</f>
        <v>0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4:40" ht="12.75" customHeight="1" x14ac:dyDescent="0.2">
      <c r="D141" s="8">
        <f ca="1">COUNT(Notenbogen!D41)</f>
        <v>0</v>
      </c>
      <c r="E141" s="8">
        <f ca="1">COUNT(Notenbogen!E41)</f>
        <v>0</v>
      </c>
      <c r="F141" s="8">
        <f ca="1">COUNT(Notenbogen!F41)</f>
        <v>0</v>
      </c>
      <c r="G141" s="8">
        <f>COUNT(Notenbogen!G41)</f>
        <v>0</v>
      </c>
      <c r="P141" s="8">
        <f ca="1">COUNT(Notenbogen!P41)</f>
        <v>0</v>
      </c>
      <c r="Q141" s="8">
        <f ca="1">COUNT(Notenbogen!Q41)</f>
        <v>0</v>
      </c>
      <c r="R141" s="8">
        <f ca="1">COUNT(Notenbogen!R41)</f>
        <v>0</v>
      </c>
      <c r="S141" s="8">
        <f>COUNT(Notenbogen!S41)</f>
        <v>0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4:40" ht="12.75" customHeight="1" x14ac:dyDescent="0.2">
      <c r="D142" s="8">
        <f ca="1">COUNT(Notenbogen!D42)</f>
        <v>0</v>
      </c>
      <c r="E142" s="8">
        <f ca="1">COUNT(Notenbogen!E42)</f>
        <v>0</v>
      </c>
      <c r="F142" s="8">
        <f ca="1">COUNT(Notenbogen!F42)</f>
        <v>0</v>
      </c>
      <c r="G142" s="8">
        <f ca="1">COUNT(Notenbogen!G42)</f>
        <v>0</v>
      </c>
      <c r="P142" s="8">
        <f ca="1">COUNT(Notenbogen!P42)</f>
        <v>0</v>
      </c>
      <c r="Q142" s="8">
        <f ca="1">COUNT(Notenbogen!Q42)</f>
        <v>0</v>
      </c>
      <c r="R142" s="8">
        <f ca="1">COUNT(Notenbogen!R42)</f>
        <v>0</v>
      </c>
      <c r="S142" s="8">
        <f ca="1">COUNT(Notenbogen!S42)</f>
        <v>0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4:40" ht="12.75" customHeight="1" x14ac:dyDescent="0.2">
      <c r="D143" s="8">
        <f ca="1">COUNT(Notenbogen!D43)</f>
        <v>0</v>
      </c>
      <c r="E143" s="8">
        <f ca="1">COUNT(Notenbogen!E43)</f>
        <v>0</v>
      </c>
      <c r="F143" s="8">
        <f ca="1">COUNT(Notenbogen!F43)</f>
        <v>0</v>
      </c>
      <c r="G143" s="8">
        <f>COUNT(Notenbogen!G43)</f>
        <v>0</v>
      </c>
      <c r="P143" s="8">
        <f ca="1">COUNT(Notenbogen!P43)</f>
        <v>0</v>
      </c>
      <c r="Q143" s="8">
        <f ca="1">COUNT(Notenbogen!Q43)</f>
        <v>0</v>
      </c>
      <c r="R143" s="8">
        <f ca="1">COUNT(Notenbogen!R43)</f>
        <v>0</v>
      </c>
      <c r="S143" s="8">
        <f>COUNT(Notenbogen!S43)</f>
        <v>0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52"/>
      <c r="AI143" s="57"/>
      <c r="AJ143" s="60"/>
      <c r="AK143" s="60"/>
      <c r="AL143" s="52"/>
      <c r="AM143" s="88" t="s">
        <v>58</v>
      </c>
      <c r="AN143" s="57"/>
    </row>
    <row r="144" spans="4:40" ht="12.75" customHeight="1" thickBot="1" x14ac:dyDescent="0.25">
      <c r="D144" s="8">
        <f ca="1">COUNT(Notenbogen!D44)</f>
        <v>0</v>
      </c>
      <c r="E144" s="8">
        <f ca="1">COUNT(Notenbogen!E44)</f>
        <v>0</v>
      </c>
      <c r="F144" s="8">
        <f ca="1">COUNT(Notenbogen!F44)</f>
        <v>0</v>
      </c>
      <c r="G144" s="8">
        <f ca="1">COUNT(Notenbogen!G44)</f>
        <v>0</v>
      </c>
      <c r="P144" s="8">
        <f ca="1">COUNT(Notenbogen!P44)</f>
        <v>0</v>
      </c>
      <c r="Q144" s="8">
        <f ca="1">COUNT(Notenbogen!Q44)</f>
        <v>0</v>
      </c>
      <c r="R144" s="8">
        <f ca="1">COUNT(Notenbogen!R44)</f>
        <v>0</v>
      </c>
      <c r="S144" s="8">
        <f ca="1">COUNT(Notenbogen!S44)</f>
        <v>0</v>
      </c>
      <c r="U144" s="360"/>
      <c r="V144" s="375"/>
      <c r="W144" s="454"/>
      <c r="X144" s="454"/>
      <c r="Y144" s="65"/>
      <c r="Z144" s="454"/>
      <c r="AA144" s="454"/>
      <c r="AB144" s="46"/>
      <c r="AC144" s="65"/>
      <c r="AD144" s="57"/>
      <c r="AE144" s="57"/>
      <c r="AF144" s="60"/>
      <c r="AG144" s="60"/>
      <c r="AH144" s="52"/>
      <c r="AI144" s="65"/>
      <c r="AJ144" s="57"/>
      <c r="AK144" s="65"/>
      <c r="AL144" s="57"/>
      <c r="AM144" s="57"/>
      <c r="AN144" s="57"/>
    </row>
    <row r="145" spans="4:40" ht="12.75" customHeight="1" x14ac:dyDescent="0.2">
      <c r="D145" s="8">
        <f ca="1">COUNT(Notenbogen!D45)</f>
        <v>0</v>
      </c>
      <c r="E145" s="8">
        <f ca="1">COUNT(Notenbogen!E45)</f>
        <v>0</v>
      </c>
      <c r="F145" s="8">
        <f ca="1">COUNT(Notenbogen!F45)</f>
        <v>0</v>
      </c>
      <c r="G145" s="8">
        <f>COUNT(Notenbogen!G45)</f>
        <v>0</v>
      </c>
      <c r="P145" s="8">
        <f ca="1">COUNT(Notenbogen!P45)</f>
        <v>0</v>
      </c>
      <c r="Q145" s="8">
        <f ca="1">COUNT(Notenbogen!Q45)</f>
        <v>0</v>
      </c>
      <c r="R145" s="8">
        <f ca="1">COUNT(Notenbogen!R45)</f>
        <v>0</v>
      </c>
      <c r="S145" s="8">
        <f>COUNT(Notenbogen!S45)</f>
        <v>0</v>
      </c>
      <c r="U145" s="376"/>
      <c r="V145" s="375"/>
      <c r="W145" s="458"/>
      <c r="X145" s="458"/>
      <c r="Y145" s="65"/>
      <c r="Z145" s="454"/>
      <c r="AA145" s="454"/>
      <c r="AB145" s="46"/>
      <c r="AC145" s="49" t="s">
        <v>17</v>
      </c>
      <c r="AD145" s="50" t="s">
        <v>32</v>
      </c>
      <c r="AE145" s="51"/>
      <c r="AF145" s="461" t="s">
        <v>41</v>
      </c>
      <c r="AG145" s="462"/>
      <c r="AH145" s="52"/>
      <c r="AI145" s="49" t="s">
        <v>17</v>
      </c>
      <c r="AJ145" s="50" t="s">
        <v>32</v>
      </c>
      <c r="AK145" s="53"/>
      <c r="AL145" s="452" t="s">
        <v>42</v>
      </c>
      <c r="AM145" s="453"/>
      <c r="AN145" s="54" t="s">
        <v>43</v>
      </c>
    </row>
    <row r="146" spans="4:40" ht="12.75" customHeight="1" x14ac:dyDescent="0.2">
      <c r="D146" s="8">
        <f ca="1">COUNT(Notenbogen!D46)</f>
        <v>0</v>
      </c>
      <c r="E146" s="8">
        <f ca="1">COUNT(Notenbogen!E46)</f>
        <v>0</v>
      </c>
      <c r="F146" s="8">
        <f ca="1">COUNT(Notenbogen!F46)</f>
        <v>0</v>
      </c>
      <c r="G146" s="8">
        <f ca="1">COUNT(Notenbogen!G46)</f>
        <v>0</v>
      </c>
      <c r="P146" s="8">
        <f ca="1">COUNT(Notenbogen!P46)</f>
        <v>0</v>
      </c>
      <c r="Q146" s="8">
        <f ca="1">COUNT(Notenbogen!Q46)</f>
        <v>0</v>
      </c>
      <c r="R146" s="8">
        <f ca="1">COUNT(Notenbogen!R46)</f>
        <v>0</v>
      </c>
      <c r="S146" s="8">
        <f ca="1">COUNT(Notenbogen!S46)</f>
        <v>0</v>
      </c>
      <c r="U146" s="377"/>
      <c r="V146" s="375"/>
      <c r="W146" s="360"/>
      <c r="X146" s="360"/>
      <c r="Y146" s="65"/>
      <c r="Z146" s="454"/>
      <c r="AA146" s="454"/>
      <c r="AB146" s="46"/>
      <c r="AC146" s="58"/>
      <c r="AD146" s="59"/>
      <c r="AE146" s="57"/>
      <c r="AF146" s="60" t="s">
        <v>46</v>
      </c>
      <c r="AG146" s="61" t="s">
        <v>47</v>
      </c>
      <c r="AH146" s="52"/>
      <c r="AI146" s="58"/>
      <c r="AJ146" s="59"/>
      <c r="AK146" s="57"/>
      <c r="AL146" s="57" t="s">
        <v>46</v>
      </c>
      <c r="AM146" s="62" t="s">
        <v>47</v>
      </c>
      <c r="AN146" s="63"/>
    </row>
    <row r="147" spans="4:40" ht="12.75" customHeight="1" x14ac:dyDescent="0.2">
      <c r="D147" s="8">
        <f ca="1">COUNT(Notenbogen!D47)</f>
        <v>0</v>
      </c>
      <c r="E147" s="8">
        <f ca="1">COUNT(Notenbogen!E47)</f>
        <v>0</v>
      </c>
      <c r="F147" s="8">
        <f ca="1">COUNT(Notenbogen!F47)</f>
        <v>0</v>
      </c>
      <c r="G147" s="8">
        <f>COUNT(Notenbogen!G47)</f>
        <v>0</v>
      </c>
      <c r="P147" s="8">
        <f ca="1">COUNT(Notenbogen!P47)</f>
        <v>0</v>
      </c>
      <c r="Q147" s="8">
        <f ca="1">COUNT(Notenbogen!Q47)</f>
        <v>0</v>
      </c>
      <c r="R147" s="8">
        <f ca="1">COUNT(Notenbogen!R47)</f>
        <v>0</v>
      </c>
      <c r="S147" s="8">
        <f>COUNT(Notenbogen!S47)</f>
        <v>0</v>
      </c>
      <c r="U147" s="65"/>
      <c r="V147" s="375"/>
      <c r="W147" s="360"/>
      <c r="X147" s="360"/>
      <c r="Y147" s="65"/>
      <c r="Z147" s="360"/>
      <c r="AA147" s="360"/>
      <c r="AB147" s="46"/>
      <c r="AC147" s="68"/>
      <c r="AD147" s="69"/>
      <c r="AE147" s="70"/>
      <c r="AF147" s="76"/>
      <c r="AG147" s="77"/>
      <c r="AH147" s="65"/>
      <c r="AI147" s="68"/>
      <c r="AJ147" s="69"/>
      <c r="AK147" s="70"/>
      <c r="AL147" s="71"/>
      <c r="AM147" s="72"/>
      <c r="AN147" s="73"/>
    </row>
    <row r="148" spans="4:40" ht="12.75" customHeight="1" x14ac:dyDescent="0.2">
      <c r="D148" s="8">
        <f ca="1">COUNT(Notenbogen!D48)</f>
        <v>0</v>
      </c>
      <c r="E148" s="8">
        <f ca="1">COUNT(Notenbogen!E48)</f>
        <v>0</v>
      </c>
      <c r="F148" s="8">
        <f ca="1">COUNT(Notenbogen!F48)</f>
        <v>0</v>
      </c>
      <c r="G148" s="8">
        <f ca="1">COUNT(Notenbogen!G48)</f>
        <v>0</v>
      </c>
      <c r="P148" s="8">
        <f ca="1">COUNT(Notenbogen!P48)</f>
        <v>0</v>
      </c>
      <c r="Q148" s="8">
        <f ca="1">COUNT(Notenbogen!Q48)</f>
        <v>0</v>
      </c>
      <c r="R148" s="8">
        <f ca="1">COUNT(Notenbogen!R48)</f>
        <v>0</v>
      </c>
      <c r="S148" s="8">
        <f ca="1">COUNT(Notenbogen!S48)</f>
        <v>0</v>
      </c>
      <c r="U148" s="376"/>
      <c r="V148" s="375"/>
      <c r="W148" s="79"/>
      <c r="X148" s="360"/>
      <c r="Y148" s="65"/>
      <c r="Z148" s="360"/>
      <c r="AA148" s="360"/>
      <c r="AB148" s="46"/>
      <c r="AC148" s="78" t="s">
        <v>50</v>
      </c>
      <c r="AD148" s="59">
        <v>15</v>
      </c>
      <c r="AE148" s="65"/>
      <c r="AF148" s="60">
        <f>I2SA!$H$35+30*(100-I2SA!$H$35)/30</f>
        <v>100</v>
      </c>
      <c r="AG148" s="61">
        <f t="shared" ref="AG148:AG159" si="15">AF149+0.1</f>
        <v>94.1</v>
      </c>
      <c r="AH148" s="65"/>
      <c r="AI148" s="78" t="s">
        <v>50</v>
      </c>
      <c r="AJ148" s="59">
        <v>15</v>
      </c>
      <c r="AK148" s="65"/>
      <c r="AL148" s="60">
        <f>I2SA!$H$30</f>
        <v>40</v>
      </c>
      <c r="AM148" s="353">
        <f>AL149+0.5</f>
        <v>38</v>
      </c>
      <c r="AN148" s="63">
        <f t="shared" ref="AN148:AN162" si="16">IF(AM148&gt;AL148,"ALARM",AL148-AL149)</f>
        <v>2.5</v>
      </c>
    </row>
    <row r="149" spans="4:40" ht="12.75" customHeight="1" x14ac:dyDescent="0.2">
      <c r="D149" s="8">
        <f ca="1">COUNT(Notenbogen!D49)</f>
        <v>0</v>
      </c>
      <c r="E149" s="8">
        <f ca="1">COUNT(Notenbogen!E49)</f>
        <v>0</v>
      </c>
      <c r="F149" s="8">
        <f ca="1">COUNT(Notenbogen!F49)</f>
        <v>0</v>
      </c>
      <c r="G149" s="8">
        <f>COUNT(Notenbogen!G49)</f>
        <v>0</v>
      </c>
      <c r="P149" s="8">
        <f ca="1">COUNT(Notenbogen!P49)</f>
        <v>0</v>
      </c>
      <c r="Q149" s="8">
        <f ca="1">COUNT(Notenbogen!Q49)</f>
        <v>0</v>
      </c>
      <c r="R149" s="8">
        <f ca="1">COUNT(Notenbogen!R49)</f>
        <v>0</v>
      </c>
      <c r="S149" s="8">
        <f>COUNT(Notenbogen!S49)</f>
        <v>0</v>
      </c>
      <c r="U149" s="376"/>
      <c r="V149" s="375"/>
      <c r="W149" s="360"/>
      <c r="X149" s="360"/>
      <c r="Y149" s="65"/>
      <c r="Z149" s="360"/>
      <c r="AA149" s="360"/>
      <c r="AB149" s="46"/>
      <c r="AC149" s="58">
        <v>1</v>
      </c>
      <c r="AD149" s="59">
        <v>14</v>
      </c>
      <c r="AE149" s="65"/>
      <c r="AF149" s="60">
        <f>I2SA!$H$35+27*(100-I2SA!$H$35)/30</f>
        <v>94</v>
      </c>
      <c r="AG149" s="61">
        <f t="shared" si="15"/>
        <v>88.1</v>
      </c>
      <c r="AH149" s="65"/>
      <c r="AI149" s="58">
        <v>1</v>
      </c>
      <c r="AJ149" s="59">
        <v>14</v>
      </c>
      <c r="AK149" s="65"/>
      <c r="AL149" s="60">
        <f>ROUNDDOWN(I2SA!$H$30*AF149/500,1)*5</f>
        <v>37.5</v>
      </c>
      <c r="AM149" s="353">
        <f t="shared" ref="AM149:AM161" si="17">AL150+0.5</f>
        <v>35.5</v>
      </c>
      <c r="AN149" s="63">
        <f t="shared" si="16"/>
        <v>2.5</v>
      </c>
    </row>
    <row r="150" spans="4:40" ht="12.75" customHeight="1" x14ac:dyDescent="0.2">
      <c r="D150" s="8">
        <f ca="1">COUNT(Notenbogen!D50)</f>
        <v>0</v>
      </c>
      <c r="E150" s="8">
        <f ca="1">COUNT(Notenbogen!E50)</f>
        <v>0</v>
      </c>
      <c r="F150" s="8">
        <f ca="1">COUNT(Notenbogen!F50)</f>
        <v>0</v>
      </c>
      <c r="G150" s="8">
        <f ca="1">COUNT(Notenbogen!G50)</f>
        <v>0</v>
      </c>
      <c r="P150" s="8">
        <f ca="1">COUNT(Notenbogen!P50)</f>
        <v>0</v>
      </c>
      <c r="Q150" s="8">
        <f ca="1">COUNT(Notenbogen!Q50)</f>
        <v>0</v>
      </c>
      <c r="R150" s="8">
        <f ca="1">COUNT(Notenbogen!R50)</f>
        <v>0</v>
      </c>
      <c r="S150" s="8">
        <f ca="1">COUNT(Notenbogen!S50)</f>
        <v>0</v>
      </c>
      <c r="U150" s="376"/>
      <c r="V150" s="375"/>
      <c r="W150" s="360"/>
      <c r="X150" s="360"/>
      <c r="Y150" s="65"/>
      <c r="Z150" s="360"/>
      <c r="AA150" s="360"/>
      <c r="AB150" s="46"/>
      <c r="AC150" s="81" t="s">
        <v>22</v>
      </c>
      <c r="AD150" s="69">
        <v>13</v>
      </c>
      <c r="AE150" s="70"/>
      <c r="AF150" s="82">
        <f>I2SA!$H$35+24*(100-I2SA!$H$35)/30</f>
        <v>88</v>
      </c>
      <c r="AG150" s="83">
        <f t="shared" si="15"/>
        <v>82.1</v>
      </c>
      <c r="AH150" s="65"/>
      <c r="AI150" s="81" t="s">
        <v>22</v>
      </c>
      <c r="AJ150" s="69">
        <v>13</v>
      </c>
      <c r="AK150" s="70"/>
      <c r="AL150" s="60">
        <f>ROUNDDOWN(I2SA!$H$30*AF150/500,1)*5</f>
        <v>35</v>
      </c>
      <c r="AM150" s="353">
        <f t="shared" si="17"/>
        <v>33</v>
      </c>
      <c r="AN150" s="73">
        <f t="shared" si="16"/>
        <v>2.5</v>
      </c>
    </row>
    <row r="151" spans="4:40" ht="12.75" customHeight="1" x14ac:dyDescent="0.2">
      <c r="D151" s="8">
        <f ca="1">COUNT(Notenbogen!D51)</f>
        <v>0</v>
      </c>
      <c r="E151" s="8">
        <f ca="1">COUNT(Notenbogen!E51)</f>
        <v>0</v>
      </c>
      <c r="F151" s="8">
        <f ca="1">COUNT(Notenbogen!F51)</f>
        <v>0</v>
      </c>
      <c r="G151" s="8">
        <f>COUNT(Notenbogen!G51)</f>
        <v>0</v>
      </c>
      <c r="P151" s="8">
        <f ca="1">COUNT(Notenbogen!P51)</f>
        <v>0</v>
      </c>
      <c r="Q151" s="8">
        <f ca="1">COUNT(Notenbogen!Q51)</f>
        <v>0</v>
      </c>
      <c r="R151" s="8">
        <f ca="1">COUNT(Notenbogen!R51)</f>
        <v>0</v>
      </c>
      <c r="S151" s="8">
        <f>COUNT(Notenbogen!S51)</f>
        <v>0</v>
      </c>
      <c r="U151" s="376"/>
      <c r="V151" s="375"/>
      <c r="W151" s="360"/>
      <c r="X151" s="360"/>
      <c r="Y151" s="65"/>
      <c r="Z151" s="360"/>
      <c r="AA151" s="360"/>
      <c r="AB151" s="46"/>
      <c r="AC151" s="78" t="s">
        <v>50</v>
      </c>
      <c r="AD151" s="59">
        <v>12</v>
      </c>
      <c r="AE151" s="65"/>
      <c r="AF151" s="60">
        <f>I2SA!$H$35+21*(100-I2SA!$H$35)/30</f>
        <v>82</v>
      </c>
      <c r="AG151" s="61">
        <f t="shared" si="15"/>
        <v>76.099999999999994</v>
      </c>
      <c r="AH151" s="65"/>
      <c r="AI151" s="78" t="s">
        <v>50</v>
      </c>
      <c r="AJ151" s="59">
        <v>12</v>
      </c>
      <c r="AK151" s="65"/>
      <c r="AL151" s="60">
        <f>ROUNDDOWN(I2SA!$H$30*AF151/500,1)*5</f>
        <v>32.5</v>
      </c>
      <c r="AM151" s="353">
        <f t="shared" si="17"/>
        <v>30.5</v>
      </c>
      <c r="AN151" s="63">
        <f t="shared" si="16"/>
        <v>2.5</v>
      </c>
    </row>
    <row r="152" spans="4:40" ht="12.75" customHeight="1" x14ac:dyDescent="0.2">
      <c r="D152" s="8">
        <f ca="1">COUNT(Notenbogen!D52)</f>
        <v>0</v>
      </c>
      <c r="E152" s="8">
        <f ca="1">COUNT(Notenbogen!E52)</f>
        <v>0</v>
      </c>
      <c r="F152" s="8">
        <f ca="1">COUNT(Notenbogen!F52)</f>
        <v>0</v>
      </c>
      <c r="G152" s="8">
        <f ca="1">COUNT(Notenbogen!G52)</f>
        <v>0</v>
      </c>
      <c r="P152" s="8">
        <f ca="1">COUNT(Notenbogen!P52)</f>
        <v>0</v>
      </c>
      <c r="Q152" s="8">
        <f ca="1">COUNT(Notenbogen!Q52)</f>
        <v>0</v>
      </c>
      <c r="R152" s="8">
        <f ca="1">COUNT(Notenbogen!R52)</f>
        <v>0</v>
      </c>
      <c r="S152" s="8">
        <f ca="1">COUNT(Notenbogen!S52)</f>
        <v>0</v>
      </c>
      <c r="U152" s="376"/>
      <c r="V152" s="375"/>
      <c r="W152" s="360"/>
      <c r="X152" s="360"/>
      <c r="Y152" s="65"/>
      <c r="Z152" s="360"/>
      <c r="AA152" s="360"/>
      <c r="AB152" s="46"/>
      <c r="AC152" s="58">
        <v>2</v>
      </c>
      <c r="AD152" s="59">
        <v>11</v>
      </c>
      <c r="AE152" s="65"/>
      <c r="AF152" s="60">
        <f>I2SA!$H$35+18*(100-I2SA!$H$35)/30</f>
        <v>76</v>
      </c>
      <c r="AG152" s="61">
        <f t="shared" si="15"/>
        <v>70.099999999999994</v>
      </c>
      <c r="AH152" s="65"/>
      <c r="AI152" s="58">
        <v>2</v>
      </c>
      <c r="AJ152" s="59">
        <v>11</v>
      </c>
      <c r="AK152" s="65"/>
      <c r="AL152" s="60">
        <f>ROUNDDOWN(I2SA!$H$30*AF152/500,1)*5</f>
        <v>30</v>
      </c>
      <c r="AM152" s="353">
        <f t="shared" si="17"/>
        <v>28.5</v>
      </c>
      <c r="AN152" s="63">
        <f t="shared" si="16"/>
        <v>2</v>
      </c>
    </row>
    <row r="153" spans="4:40" ht="12.75" customHeight="1" x14ac:dyDescent="0.2">
      <c r="D153" s="8">
        <f ca="1">COUNT(Notenbogen!D53)</f>
        <v>0</v>
      </c>
      <c r="E153" s="8">
        <f ca="1">COUNT(Notenbogen!E53)</f>
        <v>0</v>
      </c>
      <c r="F153" s="8">
        <f ca="1">COUNT(Notenbogen!F53)</f>
        <v>0</v>
      </c>
      <c r="G153" s="8">
        <f>COUNT(Notenbogen!G53)</f>
        <v>0</v>
      </c>
      <c r="P153" s="8">
        <f ca="1">COUNT(Notenbogen!P53)</f>
        <v>0</v>
      </c>
      <c r="Q153" s="8">
        <f ca="1">COUNT(Notenbogen!Q53)</f>
        <v>0</v>
      </c>
      <c r="R153" s="8">
        <f ca="1">COUNT(Notenbogen!R53)</f>
        <v>0</v>
      </c>
      <c r="S153" s="8">
        <f>COUNT(Notenbogen!S53)</f>
        <v>0</v>
      </c>
      <c r="U153" s="376"/>
      <c r="V153" s="375"/>
      <c r="W153" s="360"/>
      <c r="X153" s="360"/>
      <c r="Y153" s="65"/>
      <c r="Z153" s="360"/>
      <c r="AA153" s="360"/>
      <c r="AB153" s="46"/>
      <c r="AC153" s="81" t="s">
        <v>22</v>
      </c>
      <c r="AD153" s="69">
        <v>10</v>
      </c>
      <c r="AE153" s="70"/>
      <c r="AF153" s="82">
        <f>I2SA!$H$35+15*(100-I2SA!$H$35)/30</f>
        <v>70</v>
      </c>
      <c r="AG153" s="83">
        <f t="shared" si="15"/>
        <v>64.099999999999994</v>
      </c>
      <c r="AH153" s="65"/>
      <c r="AI153" s="81" t="s">
        <v>22</v>
      </c>
      <c r="AJ153" s="69">
        <v>10</v>
      </c>
      <c r="AK153" s="70"/>
      <c r="AL153" s="60">
        <f>ROUNDDOWN(I2SA!$H$30*AF153/500,1)*5</f>
        <v>28</v>
      </c>
      <c r="AM153" s="353">
        <f t="shared" si="17"/>
        <v>26</v>
      </c>
      <c r="AN153" s="73">
        <f t="shared" si="16"/>
        <v>2.5</v>
      </c>
    </row>
    <row r="154" spans="4:40" ht="12.75" customHeight="1" x14ac:dyDescent="0.2">
      <c r="D154" s="8">
        <f ca="1">COUNT(Notenbogen!D54)</f>
        <v>0</v>
      </c>
      <c r="E154" s="8">
        <f ca="1">COUNT(Notenbogen!E54)</f>
        <v>0</v>
      </c>
      <c r="F154" s="8">
        <f ca="1">COUNT(Notenbogen!F54)</f>
        <v>0</v>
      </c>
      <c r="G154" s="8">
        <f ca="1">COUNT(Notenbogen!G54)</f>
        <v>0</v>
      </c>
      <c r="P154" s="8">
        <f ca="1">COUNT(Notenbogen!P54)</f>
        <v>0</v>
      </c>
      <c r="Q154" s="8">
        <f ca="1">COUNT(Notenbogen!Q54)</f>
        <v>0</v>
      </c>
      <c r="R154" s="8">
        <f ca="1">COUNT(Notenbogen!R54)</f>
        <v>0</v>
      </c>
      <c r="S154" s="8">
        <f ca="1">COUNT(Notenbogen!S54)</f>
        <v>0</v>
      </c>
      <c r="U154" s="376"/>
      <c r="V154" s="375"/>
      <c r="W154" s="360"/>
      <c r="X154" s="360"/>
      <c r="Y154" s="65"/>
      <c r="Z154" s="360"/>
      <c r="AA154" s="360"/>
      <c r="AB154" s="46"/>
      <c r="AC154" s="78" t="s">
        <v>50</v>
      </c>
      <c r="AD154" s="59">
        <v>9</v>
      </c>
      <c r="AE154" s="65"/>
      <c r="AF154" s="60">
        <f>I2SA!$H$35+12*(100-I2SA!$H$35)/30</f>
        <v>64</v>
      </c>
      <c r="AG154" s="61">
        <f t="shared" si="15"/>
        <v>60.1</v>
      </c>
      <c r="AH154" s="65"/>
      <c r="AI154" s="78" t="s">
        <v>50</v>
      </c>
      <c r="AJ154" s="59">
        <v>9</v>
      </c>
      <c r="AK154" s="65"/>
      <c r="AL154" s="60">
        <f>ROUNDDOWN(I2SA!$H$30*AF154/500,1)*5</f>
        <v>25.5</v>
      </c>
      <c r="AM154" s="353">
        <f t="shared" si="17"/>
        <v>24.5</v>
      </c>
      <c r="AN154" s="63">
        <f t="shared" si="16"/>
        <v>1.5</v>
      </c>
    </row>
    <row r="155" spans="4:40" ht="12.75" customHeight="1" x14ac:dyDescent="0.2">
      <c r="D155" s="8">
        <f ca="1">COUNT(Notenbogen!D55)</f>
        <v>0</v>
      </c>
      <c r="E155" s="8">
        <f ca="1">COUNT(Notenbogen!E55)</f>
        <v>0</v>
      </c>
      <c r="F155" s="8">
        <f ca="1">COUNT(Notenbogen!F55)</f>
        <v>0</v>
      </c>
      <c r="G155" s="8">
        <f>COUNT(Notenbogen!G55)</f>
        <v>0</v>
      </c>
      <c r="P155" s="8">
        <f ca="1">COUNT(Notenbogen!P55)</f>
        <v>0</v>
      </c>
      <c r="Q155" s="8">
        <f ca="1">COUNT(Notenbogen!Q55)</f>
        <v>0</v>
      </c>
      <c r="R155" s="8">
        <f ca="1">COUNT(Notenbogen!R55)</f>
        <v>0</v>
      </c>
      <c r="S155" s="8">
        <f>COUNT(Notenbogen!S55)</f>
        <v>0</v>
      </c>
      <c r="U155" s="376"/>
      <c r="V155" s="375"/>
      <c r="W155" s="360"/>
      <c r="X155" s="360"/>
      <c r="Y155" s="65"/>
      <c r="Z155" s="360"/>
      <c r="AA155" s="360"/>
      <c r="AB155" s="46"/>
      <c r="AC155" s="58">
        <v>3</v>
      </c>
      <c r="AD155" s="59">
        <v>8</v>
      </c>
      <c r="AE155" s="65"/>
      <c r="AF155" s="60">
        <f>I2SA!$H$35+10*(100-I2SA!$H$35)/30</f>
        <v>60</v>
      </c>
      <c r="AG155" s="61">
        <f t="shared" si="15"/>
        <v>56.1</v>
      </c>
      <c r="AH155" s="65"/>
      <c r="AI155" s="58">
        <v>3</v>
      </c>
      <c r="AJ155" s="59">
        <v>8</v>
      </c>
      <c r="AK155" s="65"/>
      <c r="AL155" s="60">
        <f>ROUNDDOWN(I2SA!$H$30*AF155/500,1)*5</f>
        <v>24</v>
      </c>
      <c r="AM155" s="353">
        <f t="shared" si="17"/>
        <v>22.5</v>
      </c>
      <c r="AN155" s="63">
        <f t="shared" si="16"/>
        <v>2</v>
      </c>
    </row>
    <row r="156" spans="4:40" ht="12.75" customHeight="1" x14ac:dyDescent="0.2">
      <c r="D156" s="8">
        <f ca="1">COUNT(Notenbogen!D56)</f>
        <v>0</v>
      </c>
      <c r="E156" s="8">
        <f ca="1">COUNT(Notenbogen!E56)</f>
        <v>0</v>
      </c>
      <c r="F156" s="8">
        <f ca="1">COUNT(Notenbogen!F56)</f>
        <v>0</v>
      </c>
      <c r="G156" s="8">
        <f ca="1">COUNT(Notenbogen!G56)</f>
        <v>0</v>
      </c>
      <c r="P156" s="8">
        <f ca="1">COUNT(Notenbogen!P56)</f>
        <v>0</v>
      </c>
      <c r="Q156" s="8">
        <f ca="1">COUNT(Notenbogen!Q56)</f>
        <v>0</v>
      </c>
      <c r="R156" s="8">
        <f ca="1">COUNT(Notenbogen!R56)</f>
        <v>0</v>
      </c>
      <c r="S156" s="8">
        <f ca="1">COUNT(Notenbogen!S56)</f>
        <v>0</v>
      </c>
      <c r="U156" s="376"/>
      <c r="V156" s="375"/>
      <c r="W156" s="360"/>
      <c r="X156" s="360"/>
      <c r="Y156" s="65"/>
      <c r="Z156" s="360"/>
      <c r="AA156" s="360"/>
      <c r="AB156" s="46"/>
      <c r="AC156" s="81" t="s">
        <v>22</v>
      </c>
      <c r="AD156" s="69">
        <v>7</v>
      </c>
      <c r="AE156" s="70"/>
      <c r="AF156" s="82">
        <f>I2SA!$H$35+8*(100-I2SA!$H$35)/30</f>
        <v>56</v>
      </c>
      <c r="AG156" s="83">
        <f t="shared" si="15"/>
        <v>52.1</v>
      </c>
      <c r="AH156" s="65"/>
      <c r="AI156" s="81" t="s">
        <v>22</v>
      </c>
      <c r="AJ156" s="69">
        <v>7</v>
      </c>
      <c r="AK156" s="70"/>
      <c r="AL156" s="60">
        <f>ROUNDDOWN(I2SA!$H$30*AF156/500,1)*5</f>
        <v>22</v>
      </c>
      <c r="AM156" s="353">
        <f t="shared" si="17"/>
        <v>21</v>
      </c>
      <c r="AN156" s="73">
        <f t="shared" si="16"/>
        <v>1.5</v>
      </c>
    </row>
    <row r="157" spans="4:40" ht="12.75" customHeight="1" x14ac:dyDescent="0.2">
      <c r="D157" s="8">
        <f ca="1">COUNT(Notenbogen!D57)</f>
        <v>0</v>
      </c>
      <c r="E157" s="8">
        <f ca="1">COUNT(Notenbogen!E57)</f>
        <v>0</v>
      </c>
      <c r="F157" s="8">
        <f ca="1">COUNT(Notenbogen!F57)</f>
        <v>0</v>
      </c>
      <c r="G157" s="8">
        <f>COUNT(Notenbogen!G57)</f>
        <v>0</v>
      </c>
      <c r="P157" s="8">
        <f ca="1">COUNT(Notenbogen!P57)</f>
        <v>0</v>
      </c>
      <c r="Q157" s="8">
        <f ca="1">COUNT(Notenbogen!Q57)</f>
        <v>0</v>
      </c>
      <c r="R157" s="8">
        <f ca="1">COUNT(Notenbogen!R57)</f>
        <v>0</v>
      </c>
      <c r="S157" s="8">
        <f>COUNT(Notenbogen!S57)</f>
        <v>0</v>
      </c>
      <c r="U157" s="376"/>
      <c r="V157" s="375"/>
      <c r="W157" s="360"/>
      <c r="X157" s="360"/>
      <c r="Y157" s="65"/>
      <c r="Z157" s="360"/>
      <c r="AA157" s="360"/>
      <c r="AB157" s="46"/>
      <c r="AC157" s="78" t="s">
        <v>50</v>
      </c>
      <c r="AD157" s="59">
        <v>6</v>
      </c>
      <c r="AE157" s="65"/>
      <c r="AF157" s="60">
        <f>I2SA!$H$35+6*(100-I2SA!$H$35)/30</f>
        <v>52</v>
      </c>
      <c r="AG157" s="61">
        <f t="shared" si="15"/>
        <v>48.1</v>
      </c>
      <c r="AH157" s="65"/>
      <c r="AI157" s="78" t="s">
        <v>50</v>
      </c>
      <c r="AJ157" s="59">
        <v>6</v>
      </c>
      <c r="AK157" s="65"/>
      <c r="AL157" s="60">
        <f>ROUNDDOWN(I2SA!$H$30*AF157/500,1)*5</f>
        <v>20.5</v>
      </c>
      <c r="AM157" s="353">
        <f t="shared" si="17"/>
        <v>19.5</v>
      </c>
      <c r="AN157" s="63">
        <f t="shared" si="16"/>
        <v>1.5</v>
      </c>
    </row>
    <row r="158" spans="4:40" ht="12.75" customHeight="1" x14ac:dyDescent="0.2">
      <c r="D158" s="8">
        <f ca="1">COUNT(Notenbogen!D58)</f>
        <v>0</v>
      </c>
      <c r="E158" s="8">
        <f ca="1">COUNT(Notenbogen!E58)</f>
        <v>0</v>
      </c>
      <c r="F158" s="8">
        <f ca="1">COUNT(Notenbogen!F58)</f>
        <v>0</v>
      </c>
      <c r="G158" s="8">
        <f ca="1">COUNT(Notenbogen!G58)</f>
        <v>0</v>
      </c>
      <c r="P158" s="8">
        <f ca="1">COUNT(Notenbogen!P58)</f>
        <v>0</v>
      </c>
      <c r="Q158" s="8">
        <f ca="1">COUNT(Notenbogen!Q58)</f>
        <v>0</v>
      </c>
      <c r="R158" s="8">
        <f ca="1">COUNT(Notenbogen!R58)</f>
        <v>0</v>
      </c>
      <c r="S158" s="8">
        <f ca="1">COUNT(Notenbogen!S58)</f>
        <v>0</v>
      </c>
      <c r="U158" s="376"/>
      <c r="V158" s="375"/>
      <c r="W158" s="360"/>
      <c r="X158" s="360"/>
      <c r="Y158" s="65"/>
      <c r="Z158" s="360"/>
      <c r="AA158" s="360"/>
      <c r="AB158" s="46"/>
      <c r="AC158" s="58">
        <v>4</v>
      </c>
      <c r="AD158" s="59">
        <v>5</v>
      </c>
      <c r="AE158" s="65"/>
      <c r="AF158" s="60">
        <f>I2SA!$H$35+4*(100-I2SA!$H$35)/30</f>
        <v>48</v>
      </c>
      <c r="AG158" s="61">
        <f t="shared" si="15"/>
        <v>44.1</v>
      </c>
      <c r="AH158" s="65"/>
      <c r="AI158" s="58">
        <v>4</v>
      </c>
      <c r="AJ158" s="59">
        <v>5</v>
      </c>
      <c r="AK158" s="65"/>
      <c r="AL158" s="60">
        <f>ROUNDDOWN(I2SA!$H$30*AF158/500,1)*5</f>
        <v>19</v>
      </c>
      <c r="AM158" s="353">
        <f t="shared" si="17"/>
        <v>18</v>
      </c>
      <c r="AN158" s="63">
        <f t="shared" si="16"/>
        <v>1.5</v>
      </c>
    </row>
    <row r="159" spans="4:40" ht="12.75" customHeight="1" x14ac:dyDescent="0.2">
      <c r="D159" s="8">
        <f ca="1">COUNT(Notenbogen!D59)</f>
        <v>0</v>
      </c>
      <c r="E159" s="8">
        <f ca="1">COUNT(Notenbogen!E59)</f>
        <v>0</v>
      </c>
      <c r="F159" s="8">
        <f ca="1">COUNT(Notenbogen!F59)</f>
        <v>0</v>
      </c>
      <c r="G159" s="8">
        <f>COUNT(Notenbogen!G59)</f>
        <v>0</v>
      </c>
      <c r="P159" s="8">
        <f ca="1">COUNT(Notenbogen!P59)</f>
        <v>0</v>
      </c>
      <c r="Q159" s="8">
        <f ca="1">COUNT(Notenbogen!Q59)</f>
        <v>0</v>
      </c>
      <c r="R159" s="8">
        <f ca="1">COUNT(Notenbogen!R59)</f>
        <v>0</v>
      </c>
      <c r="S159" s="8">
        <f>COUNT(Notenbogen!S59)</f>
        <v>0</v>
      </c>
      <c r="U159" s="376"/>
      <c r="V159" s="375"/>
      <c r="W159" s="360"/>
      <c r="X159" s="360"/>
      <c r="Y159" s="65"/>
      <c r="Z159" s="360"/>
      <c r="AA159" s="360"/>
      <c r="AB159" s="46"/>
      <c r="AC159" s="81" t="s">
        <v>22</v>
      </c>
      <c r="AD159" s="69">
        <v>4</v>
      </c>
      <c r="AE159" s="70"/>
      <c r="AF159" s="82">
        <f>I2SA!$H$35+2*(100-I2SA!$H$35)/30</f>
        <v>44</v>
      </c>
      <c r="AG159" s="83">
        <f t="shared" si="15"/>
        <v>40.1</v>
      </c>
      <c r="AH159" s="65"/>
      <c r="AI159" s="81" t="s">
        <v>22</v>
      </c>
      <c r="AJ159" s="69">
        <v>4</v>
      </c>
      <c r="AK159" s="70"/>
      <c r="AL159" s="60">
        <f>ROUNDDOWN(I2SA!$H$30*AF159/500,1)*5</f>
        <v>17.5</v>
      </c>
      <c r="AM159" s="353">
        <f t="shared" si="17"/>
        <v>16.5</v>
      </c>
      <c r="AN159" s="73">
        <f t="shared" si="16"/>
        <v>1.5</v>
      </c>
    </row>
    <row r="160" spans="4:40" ht="12.75" customHeight="1" x14ac:dyDescent="0.2">
      <c r="D160" s="8">
        <f ca="1">COUNT(Notenbogen!D60)</f>
        <v>0</v>
      </c>
      <c r="E160" s="8">
        <f ca="1">COUNT(Notenbogen!E60)</f>
        <v>0</v>
      </c>
      <c r="F160" s="8">
        <f ca="1">COUNT(Notenbogen!F60)</f>
        <v>0</v>
      </c>
      <c r="G160" s="8">
        <f ca="1">COUNT(Notenbogen!G60)</f>
        <v>0</v>
      </c>
      <c r="P160" s="8">
        <f ca="1">COUNT(Notenbogen!P60)</f>
        <v>0</v>
      </c>
      <c r="Q160" s="8">
        <f ca="1">COUNT(Notenbogen!Q60)</f>
        <v>0</v>
      </c>
      <c r="R160" s="8">
        <f ca="1">COUNT(Notenbogen!R60)</f>
        <v>0</v>
      </c>
      <c r="S160" s="8">
        <f ca="1">COUNT(Notenbogen!S60)</f>
        <v>0</v>
      </c>
      <c r="U160" s="376"/>
      <c r="V160" s="375"/>
      <c r="W160" s="360"/>
      <c r="X160" s="360"/>
      <c r="Y160" s="65"/>
      <c r="Z160" s="360"/>
      <c r="AA160" s="360"/>
      <c r="AB160" s="46"/>
      <c r="AC160" s="78" t="s">
        <v>50</v>
      </c>
      <c r="AD160" s="59">
        <v>3</v>
      </c>
      <c r="AE160" s="65"/>
      <c r="AF160" s="60">
        <f>I2SA!$H$35</f>
        <v>40</v>
      </c>
      <c r="AG160" s="61">
        <f>AF161+0.01</f>
        <v>33.343333333333334</v>
      </c>
      <c r="AH160" s="65"/>
      <c r="AI160" s="78" t="s">
        <v>50</v>
      </c>
      <c r="AJ160" s="59">
        <v>3</v>
      </c>
      <c r="AK160" s="65"/>
      <c r="AL160" s="60">
        <f>ROUNDDOWN(I2SA!$H$30*AF160/500,1)*5</f>
        <v>16</v>
      </c>
      <c r="AM160" s="353">
        <f t="shared" si="17"/>
        <v>13.5</v>
      </c>
      <c r="AN160" s="63">
        <f t="shared" si="16"/>
        <v>3</v>
      </c>
    </row>
    <row r="161" spans="4:40" ht="12.75" customHeight="1" x14ac:dyDescent="0.2">
      <c r="D161" s="8">
        <f ca="1">COUNT(Notenbogen!D61)</f>
        <v>0</v>
      </c>
      <c r="E161" s="8">
        <f ca="1">COUNT(Notenbogen!E61)</f>
        <v>0</v>
      </c>
      <c r="F161" s="8">
        <f ca="1">COUNT(Notenbogen!F61)</f>
        <v>0</v>
      </c>
      <c r="G161" s="8">
        <f>COUNT(Notenbogen!G61)</f>
        <v>0</v>
      </c>
      <c r="P161" s="8">
        <f ca="1">COUNT(Notenbogen!P61)</f>
        <v>0</v>
      </c>
      <c r="Q161" s="8">
        <f ca="1">COUNT(Notenbogen!Q61)</f>
        <v>0</v>
      </c>
      <c r="R161" s="8">
        <f ca="1">COUNT(Notenbogen!R61)</f>
        <v>0</v>
      </c>
      <c r="S161" s="8">
        <f>COUNT(Notenbogen!S61)</f>
        <v>0</v>
      </c>
      <c r="U161" s="376"/>
      <c r="V161" s="375"/>
      <c r="W161" s="360"/>
      <c r="X161" s="360"/>
      <c r="Y161" s="65"/>
      <c r="Z161" s="360"/>
      <c r="AA161" s="360"/>
      <c r="AB161" s="46"/>
      <c r="AC161" s="58">
        <v>5</v>
      </c>
      <c r="AD161" s="59">
        <v>2</v>
      </c>
      <c r="AE161" s="65"/>
      <c r="AF161" s="60">
        <f>AG162+2*(AF160-AG162)/3</f>
        <v>33.333333333333336</v>
      </c>
      <c r="AG161" s="61">
        <f>AF162+0.01</f>
        <v>26.676666666666669</v>
      </c>
      <c r="AH161" s="65"/>
      <c r="AI161" s="58">
        <v>5</v>
      </c>
      <c r="AJ161" s="59">
        <v>2</v>
      </c>
      <c r="AK161" s="65"/>
      <c r="AL161" s="60">
        <f>ROUNDDOWN(I2SA!$H$30*AF161/500,1)*5</f>
        <v>13</v>
      </c>
      <c r="AM161" s="353">
        <f t="shared" si="17"/>
        <v>11</v>
      </c>
      <c r="AN161" s="63">
        <f t="shared" si="16"/>
        <v>2.5</v>
      </c>
    </row>
    <row r="162" spans="4:40" ht="12.75" customHeight="1" x14ac:dyDescent="0.2">
      <c r="D162" s="8">
        <f ca="1">COUNT(Notenbogen!D62)</f>
        <v>0</v>
      </c>
      <c r="E162" s="8">
        <f ca="1">COUNT(Notenbogen!E62)</f>
        <v>0</v>
      </c>
      <c r="F162" s="8">
        <f ca="1">COUNT(Notenbogen!F62)</f>
        <v>0</v>
      </c>
      <c r="G162" s="8">
        <f ca="1">COUNT(Notenbogen!G62)</f>
        <v>0</v>
      </c>
      <c r="P162" s="8">
        <f ca="1">COUNT(Notenbogen!P62)</f>
        <v>0</v>
      </c>
      <c r="Q162" s="8">
        <f ca="1">COUNT(Notenbogen!Q62)</f>
        <v>0</v>
      </c>
      <c r="R162" s="8">
        <f ca="1">COUNT(Notenbogen!R62)</f>
        <v>0</v>
      </c>
      <c r="S162" s="8">
        <f ca="1">COUNT(Notenbogen!S62)</f>
        <v>0</v>
      </c>
      <c r="U162" s="376"/>
      <c r="V162" s="375"/>
      <c r="W162" s="360"/>
      <c r="X162" s="375"/>
      <c r="Y162" s="65"/>
      <c r="Z162" s="360"/>
      <c r="AA162" s="360"/>
      <c r="AB162" s="46"/>
      <c r="AC162" s="81" t="s">
        <v>22</v>
      </c>
      <c r="AD162" s="69">
        <v>1</v>
      </c>
      <c r="AE162" s="70"/>
      <c r="AF162" s="82">
        <f>AG162+(AF160-AG162)/3</f>
        <v>26.666666666666668</v>
      </c>
      <c r="AG162" s="83">
        <f>I2SA!$H$34</f>
        <v>20</v>
      </c>
      <c r="AH162" s="65"/>
      <c r="AI162" s="81" t="s">
        <v>22</v>
      </c>
      <c r="AJ162" s="69">
        <v>1</v>
      </c>
      <c r="AK162" s="70"/>
      <c r="AL162" s="60">
        <f>ROUNDDOWN(I2SA!$H$30*AF162/500,1)*5</f>
        <v>10.5</v>
      </c>
      <c r="AM162" s="361">
        <f>ROUNDUP(I2SA!$H$30*(I2SA!$H$34/500),1)*5</f>
        <v>8</v>
      </c>
      <c r="AN162" s="73">
        <f t="shared" si="16"/>
        <v>3</v>
      </c>
    </row>
    <row r="163" spans="4:40" ht="12.75" customHeight="1" thickBot="1" x14ac:dyDescent="0.25">
      <c r="D163" s="8">
        <f ca="1">COUNT(Notenbogen!D63)</f>
        <v>0</v>
      </c>
      <c r="E163" s="8">
        <f ca="1">COUNT(Notenbogen!E63)</f>
        <v>0</v>
      </c>
      <c r="F163" s="8">
        <f ca="1">COUNT(Notenbogen!F63)</f>
        <v>0</v>
      </c>
      <c r="G163" s="8">
        <f>COUNT(Notenbogen!G63)</f>
        <v>0</v>
      </c>
      <c r="P163" s="8">
        <f ca="1">COUNT(Notenbogen!P63)</f>
        <v>0</v>
      </c>
      <c r="Q163" s="8">
        <f ca="1">COUNT(Notenbogen!Q63)</f>
        <v>0</v>
      </c>
      <c r="R163" s="8">
        <f ca="1">COUNT(Notenbogen!R63)</f>
        <v>0</v>
      </c>
      <c r="S163" s="8">
        <f>COUNT(Notenbogen!S63)</f>
        <v>0</v>
      </c>
      <c r="U163" s="375"/>
      <c r="V163" s="375"/>
      <c r="W163" s="360"/>
      <c r="X163" s="360"/>
      <c r="Y163" s="65"/>
      <c r="Z163" s="360"/>
      <c r="AA163" s="360"/>
      <c r="AB163" s="46"/>
      <c r="AC163" s="89">
        <v>6</v>
      </c>
      <c r="AD163" s="90">
        <v>0</v>
      </c>
      <c r="AE163" s="91"/>
      <c r="AF163" s="96">
        <f>I2SA!$H$34-0.1</f>
        <v>19.899999999999999</v>
      </c>
      <c r="AG163" s="97">
        <v>0</v>
      </c>
      <c r="AH163" s="65"/>
      <c r="AI163" s="89">
        <v>6</v>
      </c>
      <c r="AJ163" s="90">
        <v>0</v>
      </c>
      <c r="AK163" s="91"/>
      <c r="AL163" s="96">
        <f>AM162-0.5</f>
        <v>7.5</v>
      </c>
      <c r="AM163" s="362">
        <v>0</v>
      </c>
      <c r="AN163" s="94">
        <f>IF(AM163&gt;AM162,"ALARM",AL163)</f>
        <v>7.5</v>
      </c>
    </row>
    <row r="164" spans="4:40" ht="12.75" customHeight="1" x14ac:dyDescent="0.2">
      <c r="D164" s="8">
        <f ca="1">COUNT(Notenbogen!D64)</f>
        <v>0</v>
      </c>
      <c r="E164" s="8">
        <f ca="1">COUNT(Notenbogen!E64)</f>
        <v>0</v>
      </c>
      <c r="F164" s="8">
        <f ca="1">COUNT(Notenbogen!F64)</f>
        <v>0</v>
      </c>
      <c r="G164" s="8">
        <f ca="1">COUNT(Notenbogen!G64)</f>
        <v>0</v>
      </c>
      <c r="P164" s="8">
        <f ca="1">COUNT(Notenbogen!P64)</f>
        <v>0</v>
      </c>
      <c r="Q164" s="8">
        <f ca="1">COUNT(Notenbogen!Q64)</f>
        <v>0</v>
      </c>
      <c r="R164" s="8">
        <f ca="1">COUNT(Notenbogen!R64)</f>
        <v>0</v>
      </c>
      <c r="S164" s="8">
        <f ca="1">COUNT(Notenbogen!S64)</f>
        <v>0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4:40" ht="12.75" customHeight="1" x14ac:dyDescent="0.2">
      <c r="D165" s="8">
        <f ca="1">COUNT(Notenbogen!D65)</f>
        <v>0</v>
      </c>
      <c r="E165" s="8">
        <f ca="1">COUNT(Notenbogen!E65)</f>
        <v>0</v>
      </c>
      <c r="F165" s="8">
        <f ca="1">COUNT(Notenbogen!F65)</f>
        <v>0</v>
      </c>
      <c r="G165" s="8">
        <f>COUNT(Notenbogen!G65)</f>
        <v>0</v>
      </c>
      <c r="P165" s="8">
        <f ca="1">COUNT(Notenbogen!P65)</f>
        <v>0</v>
      </c>
      <c r="Q165" s="8">
        <f ca="1">COUNT(Notenbogen!Q65)</f>
        <v>0</v>
      </c>
      <c r="R165" s="8">
        <f ca="1">COUNT(Notenbogen!R65)</f>
        <v>0</v>
      </c>
      <c r="S165" s="8">
        <f>COUNT(Notenbogen!S65)</f>
        <v>0</v>
      </c>
    </row>
    <row r="166" spans="4:40" ht="12.75" customHeight="1" x14ac:dyDescent="0.2">
      <c r="D166" s="8">
        <f ca="1">COUNT(Notenbogen!D66)</f>
        <v>0</v>
      </c>
      <c r="E166" s="8">
        <f ca="1">COUNT(Notenbogen!E66)</f>
        <v>0</v>
      </c>
      <c r="F166" s="8">
        <f ca="1">COUNT(Notenbogen!F66)</f>
        <v>0</v>
      </c>
      <c r="G166" s="8">
        <f ca="1">COUNT(Notenbogen!G66)</f>
        <v>0</v>
      </c>
      <c r="P166" s="8">
        <f ca="1">COUNT(Notenbogen!P66)</f>
        <v>0</v>
      </c>
      <c r="Q166" s="8">
        <f ca="1">COUNT(Notenbogen!Q66)</f>
        <v>0</v>
      </c>
      <c r="R166" s="8">
        <f ca="1">COUNT(Notenbogen!R66)</f>
        <v>0</v>
      </c>
      <c r="S166" s="8">
        <f ca="1">COUNT(Notenbogen!S66)</f>
        <v>0</v>
      </c>
    </row>
    <row r="167" spans="4:40" ht="12.75" customHeight="1" x14ac:dyDescent="0.2">
      <c r="D167" s="8">
        <f ca="1">COUNT(Notenbogen!D67)</f>
        <v>0</v>
      </c>
      <c r="E167" s="8">
        <f ca="1">COUNT(Notenbogen!E67)</f>
        <v>0</v>
      </c>
      <c r="F167" s="8">
        <f ca="1">COUNT(Notenbogen!F67)</f>
        <v>0</v>
      </c>
      <c r="G167" s="8">
        <f>COUNT(Notenbogen!G67)</f>
        <v>0</v>
      </c>
      <c r="P167" s="8">
        <f ca="1">COUNT(Notenbogen!P67)</f>
        <v>0</v>
      </c>
      <c r="Q167" s="8">
        <f ca="1">COUNT(Notenbogen!Q67)</f>
        <v>0</v>
      </c>
      <c r="R167" s="8">
        <f ca="1">COUNT(Notenbogen!R67)</f>
        <v>0</v>
      </c>
      <c r="S167" s="8">
        <f>COUNT(Notenbogen!S67)</f>
        <v>0</v>
      </c>
    </row>
    <row r="168" spans="4:40" ht="12.75" customHeight="1" x14ac:dyDescent="0.2">
      <c r="D168" s="8">
        <f ca="1">COUNT(Notenbogen!D68)</f>
        <v>0</v>
      </c>
      <c r="E168" s="8">
        <f ca="1">COUNT(Notenbogen!E68)</f>
        <v>0</v>
      </c>
      <c r="F168" s="8">
        <f ca="1">COUNT(Notenbogen!F68)</f>
        <v>0</v>
      </c>
      <c r="G168" s="8">
        <f ca="1">COUNT(Notenbogen!G68)</f>
        <v>0</v>
      </c>
      <c r="P168" s="8">
        <f ca="1">COUNT(Notenbogen!P68)</f>
        <v>0</v>
      </c>
      <c r="Q168" s="8">
        <f ca="1">COUNT(Notenbogen!Q68)</f>
        <v>0</v>
      </c>
      <c r="R168" s="8">
        <f ca="1">COUNT(Notenbogen!R68)</f>
        <v>0</v>
      </c>
      <c r="S168" s="8">
        <f ca="1">COUNT(Notenbogen!S68)</f>
        <v>0</v>
      </c>
    </row>
    <row r="169" spans="4:40" ht="12.75" customHeight="1" x14ac:dyDescent="0.2">
      <c r="D169" s="8">
        <f ca="1">COUNT(Notenbogen!D69)</f>
        <v>0</v>
      </c>
      <c r="E169" s="8">
        <f ca="1">COUNT(Notenbogen!E69)</f>
        <v>0</v>
      </c>
      <c r="F169" s="8">
        <f ca="1">COUNT(Notenbogen!F69)</f>
        <v>0</v>
      </c>
      <c r="G169" s="8">
        <f>COUNT(Notenbogen!G69)</f>
        <v>0</v>
      </c>
      <c r="P169" s="8">
        <f ca="1">COUNT(Notenbogen!P69)</f>
        <v>0</v>
      </c>
      <c r="Q169" s="8">
        <f ca="1">COUNT(Notenbogen!Q69)</f>
        <v>0</v>
      </c>
      <c r="R169" s="8">
        <f ca="1">COUNT(Notenbogen!R69)</f>
        <v>0</v>
      </c>
      <c r="S169" s="8">
        <f>COUNT(Notenbogen!S69)</f>
        <v>0</v>
      </c>
    </row>
    <row r="170" spans="4:40" ht="12.75" customHeight="1" x14ac:dyDescent="0.2">
      <c r="D170" s="8">
        <f ca="1">COUNT(Notenbogen!D70)</f>
        <v>0</v>
      </c>
      <c r="E170" s="8">
        <f ca="1">COUNT(Notenbogen!E70)</f>
        <v>0</v>
      </c>
      <c r="F170" s="8">
        <f ca="1">COUNT(Notenbogen!F70)</f>
        <v>0</v>
      </c>
      <c r="G170" s="8">
        <f ca="1">COUNT(Notenbogen!G70)</f>
        <v>0</v>
      </c>
      <c r="P170" s="8">
        <f ca="1">COUNT(Notenbogen!P70)</f>
        <v>0</v>
      </c>
      <c r="Q170" s="8">
        <f ca="1">COUNT(Notenbogen!Q70)</f>
        <v>0</v>
      </c>
      <c r="R170" s="8">
        <f ca="1">COUNT(Notenbogen!R70)</f>
        <v>0</v>
      </c>
      <c r="S170" s="8">
        <f ca="1">COUNT(Notenbogen!S70)</f>
        <v>0</v>
      </c>
    </row>
    <row r="171" spans="4:40" ht="12.75" customHeight="1" x14ac:dyDescent="0.2">
      <c r="D171" s="8">
        <f ca="1">COUNT(Notenbogen!D71)</f>
        <v>0</v>
      </c>
      <c r="E171" s="8">
        <f ca="1">COUNT(Notenbogen!E71)</f>
        <v>0</v>
      </c>
      <c r="F171" s="8">
        <f ca="1">COUNT(Notenbogen!F71)</f>
        <v>0</v>
      </c>
      <c r="G171" s="8">
        <f>COUNT(Notenbogen!G71)</f>
        <v>0</v>
      </c>
      <c r="P171" s="8">
        <f ca="1">COUNT(Notenbogen!P71)</f>
        <v>0</v>
      </c>
      <c r="Q171" s="8">
        <f ca="1">COUNT(Notenbogen!Q71)</f>
        <v>0</v>
      </c>
      <c r="R171" s="8">
        <f ca="1">COUNT(Notenbogen!R71)</f>
        <v>0</v>
      </c>
      <c r="S171" s="8">
        <f>COUNT(Notenbogen!S71)</f>
        <v>0</v>
      </c>
    </row>
    <row r="172" spans="4:40" ht="12.75" customHeight="1" x14ac:dyDescent="0.2">
      <c r="D172" s="8">
        <f ca="1">COUNT(Notenbogen!D72)</f>
        <v>0</v>
      </c>
      <c r="E172" s="8">
        <f ca="1">COUNT(Notenbogen!E72)</f>
        <v>0</v>
      </c>
      <c r="F172" s="8">
        <f ca="1">COUNT(Notenbogen!F72)</f>
        <v>0</v>
      </c>
      <c r="G172" s="8">
        <f ca="1">COUNT(Notenbogen!G72)</f>
        <v>0</v>
      </c>
      <c r="P172" s="8">
        <f ca="1">COUNT(Notenbogen!P72)</f>
        <v>0</v>
      </c>
      <c r="Q172" s="8">
        <f ca="1">COUNT(Notenbogen!Q72)</f>
        <v>0</v>
      </c>
      <c r="R172" s="8">
        <f ca="1">COUNT(Notenbogen!R72)</f>
        <v>0</v>
      </c>
      <c r="S172" s="8">
        <f ca="1">COUNT(Notenbogen!S72)</f>
        <v>0</v>
      </c>
    </row>
    <row r="173" spans="4:40" ht="12.75" customHeight="1" x14ac:dyDescent="0.2">
      <c r="D173" s="8">
        <f ca="1">COUNT(Notenbogen!D73)</f>
        <v>0</v>
      </c>
      <c r="E173" s="8">
        <f ca="1">COUNT(Notenbogen!E73)</f>
        <v>0</v>
      </c>
      <c r="F173" s="8">
        <f ca="1">COUNT(Notenbogen!F73)</f>
        <v>0</v>
      </c>
      <c r="G173" s="8">
        <f>COUNT(Notenbogen!G73)</f>
        <v>0</v>
      </c>
      <c r="P173" s="8">
        <f ca="1">COUNT(Notenbogen!P73)</f>
        <v>0</v>
      </c>
      <c r="Q173" s="8">
        <f ca="1">COUNT(Notenbogen!Q73)</f>
        <v>0</v>
      </c>
      <c r="R173" s="8">
        <f ca="1">COUNT(Notenbogen!R73)</f>
        <v>0</v>
      </c>
      <c r="S173" s="8">
        <f>COUNT(Notenbogen!S73)</f>
        <v>0</v>
      </c>
    </row>
    <row r="174" spans="4:40" ht="12.75" customHeight="1" x14ac:dyDescent="0.2">
      <c r="D174" s="8">
        <f ca="1">COUNT(Notenbogen!D74)</f>
        <v>0</v>
      </c>
      <c r="E174" s="8">
        <f ca="1">COUNT(Notenbogen!E74)</f>
        <v>0</v>
      </c>
      <c r="F174" s="8">
        <f ca="1">COUNT(Notenbogen!F74)</f>
        <v>0</v>
      </c>
      <c r="G174" s="8">
        <f ca="1">COUNT(Notenbogen!G74)</f>
        <v>0</v>
      </c>
      <c r="P174" s="8">
        <f ca="1">COUNT(Notenbogen!P74)</f>
        <v>0</v>
      </c>
      <c r="Q174" s="8">
        <f ca="1">COUNT(Notenbogen!Q74)</f>
        <v>0</v>
      </c>
      <c r="R174" s="8">
        <f ca="1">COUNT(Notenbogen!R74)</f>
        <v>0</v>
      </c>
      <c r="S174" s="8">
        <f ca="1">COUNT(Notenbogen!S74)</f>
        <v>0</v>
      </c>
    </row>
    <row r="201" spans="20:40" ht="12.75" customHeight="1" thickBot="1" x14ac:dyDescent="0.25"/>
    <row r="202" spans="20:40" ht="12.75" customHeight="1" x14ac:dyDescent="0.2">
      <c r="T202" s="177" t="s">
        <v>70</v>
      </c>
      <c r="U202" s="47"/>
      <c r="V202" s="48"/>
      <c r="W202" s="455" t="s">
        <v>39</v>
      </c>
      <c r="X202" s="456"/>
      <c r="Y202" s="465" t="s">
        <v>32</v>
      </c>
      <c r="Z202" s="463" t="s">
        <v>40</v>
      </c>
      <c r="AA202" s="464"/>
      <c r="AB202" s="46"/>
      <c r="AC202" s="49" t="s">
        <v>17</v>
      </c>
      <c r="AD202" s="50" t="s">
        <v>32</v>
      </c>
      <c r="AE202" s="51"/>
      <c r="AF202" s="461" t="s">
        <v>41</v>
      </c>
      <c r="AG202" s="462"/>
      <c r="AH202" s="52"/>
      <c r="AI202" s="49" t="s">
        <v>17</v>
      </c>
      <c r="AJ202" s="50" t="s">
        <v>32</v>
      </c>
      <c r="AK202" s="53"/>
      <c r="AL202" s="452" t="s">
        <v>42</v>
      </c>
      <c r="AM202" s="453"/>
      <c r="AN202" s="54" t="s">
        <v>43</v>
      </c>
    </row>
    <row r="203" spans="20:40" ht="12.75" customHeight="1" x14ac:dyDescent="0.2">
      <c r="U203" s="55" t="s">
        <v>44</v>
      </c>
      <c r="V203" s="41" t="s">
        <v>43</v>
      </c>
      <c r="W203" s="457" t="s">
        <v>42</v>
      </c>
      <c r="X203" s="458"/>
      <c r="Y203" s="466"/>
      <c r="Z203" s="459" t="s">
        <v>45</v>
      </c>
      <c r="AA203" s="460"/>
      <c r="AB203" s="46"/>
      <c r="AC203" s="58"/>
      <c r="AD203" s="59"/>
      <c r="AE203" s="57"/>
      <c r="AF203" s="60" t="s">
        <v>46</v>
      </c>
      <c r="AG203" s="61" t="s">
        <v>47</v>
      </c>
      <c r="AH203" s="52"/>
      <c r="AI203" s="58"/>
      <c r="AJ203" s="59"/>
      <c r="AK203" s="57"/>
      <c r="AL203" s="57" t="s">
        <v>46</v>
      </c>
      <c r="AM203" s="62" t="s">
        <v>47</v>
      </c>
      <c r="AN203" s="63"/>
    </row>
    <row r="204" spans="20:40" ht="12.75" customHeight="1" x14ac:dyDescent="0.2">
      <c r="U204" s="64" t="s">
        <v>48</v>
      </c>
      <c r="V204" s="41" t="s">
        <v>39</v>
      </c>
      <c r="W204" s="56" t="s">
        <v>46</v>
      </c>
      <c r="X204" s="57" t="s">
        <v>47</v>
      </c>
      <c r="Y204" s="466"/>
      <c r="Z204" s="459" t="s">
        <v>49</v>
      </c>
      <c r="AA204" s="460"/>
      <c r="AB204" s="65"/>
      <c r="AC204" s="58"/>
      <c r="AD204" s="59"/>
      <c r="AE204" s="65"/>
      <c r="AF204" s="66"/>
      <c r="AG204" s="67"/>
      <c r="AH204" s="65"/>
      <c r="AI204" s="68"/>
      <c r="AJ204" s="69"/>
      <c r="AK204" s="70"/>
      <c r="AL204" s="71"/>
      <c r="AM204" s="72"/>
      <c r="AN204" s="73"/>
    </row>
    <row r="205" spans="20:40" ht="12.75" customHeight="1" x14ac:dyDescent="0.2">
      <c r="U205" s="74"/>
      <c r="V205" s="42"/>
      <c r="W205" s="75"/>
      <c r="X205" s="71"/>
      <c r="Y205" s="467"/>
      <c r="Z205" s="115"/>
      <c r="AA205" s="63"/>
      <c r="AB205" s="65"/>
      <c r="AC205" s="68"/>
      <c r="AD205" s="69"/>
      <c r="AE205" s="70"/>
      <c r="AF205" s="76"/>
      <c r="AG205" s="77"/>
      <c r="AH205" s="65"/>
      <c r="AI205" s="78" t="s">
        <v>50</v>
      </c>
      <c r="AJ205" s="59">
        <v>15</v>
      </c>
      <c r="AK205" s="65"/>
      <c r="AL205" s="60">
        <f>I3SA!$H$30</f>
        <v>40</v>
      </c>
      <c r="AM205" s="353">
        <f>AL206+0.5</f>
        <v>38.5</v>
      </c>
      <c r="AN205" s="63">
        <f t="shared" ref="AN205:AN219" si="18">IF(AM205&gt;AL205,"ALARM",AL205-AL206)</f>
        <v>2</v>
      </c>
    </row>
    <row r="206" spans="20:40" ht="12.75" customHeight="1" x14ac:dyDescent="0.2">
      <c r="U206" s="108">
        <f>+I3SA!A43</f>
        <v>0</v>
      </c>
      <c r="V206" s="110">
        <f>IF(I3SA!$H$32="M",AN205+U206,AN248+U206)</f>
        <v>2</v>
      </c>
      <c r="W206" s="380">
        <f>I3SA!$H$30</f>
        <v>40</v>
      </c>
      <c r="X206" s="353">
        <f>W207+0.5</f>
        <v>38.5</v>
      </c>
      <c r="Y206" s="56">
        <v>15</v>
      </c>
      <c r="Z206" s="117" t="str">
        <f>IF(ABS(IF(I3SA!$H$32="M",AL205-W206,AL248-W206))&gt;1,"ALARM"," ")</f>
        <v xml:space="preserve"> </v>
      </c>
      <c r="AA206" s="114" t="str">
        <f>IF(ABS(IF(I3SA!$H$32="M",AM205-X206,AM248-X206))&gt;1,"ALARM"," ")</f>
        <v xml:space="preserve"> </v>
      </c>
      <c r="AB206" s="65"/>
      <c r="AC206" s="78" t="s">
        <v>50</v>
      </c>
      <c r="AD206" s="59">
        <v>15</v>
      </c>
      <c r="AE206" s="65"/>
      <c r="AF206" s="60">
        <f>I3SA!$H$35+12*(100-I3SA!$H$35)/12</f>
        <v>100</v>
      </c>
      <c r="AG206" s="61">
        <f t="shared" ref="AG206:AG217" si="19">AF207+0.1</f>
        <v>95.1</v>
      </c>
      <c r="AH206" s="65"/>
      <c r="AI206" s="58">
        <v>1</v>
      </c>
      <c r="AJ206" s="59">
        <v>14</v>
      </c>
      <c r="AK206" s="65"/>
      <c r="AL206" s="60">
        <f>ROUNDDOWN(I3SA!$H$30*AF207/500,1)*5</f>
        <v>38</v>
      </c>
      <c r="AM206" s="353">
        <f t="shared" ref="AM206:AM218" si="20">AL207+0.5</f>
        <v>36.5</v>
      </c>
      <c r="AN206" s="63">
        <f t="shared" si="18"/>
        <v>2</v>
      </c>
    </row>
    <row r="207" spans="20:40" ht="12.75" customHeight="1" x14ac:dyDescent="0.2">
      <c r="U207" s="108">
        <f>+I3SA!A44</f>
        <v>0</v>
      </c>
      <c r="V207" s="111">
        <f>IF(I3SA!$H$32="M",AN206+U207,AN249+U207)</f>
        <v>2</v>
      </c>
      <c r="W207" s="380">
        <f t="shared" ref="W207:W221" si="21">W206-V206</f>
        <v>38</v>
      </c>
      <c r="X207" s="353">
        <f t="shared" ref="X207:X220" si="22">W208+0.5</f>
        <v>36.5</v>
      </c>
      <c r="Y207" s="56">
        <v>14</v>
      </c>
      <c r="Z207" s="115" t="str">
        <f>IF(ABS(IF(I3SA!$H$32="M",AL206-W207,AL249-W207))&gt;1,"ALARM"," ")</f>
        <v xml:space="preserve"> </v>
      </c>
      <c r="AA207" s="63" t="str">
        <f>IF(ABS(IF(I3SA!$H$32="M",AM206-X207,AM249-X207))&gt;1,"ALARM"," ")</f>
        <v xml:space="preserve"> </v>
      </c>
      <c r="AB207" s="65"/>
      <c r="AC207" s="58">
        <v>1</v>
      </c>
      <c r="AD207" s="59">
        <v>14</v>
      </c>
      <c r="AE207" s="65"/>
      <c r="AF207" s="60">
        <f>I3SA!$H$35+11*(100-I3SA!$H$35)/12</f>
        <v>95</v>
      </c>
      <c r="AG207" s="61">
        <f t="shared" si="19"/>
        <v>90.1</v>
      </c>
      <c r="AH207" s="65"/>
      <c r="AI207" s="81" t="s">
        <v>22</v>
      </c>
      <c r="AJ207" s="69">
        <v>13</v>
      </c>
      <c r="AK207" s="70"/>
      <c r="AL207" s="60">
        <f>ROUNDDOWN(I3SA!$H$30*AF208/500,1)*5</f>
        <v>36</v>
      </c>
      <c r="AM207" s="353">
        <f t="shared" si="20"/>
        <v>34.5</v>
      </c>
      <c r="AN207" s="73">
        <f t="shared" si="18"/>
        <v>2</v>
      </c>
    </row>
    <row r="208" spans="20:40" ht="12.75" customHeight="1" x14ac:dyDescent="0.2">
      <c r="U208" s="108">
        <f>+I3SA!A45</f>
        <v>0</v>
      </c>
      <c r="V208" s="111">
        <f>IF(I3SA!$H$32="M",AN207+U208,AN250+U208)</f>
        <v>2</v>
      </c>
      <c r="W208" s="381">
        <f t="shared" si="21"/>
        <v>36</v>
      </c>
      <c r="X208" s="353">
        <f t="shared" si="22"/>
        <v>34.5</v>
      </c>
      <c r="Y208" s="75">
        <v>13</v>
      </c>
      <c r="Z208" s="118" t="str">
        <f>IF(ABS(IF(I3SA!$H$32="M",AL207-W208,AL250-W208))&gt;1,"ALARM"," ")</f>
        <v xml:space="preserve"> </v>
      </c>
      <c r="AA208" s="73" t="str">
        <f>IF(ABS(IF(I3SA!$H$32="M",AM207-X208,AM250-X208))&gt;1,"ALARM"," ")</f>
        <v xml:space="preserve"> </v>
      </c>
      <c r="AB208" s="65"/>
      <c r="AC208" s="81" t="s">
        <v>22</v>
      </c>
      <c r="AD208" s="69">
        <v>13</v>
      </c>
      <c r="AE208" s="70"/>
      <c r="AF208" s="82">
        <f>I3SA!$H$35+10*(100-I3SA!$H$35)/12</f>
        <v>90</v>
      </c>
      <c r="AG208" s="83">
        <f t="shared" si="19"/>
        <v>85.1</v>
      </c>
      <c r="AH208" s="65"/>
      <c r="AI208" s="78" t="s">
        <v>50</v>
      </c>
      <c r="AJ208" s="59">
        <v>12</v>
      </c>
      <c r="AK208" s="65"/>
      <c r="AL208" s="60">
        <f>ROUNDDOWN(I3SA!$H$30*AF209/500,1)*5</f>
        <v>34</v>
      </c>
      <c r="AM208" s="353">
        <f t="shared" si="20"/>
        <v>32.5</v>
      </c>
      <c r="AN208" s="63">
        <f t="shared" si="18"/>
        <v>2</v>
      </c>
    </row>
    <row r="209" spans="21:40" ht="12.75" customHeight="1" x14ac:dyDescent="0.2">
      <c r="U209" s="108">
        <f>+I3SA!A46</f>
        <v>0</v>
      </c>
      <c r="V209" s="110">
        <f>IF(I3SA!$H$32="M",AN208+U209,AN251+U209)</f>
        <v>2</v>
      </c>
      <c r="W209" s="380">
        <f t="shared" si="21"/>
        <v>34</v>
      </c>
      <c r="X209" s="353">
        <f t="shared" si="22"/>
        <v>32.5</v>
      </c>
      <c r="Y209" s="56">
        <v>12</v>
      </c>
      <c r="Z209" s="115" t="str">
        <f>IF(ABS(IF(I3SA!$H$32="M",AL208-W209,AL251-W209))&gt;1,"ALARM"," ")</f>
        <v xml:space="preserve"> </v>
      </c>
      <c r="AA209" s="63" t="str">
        <f>IF(ABS(IF(I3SA!$H$32="M",AM208-X209,AM251-X209))&gt;1,"ALARM"," ")</f>
        <v xml:space="preserve"> </v>
      </c>
      <c r="AB209" s="65"/>
      <c r="AC209" s="78" t="s">
        <v>50</v>
      </c>
      <c r="AD209" s="59">
        <v>12</v>
      </c>
      <c r="AE209" s="65"/>
      <c r="AF209" s="60">
        <f>I3SA!$H$35+9*(100-I3SA!$H$35)/12</f>
        <v>85</v>
      </c>
      <c r="AG209" s="61">
        <f t="shared" si="19"/>
        <v>80.099999999999994</v>
      </c>
      <c r="AH209" s="65"/>
      <c r="AI209" s="58">
        <v>2</v>
      </c>
      <c r="AJ209" s="59">
        <v>11</v>
      </c>
      <c r="AK209" s="65"/>
      <c r="AL209" s="60">
        <f>ROUNDDOWN(I3SA!$H$30*AF210/500,1)*5</f>
        <v>32</v>
      </c>
      <c r="AM209" s="353">
        <f t="shared" si="20"/>
        <v>30.5</v>
      </c>
      <c r="AN209" s="63">
        <f t="shared" si="18"/>
        <v>2</v>
      </c>
    </row>
    <row r="210" spans="21:40" ht="12.75" customHeight="1" x14ac:dyDescent="0.2">
      <c r="U210" s="108">
        <f>+I3SA!A47</f>
        <v>0</v>
      </c>
      <c r="V210" s="111">
        <f>IF(I3SA!$H$32="M",AN209+U210,AN252+U210)</f>
        <v>2</v>
      </c>
      <c r="W210" s="380">
        <f t="shared" si="21"/>
        <v>32</v>
      </c>
      <c r="X210" s="353">
        <f t="shared" si="22"/>
        <v>30.5</v>
      </c>
      <c r="Y210" s="56">
        <v>11</v>
      </c>
      <c r="Z210" s="115" t="str">
        <f>IF(ABS(IF(I3SA!$H$32="M",AL209-W210,AL252-W210))&gt;1,"ALARM"," ")</f>
        <v xml:space="preserve"> </v>
      </c>
      <c r="AA210" s="63" t="str">
        <f>IF(ABS(IF(I3SA!$H$32="M",AM209-X210,AM252-X210))&gt;1,"ALARM"," ")</f>
        <v xml:space="preserve"> </v>
      </c>
      <c r="AB210" s="65"/>
      <c r="AC210" s="58">
        <v>2</v>
      </c>
      <c r="AD210" s="59">
        <v>11</v>
      </c>
      <c r="AE210" s="65"/>
      <c r="AF210" s="60">
        <f>I3SA!$H$35+8*(100-I3SA!$H$35)/12</f>
        <v>80</v>
      </c>
      <c r="AG210" s="61">
        <f t="shared" si="19"/>
        <v>75.099999999999994</v>
      </c>
      <c r="AH210" s="65"/>
      <c r="AI210" s="81" t="s">
        <v>22</v>
      </c>
      <c r="AJ210" s="69">
        <v>10</v>
      </c>
      <c r="AK210" s="70"/>
      <c r="AL210" s="60">
        <f>ROUNDDOWN(I3SA!$H$30*AF211/500,1)*5</f>
        <v>30</v>
      </c>
      <c r="AM210" s="353">
        <f t="shared" si="20"/>
        <v>28.5</v>
      </c>
      <c r="AN210" s="73">
        <f t="shared" si="18"/>
        <v>2</v>
      </c>
    </row>
    <row r="211" spans="21:40" ht="12.75" customHeight="1" x14ac:dyDescent="0.2">
      <c r="U211" s="108">
        <f>+I3SA!A48</f>
        <v>0</v>
      </c>
      <c r="V211" s="113">
        <f>IF(I3SA!$H$32="M",AN210+U211,AN253+U211)</f>
        <v>2</v>
      </c>
      <c r="W211" s="381">
        <f t="shared" si="21"/>
        <v>30</v>
      </c>
      <c r="X211" s="353">
        <f t="shared" si="22"/>
        <v>28.5</v>
      </c>
      <c r="Y211" s="75">
        <v>10</v>
      </c>
      <c r="Z211" s="115" t="str">
        <f>IF(ABS(IF(I3SA!$H$32="M",AL210-W211,AL253-W211))&gt;1,"ALARM"," ")</f>
        <v xml:space="preserve"> </v>
      </c>
      <c r="AA211" s="63" t="str">
        <f>IF(ABS(IF(I3SA!$H$32="M",AM210-X211,AM253-X211))&gt;1,"ALARM"," ")</f>
        <v xml:space="preserve"> </v>
      </c>
      <c r="AB211" s="65"/>
      <c r="AC211" s="81" t="s">
        <v>22</v>
      </c>
      <c r="AD211" s="69">
        <v>10</v>
      </c>
      <c r="AE211" s="70"/>
      <c r="AF211" s="82">
        <f>I3SA!$H$35+7*(100-I3SA!$H$35)/12</f>
        <v>75</v>
      </c>
      <c r="AG211" s="83">
        <f t="shared" si="19"/>
        <v>70.099999999999994</v>
      </c>
      <c r="AH211" s="65"/>
      <c r="AI211" s="78" t="s">
        <v>50</v>
      </c>
      <c r="AJ211" s="59">
        <v>9</v>
      </c>
      <c r="AK211" s="65"/>
      <c r="AL211" s="60">
        <f>ROUNDDOWN(I3SA!$H$30*AF212/500,1)*5</f>
        <v>28</v>
      </c>
      <c r="AM211" s="353">
        <f t="shared" si="20"/>
        <v>26.5</v>
      </c>
      <c r="AN211" s="63">
        <f t="shared" si="18"/>
        <v>2</v>
      </c>
    </row>
    <row r="212" spans="21:40" ht="12.75" customHeight="1" x14ac:dyDescent="0.2">
      <c r="U212" s="108">
        <f>+I3SA!A49</f>
        <v>0</v>
      </c>
      <c r="V212" s="111">
        <f>IF(I3SA!$H$32="M",AN211+U212,AN254+U212)</f>
        <v>2</v>
      </c>
      <c r="W212" s="380">
        <f t="shared" si="21"/>
        <v>28</v>
      </c>
      <c r="X212" s="353">
        <f t="shared" si="22"/>
        <v>26.5</v>
      </c>
      <c r="Y212" s="56">
        <v>9</v>
      </c>
      <c r="Z212" s="117" t="str">
        <f>IF(ABS(IF(I3SA!$H$32="M",AL211-W212,AL254-W212))&gt;1,"ALARM"," ")</f>
        <v xml:space="preserve"> </v>
      </c>
      <c r="AA212" s="114" t="str">
        <f>IF(ABS(IF(I3SA!$H$32="M",AM211-X212,AM254-X212))&gt;1,"ALARM"," ")</f>
        <v xml:space="preserve"> </v>
      </c>
      <c r="AB212" s="65"/>
      <c r="AC212" s="78" t="s">
        <v>50</v>
      </c>
      <c r="AD212" s="59">
        <v>9</v>
      </c>
      <c r="AE212" s="65"/>
      <c r="AF212" s="60">
        <f>I3SA!$H$35+6*(100-I3SA!$H$35)/12</f>
        <v>70</v>
      </c>
      <c r="AG212" s="61">
        <f t="shared" si="19"/>
        <v>65.099999999999994</v>
      </c>
      <c r="AH212" s="65"/>
      <c r="AI212" s="58">
        <v>3</v>
      </c>
      <c r="AJ212" s="59">
        <v>8</v>
      </c>
      <c r="AK212" s="65"/>
      <c r="AL212" s="60">
        <f>ROUNDDOWN(I3SA!$H$30*AF213/500,1)*5</f>
        <v>26</v>
      </c>
      <c r="AM212" s="353">
        <f t="shared" si="20"/>
        <v>24.5</v>
      </c>
      <c r="AN212" s="63">
        <f t="shared" si="18"/>
        <v>2</v>
      </c>
    </row>
    <row r="213" spans="21:40" ht="12.75" customHeight="1" x14ac:dyDescent="0.2">
      <c r="U213" s="108">
        <f>+I3SA!A50</f>
        <v>0</v>
      </c>
      <c r="V213" s="111">
        <f>IF(I3SA!$H$32="M",AN212+U213,AN255+U213)</f>
        <v>2</v>
      </c>
      <c r="W213" s="380">
        <f t="shared" si="21"/>
        <v>26</v>
      </c>
      <c r="X213" s="353">
        <f t="shared" si="22"/>
        <v>24.5</v>
      </c>
      <c r="Y213" s="56">
        <v>8</v>
      </c>
      <c r="Z213" s="115" t="str">
        <f>IF(ABS(IF(I3SA!$H$32="M",AL212-W213,AL255-W213))&gt;1,"ALARM"," ")</f>
        <v xml:space="preserve"> </v>
      </c>
      <c r="AA213" s="63" t="str">
        <f>IF(ABS(IF(I3SA!$H$32="M",AM212-X213,AM255-X213))&gt;1,"ALARM"," ")</f>
        <v xml:space="preserve"> </v>
      </c>
      <c r="AB213" s="65"/>
      <c r="AC213" s="58">
        <v>3</v>
      </c>
      <c r="AD213" s="59">
        <v>8</v>
      </c>
      <c r="AE213" s="65"/>
      <c r="AF213" s="60">
        <f>I3SA!$H$35+5*(100-I3SA!$H$35)/12</f>
        <v>65</v>
      </c>
      <c r="AG213" s="61">
        <f t="shared" si="19"/>
        <v>60.1</v>
      </c>
      <c r="AH213" s="65"/>
      <c r="AI213" s="81" t="s">
        <v>22</v>
      </c>
      <c r="AJ213" s="69">
        <v>7</v>
      </c>
      <c r="AK213" s="70"/>
      <c r="AL213" s="60">
        <f>ROUNDDOWN(I3SA!$H$30*AF214/500,1)*5</f>
        <v>24</v>
      </c>
      <c r="AM213" s="353">
        <f t="shared" si="20"/>
        <v>22.5</v>
      </c>
      <c r="AN213" s="73">
        <f t="shared" si="18"/>
        <v>2</v>
      </c>
    </row>
    <row r="214" spans="21:40" ht="12.75" customHeight="1" x14ac:dyDescent="0.2">
      <c r="U214" s="108">
        <f>+I3SA!A51</f>
        <v>0</v>
      </c>
      <c r="V214" s="111">
        <f>IF(I3SA!$H$32="M",AN213+U214,AN256+U214)</f>
        <v>2</v>
      </c>
      <c r="W214" s="381">
        <f t="shared" si="21"/>
        <v>24</v>
      </c>
      <c r="X214" s="353">
        <f t="shared" si="22"/>
        <v>22.5</v>
      </c>
      <c r="Y214" s="75">
        <v>7</v>
      </c>
      <c r="Z214" s="118" t="str">
        <f>IF(ABS(IF(I3SA!$H$32="M",AL213-W214,AL256-W214))&gt;1,"ALARM"," ")</f>
        <v xml:space="preserve"> </v>
      </c>
      <c r="AA214" s="73" t="str">
        <f>IF(ABS(IF(I3SA!$H$32="M",AM213-X214,AM256-X214))&gt;1,"ALARM"," ")</f>
        <v xml:space="preserve"> </v>
      </c>
      <c r="AB214" s="65"/>
      <c r="AC214" s="81" t="s">
        <v>22</v>
      </c>
      <c r="AD214" s="69">
        <v>7</v>
      </c>
      <c r="AE214" s="70"/>
      <c r="AF214" s="82">
        <f>I3SA!$H$35+4*(100-I3SA!$H$35)/12</f>
        <v>60</v>
      </c>
      <c r="AG214" s="83">
        <f t="shared" si="19"/>
        <v>55.1</v>
      </c>
      <c r="AH214" s="65"/>
      <c r="AI214" s="78" t="s">
        <v>50</v>
      </c>
      <c r="AJ214" s="59">
        <v>6</v>
      </c>
      <c r="AK214" s="65"/>
      <c r="AL214" s="60">
        <f>ROUNDDOWN(I3SA!$H$30*AF215/500,1)*5</f>
        <v>22</v>
      </c>
      <c r="AM214" s="353">
        <f t="shared" si="20"/>
        <v>20.5</v>
      </c>
      <c r="AN214" s="63">
        <f t="shared" si="18"/>
        <v>2</v>
      </c>
    </row>
    <row r="215" spans="21:40" ht="12.75" customHeight="1" x14ac:dyDescent="0.2">
      <c r="U215" s="108">
        <f>+I3SA!A52</f>
        <v>0</v>
      </c>
      <c r="V215" s="110">
        <f>IF(I3SA!$H$32="M",AN214+U215,AN257+U215)</f>
        <v>2</v>
      </c>
      <c r="W215" s="380">
        <f t="shared" si="21"/>
        <v>22</v>
      </c>
      <c r="X215" s="353">
        <f t="shared" si="22"/>
        <v>20.5</v>
      </c>
      <c r="Y215" s="56">
        <v>6</v>
      </c>
      <c r="Z215" s="115" t="str">
        <f>IF(ABS(IF(I3SA!$H$32="M",AL214-W215,AL257-W215))&gt;1,"ALARM"," ")</f>
        <v xml:space="preserve"> </v>
      </c>
      <c r="AA215" s="63" t="str">
        <f>IF(ABS(IF(I3SA!$H$32="M",AM214-X215,AM257-X215))&gt;1,"ALARM"," ")</f>
        <v xml:space="preserve"> </v>
      </c>
      <c r="AB215" s="65"/>
      <c r="AC215" s="78" t="s">
        <v>50</v>
      </c>
      <c r="AD215" s="59">
        <v>6</v>
      </c>
      <c r="AE215" s="65"/>
      <c r="AF215" s="60">
        <f>I3SA!$H$35+3*(100-I3SA!$H$35)/12</f>
        <v>55</v>
      </c>
      <c r="AG215" s="61">
        <f t="shared" si="19"/>
        <v>50.1</v>
      </c>
      <c r="AH215" s="65"/>
      <c r="AI215" s="58">
        <v>4</v>
      </c>
      <c r="AJ215" s="59">
        <v>5</v>
      </c>
      <c r="AK215" s="65"/>
      <c r="AL215" s="60">
        <f>ROUNDDOWN(I3SA!$H$30*AF216/500,1)*5</f>
        <v>20</v>
      </c>
      <c r="AM215" s="353">
        <f t="shared" si="20"/>
        <v>18.5</v>
      </c>
      <c r="AN215" s="63">
        <f t="shared" si="18"/>
        <v>2</v>
      </c>
    </row>
    <row r="216" spans="21:40" ht="12.75" customHeight="1" x14ac:dyDescent="0.2">
      <c r="U216" s="108">
        <f>+I3SA!A53</f>
        <v>0</v>
      </c>
      <c r="V216" s="111">
        <f>IF(I3SA!$H$32="M",AN215+U216,AN258+U216)</f>
        <v>2</v>
      </c>
      <c r="W216" s="380">
        <f t="shared" si="21"/>
        <v>20</v>
      </c>
      <c r="X216" s="353">
        <f t="shared" si="22"/>
        <v>18.5</v>
      </c>
      <c r="Y216" s="56">
        <v>5</v>
      </c>
      <c r="Z216" s="115" t="str">
        <f>IF(ABS(IF(I3SA!$H$32="M",AL215-W216,AL258-W216))&gt;1,"ALARM"," ")</f>
        <v xml:space="preserve"> </v>
      </c>
      <c r="AA216" s="63" t="str">
        <f>IF(ABS(IF(I3SA!$H$32="M",AM215-X216,AM258-X216))&gt;1,"ALARM"," ")</f>
        <v xml:space="preserve"> </v>
      </c>
      <c r="AB216" s="65"/>
      <c r="AC216" s="58">
        <v>4</v>
      </c>
      <c r="AD216" s="59">
        <v>5</v>
      </c>
      <c r="AE216" s="65"/>
      <c r="AF216" s="60">
        <f>I3SA!$H$35+2*(100-I3SA!$H$35)/12</f>
        <v>50</v>
      </c>
      <c r="AG216" s="61">
        <f t="shared" si="19"/>
        <v>45.1</v>
      </c>
      <c r="AH216" s="65"/>
      <c r="AI216" s="81" t="s">
        <v>22</v>
      </c>
      <c r="AJ216" s="69">
        <v>4</v>
      </c>
      <c r="AK216" s="70"/>
      <c r="AL216" s="60">
        <f>ROUNDDOWN(I3SA!$H$30*AF217/500,1)*5</f>
        <v>18</v>
      </c>
      <c r="AM216" s="353">
        <f t="shared" si="20"/>
        <v>16.5</v>
      </c>
      <c r="AN216" s="73">
        <f t="shared" si="18"/>
        <v>2</v>
      </c>
    </row>
    <row r="217" spans="21:40" ht="12.75" customHeight="1" x14ac:dyDescent="0.2">
      <c r="U217" s="108">
        <f>+I3SA!A54</f>
        <v>0</v>
      </c>
      <c r="V217" s="113">
        <f>IF(I3SA!$H$32="M",AN216+U217,AN259+U217)</f>
        <v>2</v>
      </c>
      <c r="W217" s="381">
        <f t="shared" si="21"/>
        <v>18</v>
      </c>
      <c r="X217" s="353">
        <f t="shared" si="22"/>
        <v>16.5</v>
      </c>
      <c r="Y217" s="75">
        <v>4</v>
      </c>
      <c r="Z217" s="115" t="str">
        <f>IF(ABS(IF(I3SA!$H$32="M",AL216-W217,AL259-W217))&gt;1,"ALARM"," ")</f>
        <v xml:space="preserve"> </v>
      </c>
      <c r="AA217" s="63" t="str">
        <f>IF(ABS(IF(I3SA!$H$32="M",AM216-X217,AM259-X217))&gt;1,"ALARM"," ")</f>
        <v xml:space="preserve"> </v>
      </c>
      <c r="AB217" s="65"/>
      <c r="AC217" s="81" t="s">
        <v>22</v>
      </c>
      <c r="AD217" s="69">
        <v>4</v>
      </c>
      <c r="AE217" s="70"/>
      <c r="AF217" s="82">
        <f>I3SA!$H$35+1*(100-I3SA!$H$35)/12</f>
        <v>45</v>
      </c>
      <c r="AG217" s="83">
        <f t="shared" si="19"/>
        <v>40.1</v>
      </c>
      <c r="AH217" s="65"/>
      <c r="AI217" s="78" t="s">
        <v>50</v>
      </c>
      <c r="AJ217" s="59">
        <v>3</v>
      </c>
      <c r="AK217" s="65"/>
      <c r="AL217" s="60">
        <f>ROUNDDOWN(I3SA!$H$30*AF218/500,1)*5</f>
        <v>16</v>
      </c>
      <c r="AM217" s="353">
        <f t="shared" si="20"/>
        <v>13.5</v>
      </c>
      <c r="AN217" s="63">
        <f t="shared" si="18"/>
        <v>3</v>
      </c>
    </row>
    <row r="218" spans="21:40" ht="12.75" customHeight="1" x14ac:dyDescent="0.2">
      <c r="U218" s="108">
        <f>+I3SA!A55</f>
        <v>0</v>
      </c>
      <c r="V218" s="110">
        <f>IF(I3SA!$H$32="M",AN217+U218,AN260+U218)</f>
        <v>3</v>
      </c>
      <c r="W218" s="380">
        <f t="shared" si="21"/>
        <v>16</v>
      </c>
      <c r="X218" s="353">
        <f t="shared" si="22"/>
        <v>13.5</v>
      </c>
      <c r="Y218" s="56">
        <v>3</v>
      </c>
      <c r="Z218" s="117" t="str">
        <f>IF(ABS(IF(I3SA!$H$32="M",AL217-W218,AL260-W218))&gt;1,"ALARM"," ")</f>
        <v xml:space="preserve"> </v>
      </c>
      <c r="AA218" s="114" t="str">
        <f>IF(ABS(IF(I3SA!$H$32="M",AM217-X218,AM260-X218))&gt;1,"ALARM"," ")</f>
        <v xml:space="preserve"> </v>
      </c>
      <c r="AB218" s="65"/>
      <c r="AC218" s="78" t="s">
        <v>50</v>
      </c>
      <c r="AD218" s="59">
        <v>3</v>
      </c>
      <c r="AE218" s="65"/>
      <c r="AF218" s="60">
        <f>I3SA!$H$35</f>
        <v>40</v>
      </c>
      <c r="AG218" s="61">
        <f>AF219+0.01</f>
        <v>33.343333333333334</v>
      </c>
      <c r="AH218" s="65"/>
      <c r="AI218" s="58">
        <v>5</v>
      </c>
      <c r="AJ218" s="59">
        <v>2</v>
      </c>
      <c r="AK218" s="65"/>
      <c r="AL218" s="60">
        <f>ROUNDDOWN(I3SA!$H$30*AF219/500,1)*5</f>
        <v>13</v>
      </c>
      <c r="AM218" s="353">
        <f t="shared" si="20"/>
        <v>11</v>
      </c>
      <c r="AN218" s="63">
        <f t="shared" si="18"/>
        <v>2.5</v>
      </c>
    </row>
    <row r="219" spans="21:40" ht="12.75" customHeight="1" x14ac:dyDescent="0.2">
      <c r="U219" s="108">
        <f>+I3SA!A56</f>
        <v>0</v>
      </c>
      <c r="V219" s="111">
        <f>IF(I3SA!$H$32="M",AN218+U219,AN261+U219)</f>
        <v>2.5</v>
      </c>
      <c r="W219" s="380">
        <f t="shared" si="21"/>
        <v>13</v>
      </c>
      <c r="X219" s="353">
        <f t="shared" si="22"/>
        <v>11</v>
      </c>
      <c r="Y219" s="56">
        <v>2</v>
      </c>
      <c r="Z219" s="115" t="str">
        <f>IF(ABS(IF(I3SA!$H$32="M",AL218-W219,AL261-W219))&gt;1,"ALARM"," ")</f>
        <v xml:space="preserve"> </v>
      </c>
      <c r="AA219" s="63" t="str">
        <f>IF(ABS(IF(I3SA!$H$32="M",AM218-X219,AM261-X219))&gt;1,"ALARM"," ")</f>
        <v xml:space="preserve"> </v>
      </c>
      <c r="AB219" s="65"/>
      <c r="AC219" s="58">
        <v>5</v>
      </c>
      <c r="AD219" s="59">
        <v>2</v>
      </c>
      <c r="AE219" s="65"/>
      <c r="AF219" s="60">
        <f>AG220+2*(AF218-AG220)/3</f>
        <v>33.333333333333336</v>
      </c>
      <c r="AG219" s="61">
        <f>AF220+0.01</f>
        <v>26.676666666666669</v>
      </c>
      <c r="AH219" s="65"/>
      <c r="AI219" s="81" t="s">
        <v>22</v>
      </c>
      <c r="AJ219" s="69">
        <v>1</v>
      </c>
      <c r="AK219" s="70"/>
      <c r="AL219" s="82">
        <f>ROUNDDOWN(I3SA!$H$30*AF220/500,1)*5</f>
        <v>10.5</v>
      </c>
      <c r="AM219" s="361">
        <f>ROUNDUP(I3SA!$H$30*(I3SA!$H$34/500),1)*5</f>
        <v>8</v>
      </c>
      <c r="AN219" s="73">
        <f t="shared" si="18"/>
        <v>3</v>
      </c>
    </row>
    <row r="220" spans="21:40" ht="12.75" customHeight="1" thickBot="1" x14ac:dyDescent="0.25">
      <c r="U220" s="108">
        <f>+I3SA!A57</f>
        <v>0</v>
      </c>
      <c r="V220" s="113">
        <f>IF(I3SA!$H$32="M",AN219+U220,AN262+U220)</f>
        <v>3</v>
      </c>
      <c r="W220" s="381">
        <f t="shared" si="21"/>
        <v>10.5</v>
      </c>
      <c r="X220" s="353">
        <f t="shared" si="22"/>
        <v>8</v>
      </c>
      <c r="Y220" s="75">
        <v>1</v>
      </c>
      <c r="Z220" s="118" t="str">
        <f>IF(ABS(IF(I3SA!$H$32="M",AL219-W220,AL262-W220))&gt;1,"ALARM"," ")</f>
        <v xml:space="preserve"> </v>
      </c>
      <c r="AA220" s="73" t="str">
        <f>IF(ABS(IF(I3SA!$H$32="M",AM219-X220,AM262-X220))&gt;1,"ALARM"," ")</f>
        <v xml:space="preserve"> </v>
      </c>
      <c r="AB220" s="65"/>
      <c r="AC220" s="81" t="s">
        <v>22</v>
      </c>
      <c r="AD220" s="69">
        <v>1</v>
      </c>
      <c r="AE220" s="70"/>
      <c r="AF220" s="82">
        <f>AG220+(AF218-AG220)/3</f>
        <v>26.666666666666668</v>
      </c>
      <c r="AG220" s="83">
        <f>I3SA!$H$34</f>
        <v>20</v>
      </c>
      <c r="AH220" s="65"/>
      <c r="AI220" s="89">
        <v>6</v>
      </c>
      <c r="AJ220" s="90">
        <v>0</v>
      </c>
      <c r="AK220" s="91"/>
      <c r="AL220" s="96">
        <f>AM219-0.5</f>
        <v>7.5</v>
      </c>
      <c r="AM220" s="362">
        <v>0</v>
      </c>
      <c r="AN220" s="94">
        <f>IF(AM220&gt;AM219,"ALARM",AL220)</f>
        <v>7.5</v>
      </c>
    </row>
    <row r="221" spans="21:40" ht="12.75" customHeight="1" thickBot="1" x14ac:dyDescent="0.25">
      <c r="U221" s="43" t="s">
        <v>51</v>
      </c>
      <c r="V221" s="112">
        <f>IF(I3SA!$H$32="M",+W221,W263)</f>
        <v>7.5</v>
      </c>
      <c r="W221" s="384">
        <f t="shared" si="21"/>
        <v>7.5</v>
      </c>
      <c r="X221" s="362">
        <v>0</v>
      </c>
      <c r="Y221" s="95">
        <v>0</v>
      </c>
      <c r="Z221" s="116" t="str">
        <f>IF(ABS(IF(I3SA!$H$32="M",AL220-W221,AL263-W221))&gt;1,"ALARM"," ")</f>
        <v xml:space="preserve"> </v>
      </c>
      <c r="AA221" s="94" t="str">
        <f>IF(ABS(IF(I3SA!$H$32="M",AM220-X221,AM263-X221))&gt;1,"ALARM"," ")</f>
        <v xml:space="preserve"> </v>
      </c>
      <c r="AB221" s="65"/>
      <c r="AC221" s="89">
        <v>6</v>
      </c>
      <c r="AD221" s="90">
        <v>0</v>
      </c>
      <c r="AE221" s="91"/>
      <c r="AF221" s="96">
        <f>I3SA!$H$34-0.1</f>
        <v>19.899999999999999</v>
      </c>
      <c r="AG221" s="97">
        <v>0</v>
      </c>
      <c r="AH221" s="65"/>
      <c r="AI221" s="65"/>
      <c r="AJ221" s="65"/>
      <c r="AK221" s="65"/>
      <c r="AL221" s="65"/>
      <c r="AM221" s="65"/>
      <c r="AN221" s="65"/>
    </row>
    <row r="222" spans="21:40" ht="12.75" customHeight="1" x14ac:dyDescent="0.2"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21:40" ht="12.75" customHeight="1" x14ac:dyDescent="0.2"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21:40" ht="12.75" customHeight="1" x14ac:dyDescent="0.2">
      <c r="U224" s="46"/>
      <c r="V224" s="359">
        <f t="shared" ref="V224:V239" si="23">+X224</f>
        <v>0</v>
      </c>
      <c r="W224" s="359">
        <f>+W221</f>
        <v>7.5</v>
      </c>
      <c r="X224" s="359">
        <f>+X221</f>
        <v>0</v>
      </c>
      <c r="Y224" s="46">
        <f>+Y221</f>
        <v>0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21:40" ht="12.75" customHeight="1" x14ac:dyDescent="0.2">
      <c r="U225" s="46"/>
      <c r="V225" s="359">
        <f t="shared" si="23"/>
        <v>8</v>
      </c>
      <c r="W225" s="359">
        <f>+W220</f>
        <v>10.5</v>
      </c>
      <c r="X225" s="359">
        <f>+X220</f>
        <v>8</v>
      </c>
      <c r="Y225" s="46">
        <f>+Y220</f>
        <v>1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21:40" ht="12.75" customHeight="1" x14ac:dyDescent="0.2">
      <c r="U226" s="46"/>
      <c r="V226" s="359">
        <f t="shared" si="23"/>
        <v>11</v>
      </c>
      <c r="W226" s="359">
        <f>+W219</f>
        <v>13</v>
      </c>
      <c r="X226" s="359">
        <f>+X219</f>
        <v>11</v>
      </c>
      <c r="Y226" s="46">
        <f>+Y219</f>
        <v>2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21:40" ht="12.75" customHeight="1" x14ac:dyDescent="0.2">
      <c r="U227" s="46"/>
      <c r="V227" s="359">
        <f t="shared" si="23"/>
        <v>13.5</v>
      </c>
      <c r="W227" s="359">
        <f>+W218</f>
        <v>16</v>
      </c>
      <c r="X227" s="359">
        <f>+X218</f>
        <v>13.5</v>
      </c>
      <c r="Y227" s="46">
        <f>+Y218</f>
        <v>3</v>
      </c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21:40" ht="12.75" customHeight="1" x14ac:dyDescent="0.2">
      <c r="U228" s="46"/>
      <c r="V228" s="359">
        <f t="shared" si="23"/>
        <v>16.5</v>
      </c>
      <c r="W228" s="359">
        <f>+W217</f>
        <v>18</v>
      </c>
      <c r="X228" s="359">
        <f>+X217</f>
        <v>16.5</v>
      </c>
      <c r="Y228" s="46">
        <f>+Y217</f>
        <v>4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21:40" ht="12.75" customHeight="1" x14ac:dyDescent="0.2">
      <c r="U229" s="46"/>
      <c r="V229" s="359">
        <f t="shared" si="23"/>
        <v>18.5</v>
      </c>
      <c r="W229" s="359">
        <f>+W216</f>
        <v>20</v>
      </c>
      <c r="X229" s="359">
        <f>+X216</f>
        <v>18.5</v>
      </c>
      <c r="Y229" s="46">
        <f>+Y216</f>
        <v>5</v>
      </c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21:40" ht="12.75" customHeight="1" x14ac:dyDescent="0.2">
      <c r="U230" s="46"/>
      <c r="V230" s="359">
        <f t="shared" si="23"/>
        <v>20.5</v>
      </c>
      <c r="W230" s="359">
        <f>+W215</f>
        <v>22</v>
      </c>
      <c r="X230" s="359">
        <f>+X215</f>
        <v>20.5</v>
      </c>
      <c r="Y230" s="46">
        <f>+Y215</f>
        <v>6</v>
      </c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21:40" ht="12.75" customHeight="1" x14ac:dyDescent="0.2">
      <c r="U231" s="46"/>
      <c r="V231" s="359">
        <f t="shared" si="23"/>
        <v>22.5</v>
      </c>
      <c r="W231" s="359">
        <f>+W214</f>
        <v>24</v>
      </c>
      <c r="X231" s="359">
        <f>+X214</f>
        <v>22.5</v>
      </c>
      <c r="Y231" s="46">
        <f>+Y214</f>
        <v>7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21:40" ht="12.75" customHeight="1" x14ac:dyDescent="0.2">
      <c r="U232" s="46"/>
      <c r="V232" s="359">
        <f t="shared" si="23"/>
        <v>24.5</v>
      </c>
      <c r="W232" s="359">
        <f>+W213</f>
        <v>26</v>
      </c>
      <c r="X232" s="359">
        <f>+X213</f>
        <v>24.5</v>
      </c>
      <c r="Y232" s="46">
        <f>+Y213</f>
        <v>8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21:40" ht="12.75" customHeight="1" x14ac:dyDescent="0.2">
      <c r="U233" s="46"/>
      <c r="V233" s="359">
        <f t="shared" si="23"/>
        <v>26.5</v>
      </c>
      <c r="W233" s="359">
        <f>+W212</f>
        <v>28</v>
      </c>
      <c r="X233" s="359">
        <f>+X212</f>
        <v>26.5</v>
      </c>
      <c r="Y233" s="46">
        <f>+Y212</f>
        <v>9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21:40" ht="12.75" customHeight="1" x14ac:dyDescent="0.2">
      <c r="U234" s="46"/>
      <c r="V234" s="359">
        <f t="shared" si="23"/>
        <v>28.5</v>
      </c>
      <c r="W234" s="359">
        <f>+W211</f>
        <v>30</v>
      </c>
      <c r="X234" s="359">
        <f>+X211</f>
        <v>28.5</v>
      </c>
      <c r="Y234" s="46">
        <f>+Y211</f>
        <v>10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21:40" ht="12.75" customHeight="1" x14ac:dyDescent="0.2">
      <c r="U235" s="46"/>
      <c r="V235" s="359">
        <f t="shared" si="23"/>
        <v>30.5</v>
      </c>
      <c r="W235" s="359">
        <f>+W210</f>
        <v>32</v>
      </c>
      <c r="X235" s="359">
        <f>+X210</f>
        <v>30.5</v>
      </c>
      <c r="Y235" s="46">
        <f>+Y210</f>
        <v>11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21:40" ht="12.75" customHeight="1" x14ac:dyDescent="0.2">
      <c r="U236" s="46"/>
      <c r="V236" s="359">
        <f t="shared" si="23"/>
        <v>32.5</v>
      </c>
      <c r="W236" s="359">
        <f>+W209</f>
        <v>34</v>
      </c>
      <c r="X236" s="359">
        <f>+X209</f>
        <v>32.5</v>
      </c>
      <c r="Y236" s="46">
        <f>+Y209</f>
        <v>12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21:40" ht="12.75" customHeight="1" x14ac:dyDescent="0.2">
      <c r="U237" s="46"/>
      <c r="V237" s="359">
        <f t="shared" si="23"/>
        <v>34.5</v>
      </c>
      <c r="W237" s="359">
        <f>+W208</f>
        <v>36</v>
      </c>
      <c r="X237" s="359">
        <f>+X208</f>
        <v>34.5</v>
      </c>
      <c r="Y237" s="46">
        <f>+Y208</f>
        <v>13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21:40" ht="12.75" customHeight="1" x14ac:dyDescent="0.2">
      <c r="U238" s="46"/>
      <c r="V238" s="359">
        <f t="shared" si="23"/>
        <v>36.5</v>
      </c>
      <c r="W238" s="359">
        <f>+W207</f>
        <v>38</v>
      </c>
      <c r="X238" s="359">
        <f>+X207</f>
        <v>36.5</v>
      </c>
      <c r="Y238" s="46">
        <f>+Y207</f>
        <v>14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21:40" ht="12.75" customHeight="1" x14ac:dyDescent="0.2">
      <c r="U239" s="46"/>
      <c r="V239" s="359">
        <f t="shared" si="23"/>
        <v>38.5</v>
      </c>
      <c r="W239" s="359">
        <f>+W206</f>
        <v>40</v>
      </c>
      <c r="X239" s="359">
        <f>+X206</f>
        <v>38.5</v>
      </c>
      <c r="Y239" s="98">
        <f>+Y206</f>
        <v>15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21:40" ht="12.75" customHeight="1" x14ac:dyDescent="0.2"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21:40" ht="12.75" customHeight="1" x14ac:dyDescent="0.2"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21:40" ht="12.75" customHeight="1" x14ac:dyDescent="0.2"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21:40" ht="12.75" customHeight="1" x14ac:dyDescent="0.2"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52"/>
      <c r="AI243" s="57"/>
      <c r="AJ243" s="60"/>
      <c r="AK243" s="60"/>
      <c r="AL243" s="52"/>
      <c r="AM243" s="88"/>
      <c r="AN243" s="57"/>
    </row>
    <row r="244" spans="21:40" ht="12.75" customHeight="1" thickBot="1" x14ac:dyDescent="0.25">
      <c r="U244" s="360"/>
      <c r="V244" s="375"/>
      <c r="W244" s="454"/>
      <c r="X244" s="454"/>
      <c r="Y244" s="65"/>
      <c r="Z244" s="454"/>
      <c r="AA244" s="454"/>
      <c r="AB244" s="46"/>
      <c r="AC244" s="65"/>
      <c r="AD244" s="57"/>
      <c r="AE244" s="57"/>
      <c r="AF244" s="60"/>
      <c r="AG244" s="60"/>
      <c r="AH244" s="52"/>
      <c r="AI244" s="65"/>
      <c r="AJ244" s="57"/>
      <c r="AK244" s="65"/>
      <c r="AL244" s="57"/>
      <c r="AM244" s="57"/>
      <c r="AN244" s="57"/>
    </row>
    <row r="245" spans="21:40" ht="12.75" customHeight="1" x14ac:dyDescent="0.2">
      <c r="U245" s="376"/>
      <c r="V245" s="375"/>
      <c r="W245" s="458"/>
      <c r="X245" s="458"/>
      <c r="Y245" s="65"/>
      <c r="Z245" s="454"/>
      <c r="AA245" s="454"/>
      <c r="AB245" s="46"/>
      <c r="AC245" s="49" t="s">
        <v>17</v>
      </c>
      <c r="AD245" s="50" t="s">
        <v>32</v>
      </c>
      <c r="AE245" s="51"/>
      <c r="AF245" s="461" t="s">
        <v>41</v>
      </c>
      <c r="AG245" s="462"/>
      <c r="AH245" s="52"/>
      <c r="AI245" s="49" t="s">
        <v>17</v>
      </c>
      <c r="AJ245" s="50" t="s">
        <v>32</v>
      </c>
      <c r="AK245" s="53"/>
      <c r="AL245" s="452" t="s">
        <v>42</v>
      </c>
      <c r="AM245" s="453"/>
      <c r="AN245" s="54" t="s">
        <v>43</v>
      </c>
    </row>
    <row r="246" spans="21:40" ht="12.75" customHeight="1" x14ac:dyDescent="0.2">
      <c r="U246" s="377"/>
      <c r="V246" s="375"/>
      <c r="W246" s="360"/>
      <c r="X246" s="360"/>
      <c r="Y246" s="65"/>
      <c r="Z246" s="454"/>
      <c r="AA246" s="454"/>
      <c r="AB246" s="46"/>
      <c r="AC246" s="58"/>
      <c r="AD246" s="59"/>
      <c r="AE246" s="57"/>
      <c r="AF246" s="60" t="s">
        <v>46</v>
      </c>
      <c r="AG246" s="61" t="s">
        <v>47</v>
      </c>
      <c r="AH246" s="52"/>
      <c r="AI246" s="58"/>
      <c r="AJ246" s="59"/>
      <c r="AK246" s="57"/>
      <c r="AL246" s="57" t="s">
        <v>46</v>
      </c>
      <c r="AM246" s="62" t="s">
        <v>47</v>
      </c>
      <c r="AN246" s="63"/>
    </row>
    <row r="247" spans="21:40" ht="12.75" customHeight="1" x14ac:dyDescent="0.2">
      <c r="U247" s="65"/>
      <c r="V247" s="375"/>
      <c r="W247" s="360"/>
      <c r="X247" s="360"/>
      <c r="Y247" s="65"/>
      <c r="Z247" s="360"/>
      <c r="AA247" s="360"/>
      <c r="AB247" s="46"/>
      <c r="AC247" s="68"/>
      <c r="AD247" s="69"/>
      <c r="AE247" s="70"/>
      <c r="AF247" s="76"/>
      <c r="AG247" s="77"/>
      <c r="AH247" s="65"/>
      <c r="AI247" s="68"/>
      <c r="AJ247" s="69"/>
      <c r="AK247" s="70"/>
      <c r="AL247" s="71"/>
      <c r="AM247" s="72"/>
      <c r="AN247" s="73"/>
    </row>
    <row r="248" spans="21:40" ht="12.75" customHeight="1" x14ac:dyDescent="0.2">
      <c r="U248" s="376"/>
      <c r="V248" s="375"/>
      <c r="W248" s="79"/>
      <c r="X248" s="360"/>
      <c r="Y248" s="65"/>
      <c r="Z248" s="360"/>
      <c r="AA248" s="360"/>
      <c r="AB248" s="46"/>
      <c r="AC248" s="78" t="s">
        <v>50</v>
      </c>
      <c r="AD248" s="59">
        <v>15</v>
      </c>
      <c r="AE248" s="65"/>
      <c r="AF248" s="60">
        <f>I3SA!$H$35+30*(100-I3SA!$H$35)/30</f>
        <v>100</v>
      </c>
      <c r="AG248" s="61">
        <f t="shared" ref="AG248:AG259" si="24">AF249+0.1</f>
        <v>94.1</v>
      </c>
      <c r="AH248" s="65"/>
      <c r="AI248" s="78" t="s">
        <v>50</v>
      </c>
      <c r="AJ248" s="59">
        <v>15</v>
      </c>
      <c r="AK248" s="65"/>
      <c r="AL248" s="60">
        <f>I3SA!$H$30</f>
        <v>40</v>
      </c>
      <c r="AM248" s="353">
        <f>AL249+0.5</f>
        <v>38</v>
      </c>
      <c r="AN248" s="63">
        <f t="shared" ref="AN248:AN262" si="25">IF(AM248&gt;AL248,"ALARM",AL248-AL249)</f>
        <v>2.5</v>
      </c>
    </row>
    <row r="249" spans="21:40" ht="12.75" customHeight="1" x14ac:dyDescent="0.2">
      <c r="U249" s="376"/>
      <c r="V249" s="375"/>
      <c r="W249" s="360"/>
      <c r="X249" s="360"/>
      <c r="Y249" s="65"/>
      <c r="Z249" s="360"/>
      <c r="AA249" s="360"/>
      <c r="AB249" s="46"/>
      <c r="AC249" s="58">
        <v>1</v>
      </c>
      <c r="AD249" s="59">
        <v>14</v>
      </c>
      <c r="AE249" s="65"/>
      <c r="AF249" s="60">
        <f>I3SA!$H$35+27*(100-I3SA!$H$35)/30</f>
        <v>94</v>
      </c>
      <c r="AG249" s="61">
        <f t="shared" si="24"/>
        <v>88.1</v>
      </c>
      <c r="AH249" s="65"/>
      <c r="AI249" s="58">
        <v>1</v>
      </c>
      <c r="AJ249" s="59">
        <v>14</v>
      </c>
      <c r="AK249" s="65"/>
      <c r="AL249" s="60">
        <f>ROUNDDOWN(I3SA!$H$30*AF249/500,1)*5</f>
        <v>37.5</v>
      </c>
      <c r="AM249" s="353">
        <f t="shared" ref="AM249:AM261" si="26">AL250+0.5</f>
        <v>35.5</v>
      </c>
      <c r="AN249" s="63">
        <f t="shared" si="25"/>
        <v>2.5</v>
      </c>
    </row>
    <row r="250" spans="21:40" ht="12.75" customHeight="1" x14ac:dyDescent="0.2">
      <c r="U250" s="376"/>
      <c r="V250" s="375"/>
      <c r="W250" s="360"/>
      <c r="X250" s="360"/>
      <c r="Y250" s="65"/>
      <c r="Z250" s="360"/>
      <c r="AA250" s="360"/>
      <c r="AB250" s="46"/>
      <c r="AC250" s="81" t="s">
        <v>22</v>
      </c>
      <c r="AD250" s="69">
        <v>13</v>
      </c>
      <c r="AE250" s="70"/>
      <c r="AF250" s="82">
        <f>I3SA!$H$35+24*(100-I3SA!$H$35)/30</f>
        <v>88</v>
      </c>
      <c r="AG250" s="83">
        <f t="shared" si="24"/>
        <v>82.1</v>
      </c>
      <c r="AH250" s="65"/>
      <c r="AI250" s="81" t="s">
        <v>22</v>
      </c>
      <c r="AJ250" s="69">
        <v>13</v>
      </c>
      <c r="AK250" s="70"/>
      <c r="AL250" s="60">
        <f>ROUNDDOWN(I3SA!$H$30*AF250/500,1)*5</f>
        <v>35</v>
      </c>
      <c r="AM250" s="353">
        <f t="shared" si="26"/>
        <v>33</v>
      </c>
      <c r="AN250" s="73">
        <f t="shared" si="25"/>
        <v>2.5</v>
      </c>
    </row>
    <row r="251" spans="21:40" ht="12.75" customHeight="1" x14ac:dyDescent="0.2">
      <c r="U251" s="376"/>
      <c r="V251" s="375"/>
      <c r="W251" s="360"/>
      <c r="X251" s="360"/>
      <c r="Y251" s="65"/>
      <c r="Z251" s="360"/>
      <c r="AA251" s="360"/>
      <c r="AB251" s="46"/>
      <c r="AC251" s="78" t="s">
        <v>50</v>
      </c>
      <c r="AD251" s="59">
        <v>12</v>
      </c>
      <c r="AE251" s="65"/>
      <c r="AF251" s="60">
        <f>I3SA!$H$35+21*(100-I3SA!$H$35)/30</f>
        <v>82</v>
      </c>
      <c r="AG251" s="61">
        <f t="shared" si="24"/>
        <v>76.099999999999994</v>
      </c>
      <c r="AH251" s="65"/>
      <c r="AI251" s="78" t="s">
        <v>50</v>
      </c>
      <c r="AJ251" s="59">
        <v>12</v>
      </c>
      <c r="AK251" s="65"/>
      <c r="AL251" s="60">
        <f>ROUNDDOWN(I3SA!$H$30*AF251/500,1)*5</f>
        <v>32.5</v>
      </c>
      <c r="AM251" s="353">
        <f t="shared" si="26"/>
        <v>30.5</v>
      </c>
      <c r="AN251" s="63">
        <f t="shared" si="25"/>
        <v>2.5</v>
      </c>
    </row>
    <row r="252" spans="21:40" ht="12.75" customHeight="1" x14ac:dyDescent="0.2">
      <c r="U252" s="376"/>
      <c r="V252" s="375"/>
      <c r="W252" s="360"/>
      <c r="X252" s="360"/>
      <c r="Y252" s="65"/>
      <c r="Z252" s="360"/>
      <c r="AA252" s="360"/>
      <c r="AB252" s="46"/>
      <c r="AC252" s="58">
        <v>2</v>
      </c>
      <c r="AD252" s="59">
        <v>11</v>
      </c>
      <c r="AE252" s="65"/>
      <c r="AF252" s="60">
        <f>I3SA!$H$35+18*(100-I3SA!$H$35)/30</f>
        <v>76</v>
      </c>
      <c r="AG252" s="61">
        <f t="shared" si="24"/>
        <v>70.099999999999994</v>
      </c>
      <c r="AH252" s="65"/>
      <c r="AI252" s="58">
        <v>2</v>
      </c>
      <c r="AJ252" s="59">
        <v>11</v>
      </c>
      <c r="AK252" s="65"/>
      <c r="AL252" s="60">
        <f>ROUNDDOWN(I3SA!$H$30*AF252/500,1)*5</f>
        <v>30</v>
      </c>
      <c r="AM252" s="353">
        <f t="shared" si="26"/>
        <v>28.5</v>
      </c>
      <c r="AN252" s="63">
        <f t="shared" si="25"/>
        <v>2</v>
      </c>
    </row>
    <row r="253" spans="21:40" ht="12.75" customHeight="1" x14ac:dyDescent="0.2">
      <c r="U253" s="376"/>
      <c r="V253" s="375"/>
      <c r="W253" s="360"/>
      <c r="X253" s="360"/>
      <c r="Y253" s="65"/>
      <c r="Z253" s="360"/>
      <c r="AA253" s="360"/>
      <c r="AB253" s="46"/>
      <c r="AC253" s="81" t="s">
        <v>22</v>
      </c>
      <c r="AD253" s="69">
        <v>10</v>
      </c>
      <c r="AE253" s="70"/>
      <c r="AF253" s="82">
        <f>I3SA!$H$35+15*(100-I3SA!$H$35)/30</f>
        <v>70</v>
      </c>
      <c r="AG253" s="83">
        <f t="shared" si="24"/>
        <v>64.099999999999994</v>
      </c>
      <c r="AH253" s="65"/>
      <c r="AI253" s="81" t="s">
        <v>22</v>
      </c>
      <c r="AJ253" s="69">
        <v>10</v>
      </c>
      <c r="AK253" s="70"/>
      <c r="AL253" s="60">
        <f>ROUNDDOWN(I3SA!$H$30*AF253/500,1)*5</f>
        <v>28</v>
      </c>
      <c r="AM253" s="353">
        <f t="shared" si="26"/>
        <v>26</v>
      </c>
      <c r="AN253" s="73">
        <f t="shared" si="25"/>
        <v>2.5</v>
      </c>
    </row>
    <row r="254" spans="21:40" ht="12.75" customHeight="1" x14ac:dyDescent="0.2">
      <c r="U254" s="376"/>
      <c r="V254" s="375"/>
      <c r="W254" s="360"/>
      <c r="X254" s="360"/>
      <c r="Y254" s="65"/>
      <c r="Z254" s="360"/>
      <c r="AA254" s="360"/>
      <c r="AB254" s="46"/>
      <c r="AC254" s="78" t="s">
        <v>50</v>
      </c>
      <c r="AD254" s="59">
        <v>9</v>
      </c>
      <c r="AE254" s="65"/>
      <c r="AF254" s="60">
        <f>I3SA!$H$35+12*(100-I3SA!$H$35)/30</f>
        <v>64</v>
      </c>
      <c r="AG254" s="61">
        <f t="shared" si="24"/>
        <v>60.1</v>
      </c>
      <c r="AH254" s="65"/>
      <c r="AI254" s="78" t="s">
        <v>50</v>
      </c>
      <c r="AJ254" s="59">
        <v>9</v>
      </c>
      <c r="AK254" s="65"/>
      <c r="AL254" s="60">
        <f>ROUNDDOWN(I3SA!$H$30*AF254/500,1)*5</f>
        <v>25.5</v>
      </c>
      <c r="AM254" s="353">
        <f t="shared" si="26"/>
        <v>24.5</v>
      </c>
      <c r="AN254" s="63">
        <f t="shared" si="25"/>
        <v>1.5</v>
      </c>
    </row>
    <row r="255" spans="21:40" ht="12.75" customHeight="1" x14ac:dyDescent="0.2">
      <c r="U255" s="376"/>
      <c r="V255" s="375"/>
      <c r="W255" s="360"/>
      <c r="X255" s="360"/>
      <c r="Y255" s="65"/>
      <c r="Z255" s="360"/>
      <c r="AA255" s="360"/>
      <c r="AB255" s="46"/>
      <c r="AC255" s="58">
        <v>3</v>
      </c>
      <c r="AD255" s="59">
        <v>8</v>
      </c>
      <c r="AE255" s="65"/>
      <c r="AF255" s="60">
        <f>I3SA!$H$35+10*(100-I3SA!$H$35)/30</f>
        <v>60</v>
      </c>
      <c r="AG255" s="61">
        <f t="shared" si="24"/>
        <v>56.1</v>
      </c>
      <c r="AH255" s="65"/>
      <c r="AI255" s="58">
        <v>3</v>
      </c>
      <c r="AJ255" s="59">
        <v>8</v>
      </c>
      <c r="AK255" s="65"/>
      <c r="AL255" s="60">
        <f>ROUNDDOWN(I3SA!$H$30*AF255/500,1)*5</f>
        <v>24</v>
      </c>
      <c r="AM255" s="353">
        <f t="shared" si="26"/>
        <v>22.5</v>
      </c>
      <c r="AN255" s="63">
        <f t="shared" si="25"/>
        <v>2</v>
      </c>
    </row>
    <row r="256" spans="21:40" ht="12.75" customHeight="1" x14ac:dyDescent="0.2">
      <c r="U256" s="376"/>
      <c r="V256" s="375"/>
      <c r="W256" s="360"/>
      <c r="X256" s="360"/>
      <c r="Y256" s="65"/>
      <c r="Z256" s="360"/>
      <c r="AA256" s="360"/>
      <c r="AB256" s="46"/>
      <c r="AC256" s="81" t="s">
        <v>22</v>
      </c>
      <c r="AD256" s="69">
        <v>7</v>
      </c>
      <c r="AE256" s="70"/>
      <c r="AF256" s="82">
        <f>I3SA!$H$35+8*(100-I3SA!$H$35)/30</f>
        <v>56</v>
      </c>
      <c r="AG256" s="83">
        <f t="shared" si="24"/>
        <v>52.1</v>
      </c>
      <c r="AH256" s="65"/>
      <c r="AI256" s="81" t="s">
        <v>22</v>
      </c>
      <c r="AJ256" s="69">
        <v>7</v>
      </c>
      <c r="AK256" s="70"/>
      <c r="AL256" s="60">
        <f>ROUNDDOWN(I3SA!$H$30*AF256/500,1)*5</f>
        <v>22</v>
      </c>
      <c r="AM256" s="353">
        <f t="shared" si="26"/>
        <v>21</v>
      </c>
      <c r="AN256" s="73">
        <f t="shared" si="25"/>
        <v>1.5</v>
      </c>
    </row>
    <row r="257" spans="21:40" ht="12.75" customHeight="1" x14ac:dyDescent="0.2">
      <c r="U257" s="376"/>
      <c r="V257" s="375"/>
      <c r="W257" s="360"/>
      <c r="X257" s="360"/>
      <c r="Y257" s="65"/>
      <c r="Z257" s="360"/>
      <c r="AA257" s="360"/>
      <c r="AB257" s="46"/>
      <c r="AC257" s="78" t="s">
        <v>50</v>
      </c>
      <c r="AD257" s="59">
        <v>6</v>
      </c>
      <c r="AE257" s="65"/>
      <c r="AF257" s="60">
        <f>I3SA!$H$35+6*(100-I3SA!$H$35)/30</f>
        <v>52</v>
      </c>
      <c r="AG257" s="61">
        <f t="shared" si="24"/>
        <v>48.1</v>
      </c>
      <c r="AH257" s="65"/>
      <c r="AI257" s="78" t="s">
        <v>50</v>
      </c>
      <c r="AJ257" s="59">
        <v>6</v>
      </c>
      <c r="AK257" s="65"/>
      <c r="AL257" s="60">
        <f>ROUNDDOWN(I3SA!$H$30*AF257/500,1)*5</f>
        <v>20.5</v>
      </c>
      <c r="AM257" s="353">
        <f t="shared" si="26"/>
        <v>19.5</v>
      </c>
      <c r="AN257" s="63">
        <f t="shared" si="25"/>
        <v>1.5</v>
      </c>
    </row>
    <row r="258" spans="21:40" ht="12.75" customHeight="1" x14ac:dyDescent="0.2">
      <c r="U258" s="376"/>
      <c r="V258" s="375"/>
      <c r="W258" s="360"/>
      <c r="X258" s="360"/>
      <c r="Y258" s="65"/>
      <c r="Z258" s="360"/>
      <c r="AA258" s="360"/>
      <c r="AB258" s="46"/>
      <c r="AC258" s="58">
        <v>4</v>
      </c>
      <c r="AD258" s="59">
        <v>5</v>
      </c>
      <c r="AE258" s="65"/>
      <c r="AF258" s="60">
        <f>I3SA!$H$35+4*(100-I3SA!$H$35)/30</f>
        <v>48</v>
      </c>
      <c r="AG258" s="61">
        <f t="shared" si="24"/>
        <v>44.1</v>
      </c>
      <c r="AH258" s="65"/>
      <c r="AI258" s="58">
        <v>4</v>
      </c>
      <c r="AJ258" s="59">
        <v>5</v>
      </c>
      <c r="AK258" s="65"/>
      <c r="AL258" s="60">
        <f>ROUNDDOWN(I3SA!$H$30*AF258/500,1)*5</f>
        <v>19</v>
      </c>
      <c r="AM258" s="353">
        <f t="shared" si="26"/>
        <v>18</v>
      </c>
      <c r="AN258" s="63">
        <f t="shared" si="25"/>
        <v>1.5</v>
      </c>
    </row>
    <row r="259" spans="21:40" ht="12.75" customHeight="1" x14ac:dyDescent="0.2">
      <c r="U259" s="376"/>
      <c r="V259" s="375"/>
      <c r="W259" s="360"/>
      <c r="X259" s="360"/>
      <c r="Y259" s="65"/>
      <c r="Z259" s="360"/>
      <c r="AA259" s="360"/>
      <c r="AB259" s="46"/>
      <c r="AC259" s="81" t="s">
        <v>22</v>
      </c>
      <c r="AD259" s="69">
        <v>4</v>
      </c>
      <c r="AE259" s="70"/>
      <c r="AF259" s="82">
        <f>I3SA!$H$35+2*(100-I3SA!$H$35)/30</f>
        <v>44</v>
      </c>
      <c r="AG259" s="83">
        <f t="shared" si="24"/>
        <v>40.1</v>
      </c>
      <c r="AH259" s="65"/>
      <c r="AI259" s="81" t="s">
        <v>22</v>
      </c>
      <c r="AJ259" s="69">
        <v>4</v>
      </c>
      <c r="AK259" s="70"/>
      <c r="AL259" s="60">
        <f>ROUNDDOWN(I3SA!$H$30*AF259/500,1)*5</f>
        <v>17.5</v>
      </c>
      <c r="AM259" s="353">
        <f t="shared" si="26"/>
        <v>16.5</v>
      </c>
      <c r="AN259" s="73">
        <f t="shared" si="25"/>
        <v>1.5</v>
      </c>
    </row>
    <row r="260" spans="21:40" ht="12.75" customHeight="1" x14ac:dyDescent="0.2">
      <c r="U260" s="376"/>
      <c r="V260" s="375"/>
      <c r="W260" s="360"/>
      <c r="X260" s="360"/>
      <c r="Y260" s="65"/>
      <c r="Z260" s="360"/>
      <c r="AA260" s="360"/>
      <c r="AB260" s="46"/>
      <c r="AC260" s="78" t="s">
        <v>50</v>
      </c>
      <c r="AD260" s="59">
        <v>3</v>
      </c>
      <c r="AE260" s="65"/>
      <c r="AF260" s="60">
        <f>I3SA!$H$35</f>
        <v>40</v>
      </c>
      <c r="AG260" s="61">
        <f>AF261+0.01</f>
        <v>33.343333333333334</v>
      </c>
      <c r="AH260" s="65"/>
      <c r="AI260" s="78" t="s">
        <v>50</v>
      </c>
      <c r="AJ260" s="59">
        <v>3</v>
      </c>
      <c r="AK260" s="65"/>
      <c r="AL260" s="60">
        <f>ROUNDDOWN(I3SA!$H$30*AF260/500,1)*5</f>
        <v>16</v>
      </c>
      <c r="AM260" s="353">
        <f t="shared" si="26"/>
        <v>13.5</v>
      </c>
      <c r="AN260" s="63">
        <f t="shared" si="25"/>
        <v>3</v>
      </c>
    </row>
    <row r="261" spans="21:40" ht="12.75" customHeight="1" x14ac:dyDescent="0.2">
      <c r="U261" s="376"/>
      <c r="V261" s="375"/>
      <c r="W261" s="360"/>
      <c r="X261" s="360"/>
      <c r="Y261" s="65"/>
      <c r="Z261" s="360"/>
      <c r="AA261" s="360"/>
      <c r="AB261" s="46"/>
      <c r="AC261" s="58">
        <v>5</v>
      </c>
      <c r="AD261" s="59">
        <v>2</v>
      </c>
      <c r="AE261" s="65"/>
      <c r="AF261" s="60">
        <f>AG262+2*(AF260-AG262)/3</f>
        <v>33.333333333333336</v>
      </c>
      <c r="AG261" s="61">
        <f>AF262+0.01</f>
        <v>26.676666666666669</v>
      </c>
      <c r="AH261" s="65"/>
      <c r="AI261" s="58">
        <v>5</v>
      </c>
      <c r="AJ261" s="59">
        <v>2</v>
      </c>
      <c r="AK261" s="65"/>
      <c r="AL261" s="60">
        <f>ROUNDDOWN(I3SA!$H$30*AF261/500,1)*5</f>
        <v>13</v>
      </c>
      <c r="AM261" s="353">
        <f t="shared" si="26"/>
        <v>11</v>
      </c>
      <c r="AN261" s="63">
        <f t="shared" si="25"/>
        <v>2.5</v>
      </c>
    </row>
    <row r="262" spans="21:40" ht="12.75" customHeight="1" x14ac:dyDescent="0.2">
      <c r="U262" s="376"/>
      <c r="V262" s="375"/>
      <c r="W262" s="360"/>
      <c r="X262" s="375"/>
      <c r="Y262" s="65"/>
      <c r="Z262" s="360"/>
      <c r="AA262" s="360"/>
      <c r="AB262" s="46"/>
      <c r="AC262" s="81" t="s">
        <v>22</v>
      </c>
      <c r="AD262" s="69">
        <v>1</v>
      </c>
      <c r="AE262" s="70"/>
      <c r="AF262" s="82">
        <f>AG262+(AF260-AG262)/3</f>
        <v>26.666666666666668</v>
      </c>
      <c r="AG262" s="83">
        <f>I3SA!$H$34</f>
        <v>20</v>
      </c>
      <c r="AH262" s="65"/>
      <c r="AI262" s="81" t="s">
        <v>22</v>
      </c>
      <c r="AJ262" s="69">
        <v>1</v>
      </c>
      <c r="AK262" s="70"/>
      <c r="AL262" s="82">
        <f>ROUNDDOWN(I3SA!$H$30*AF262/500,1)*5</f>
        <v>10.5</v>
      </c>
      <c r="AM262" s="361">
        <f>ROUNDUP(I3SA!$H$30*(I3SA!$H$34/500),1)*5</f>
        <v>8</v>
      </c>
      <c r="AN262" s="73">
        <f t="shared" si="25"/>
        <v>3</v>
      </c>
    </row>
    <row r="263" spans="21:40" ht="12.75" customHeight="1" thickBot="1" x14ac:dyDescent="0.25">
      <c r="U263" s="375"/>
      <c r="V263" s="375"/>
      <c r="W263" s="360"/>
      <c r="X263" s="360"/>
      <c r="Y263" s="65"/>
      <c r="Z263" s="360"/>
      <c r="AA263" s="360"/>
      <c r="AB263" s="46"/>
      <c r="AC263" s="89">
        <v>6</v>
      </c>
      <c r="AD263" s="90">
        <v>0</v>
      </c>
      <c r="AE263" s="91"/>
      <c r="AF263" s="96">
        <f>I3SA!$H$34-0.1</f>
        <v>19.899999999999999</v>
      </c>
      <c r="AG263" s="97">
        <v>0</v>
      </c>
      <c r="AH263" s="65"/>
      <c r="AI263" s="89">
        <v>6</v>
      </c>
      <c r="AJ263" s="90">
        <v>0</v>
      </c>
      <c r="AK263" s="91"/>
      <c r="AL263" s="96">
        <f>AM262-0.5</f>
        <v>7.5</v>
      </c>
      <c r="AM263" s="362">
        <v>0</v>
      </c>
      <c r="AN263" s="94">
        <f>IF(AM263&gt;AM262,"ALARM",AL263)</f>
        <v>7.5</v>
      </c>
    </row>
    <row r="264" spans="21:40" ht="12.75" customHeight="1" x14ac:dyDescent="0.2"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301" spans="20:40" ht="12.75" customHeight="1" thickBot="1" x14ac:dyDescent="0.25"/>
    <row r="302" spans="20:40" ht="12.75" customHeight="1" x14ac:dyDescent="0.2">
      <c r="T302" s="177" t="s">
        <v>71</v>
      </c>
      <c r="U302" s="47"/>
      <c r="V302" s="48"/>
      <c r="W302" s="455" t="s">
        <v>39</v>
      </c>
      <c r="X302" s="456"/>
      <c r="Y302" s="465" t="s">
        <v>32</v>
      </c>
      <c r="Z302" s="463" t="s">
        <v>40</v>
      </c>
      <c r="AA302" s="464"/>
      <c r="AB302" s="46"/>
      <c r="AC302" s="49" t="s">
        <v>17</v>
      </c>
      <c r="AD302" s="50" t="s">
        <v>32</v>
      </c>
      <c r="AE302" s="51"/>
      <c r="AF302" s="461" t="s">
        <v>41</v>
      </c>
      <c r="AG302" s="462"/>
      <c r="AH302" s="52"/>
      <c r="AI302" s="49" t="s">
        <v>17</v>
      </c>
      <c r="AJ302" s="50" t="s">
        <v>32</v>
      </c>
      <c r="AK302" s="53"/>
      <c r="AL302" s="452" t="s">
        <v>42</v>
      </c>
      <c r="AM302" s="453"/>
      <c r="AN302" s="54" t="s">
        <v>43</v>
      </c>
    </row>
    <row r="303" spans="20:40" ht="12.75" customHeight="1" x14ac:dyDescent="0.2">
      <c r="U303" s="55" t="s">
        <v>44</v>
      </c>
      <c r="V303" s="41" t="s">
        <v>43</v>
      </c>
      <c r="W303" s="457" t="s">
        <v>42</v>
      </c>
      <c r="X303" s="458"/>
      <c r="Y303" s="466"/>
      <c r="Z303" s="459" t="s">
        <v>45</v>
      </c>
      <c r="AA303" s="460"/>
      <c r="AB303" s="46"/>
      <c r="AC303" s="58"/>
      <c r="AD303" s="59"/>
      <c r="AE303" s="57"/>
      <c r="AF303" s="60" t="s">
        <v>46</v>
      </c>
      <c r="AG303" s="61" t="s">
        <v>47</v>
      </c>
      <c r="AH303" s="52"/>
      <c r="AI303" s="58"/>
      <c r="AJ303" s="59"/>
      <c r="AK303" s="57"/>
      <c r="AL303" s="57" t="s">
        <v>46</v>
      </c>
      <c r="AM303" s="62" t="s">
        <v>47</v>
      </c>
      <c r="AN303" s="63"/>
    </row>
    <row r="304" spans="20:40" ht="12.75" customHeight="1" x14ac:dyDescent="0.2">
      <c r="U304" s="64" t="s">
        <v>48</v>
      </c>
      <c r="V304" s="41" t="s">
        <v>39</v>
      </c>
      <c r="W304" s="56" t="s">
        <v>46</v>
      </c>
      <c r="X304" s="57" t="s">
        <v>47</v>
      </c>
      <c r="Y304" s="466"/>
      <c r="Z304" s="459" t="s">
        <v>49</v>
      </c>
      <c r="AA304" s="460"/>
      <c r="AB304" s="65"/>
      <c r="AC304" s="58"/>
      <c r="AD304" s="59"/>
      <c r="AE304" s="65"/>
      <c r="AF304" s="66"/>
      <c r="AG304" s="67"/>
      <c r="AH304" s="65"/>
      <c r="AI304" s="68"/>
      <c r="AJ304" s="69"/>
      <c r="AK304" s="70"/>
      <c r="AL304" s="71"/>
      <c r="AM304" s="72"/>
      <c r="AN304" s="73"/>
    </row>
    <row r="305" spans="21:40" ht="12.75" customHeight="1" x14ac:dyDescent="0.2">
      <c r="U305" s="74"/>
      <c r="V305" s="42"/>
      <c r="W305" s="75"/>
      <c r="X305" s="71"/>
      <c r="Y305" s="467"/>
      <c r="Z305" s="115"/>
      <c r="AA305" s="63"/>
      <c r="AB305" s="65"/>
      <c r="AC305" s="68"/>
      <c r="AD305" s="69"/>
      <c r="AE305" s="70"/>
      <c r="AF305" s="76"/>
      <c r="AG305" s="77"/>
      <c r="AH305" s="65"/>
      <c r="AI305" s="78" t="s">
        <v>50</v>
      </c>
      <c r="AJ305" s="59">
        <v>15</v>
      </c>
      <c r="AK305" s="65"/>
      <c r="AL305" s="60">
        <f>I1Ext!$H$30</f>
        <v>40</v>
      </c>
      <c r="AM305" s="353">
        <f>AL306+0.5</f>
        <v>38.5</v>
      </c>
      <c r="AN305" s="63">
        <f t="shared" ref="AN305:AN319" si="27">IF(AM305&gt;AL305,"ALARM",AL305-AL306)</f>
        <v>2</v>
      </c>
    </row>
    <row r="306" spans="21:40" ht="12.75" customHeight="1" x14ac:dyDescent="0.2">
      <c r="U306" s="108">
        <f>+I1Ext!A43</f>
        <v>0</v>
      </c>
      <c r="V306" s="110">
        <f>IF(I1Ext!$H$32="M",AN305+U306,AN348+U306)</f>
        <v>2</v>
      </c>
      <c r="W306" s="380">
        <f>I1Ext!$H$30</f>
        <v>40</v>
      </c>
      <c r="X306" s="353">
        <f>W307+0.5</f>
        <v>38.5</v>
      </c>
      <c r="Y306" s="56">
        <v>15</v>
      </c>
      <c r="Z306" s="117" t="str">
        <f>IF(ABS(IF(I1Ext!$H$32="M",AL305-W306,AL348-W306))&gt;1,"ALARM"," ")</f>
        <v xml:space="preserve"> </v>
      </c>
      <c r="AA306" s="114" t="str">
        <f>IF(ABS(IF(I1Ext!$H$32="M",AM305-X306,AM348-X306))&gt;1,"ALARM"," ")</f>
        <v xml:space="preserve"> </v>
      </c>
      <c r="AB306" s="65"/>
      <c r="AC306" s="78" t="s">
        <v>50</v>
      </c>
      <c r="AD306" s="59">
        <v>15</v>
      </c>
      <c r="AE306" s="65"/>
      <c r="AF306" s="60">
        <f>I1Ext!$H$35+12*(100-I1Ext!$H$35)/12</f>
        <v>100</v>
      </c>
      <c r="AG306" s="61">
        <f t="shared" ref="AG306:AG317" si="28">AF307+0.1</f>
        <v>95.1</v>
      </c>
      <c r="AH306" s="65"/>
      <c r="AI306" s="58">
        <v>1</v>
      </c>
      <c r="AJ306" s="59">
        <v>14</v>
      </c>
      <c r="AK306" s="65"/>
      <c r="AL306" s="60">
        <f>ROUNDDOWN(I1Ext!$H$30*AF307/500,1)*5</f>
        <v>38</v>
      </c>
      <c r="AM306" s="353">
        <f t="shared" ref="AM306:AM318" si="29">AL307+0.5</f>
        <v>36.5</v>
      </c>
      <c r="AN306" s="63">
        <f t="shared" si="27"/>
        <v>2</v>
      </c>
    </row>
    <row r="307" spans="21:40" ht="12.75" customHeight="1" x14ac:dyDescent="0.2">
      <c r="U307" s="108">
        <f>+I1Ext!A44</f>
        <v>0</v>
      </c>
      <c r="V307" s="111">
        <f>IF(I1Ext!$H$32="M",AN306+U307,AN349+U307)</f>
        <v>2</v>
      </c>
      <c r="W307" s="380">
        <f t="shared" ref="W307:W321" si="30">W306-V306</f>
        <v>38</v>
      </c>
      <c r="X307" s="353">
        <f t="shared" ref="X307:X320" si="31">W308+0.5</f>
        <v>36.5</v>
      </c>
      <c r="Y307" s="56">
        <v>14</v>
      </c>
      <c r="Z307" s="115" t="str">
        <f>IF(ABS(IF(I1Ext!$H$32="M",AL306-W307,AL349-W307))&gt;1,"ALARM"," ")</f>
        <v xml:space="preserve"> </v>
      </c>
      <c r="AA307" s="63" t="str">
        <f>IF(ABS(IF(I1Ext!$H$32="M",AM306-X307,AM349-X307))&gt;1,"ALARM"," ")</f>
        <v xml:space="preserve"> </v>
      </c>
      <c r="AB307" s="65"/>
      <c r="AC307" s="58">
        <v>1</v>
      </c>
      <c r="AD307" s="59">
        <v>14</v>
      </c>
      <c r="AE307" s="65"/>
      <c r="AF307" s="60">
        <f>I1Ext!$H$35+11*(100-I1Ext!$H$35)/12</f>
        <v>95</v>
      </c>
      <c r="AG307" s="61">
        <f t="shared" si="28"/>
        <v>90.1</v>
      </c>
      <c r="AH307" s="65"/>
      <c r="AI307" s="81" t="s">
        <v>22</v>
      </c>
      <c r="AJ307" s="69">
        <v>13</v>
      </c>
      <c r="AK307" s="70"/>
      <c r="AL307" s="60">
        <f>ROUNDDOWN(I1Ext!$H$30*AF308/500,1)*5</f>
        <v>36</v>
      </c>
      <c r="AM307" s="353">
        <f t="shared" si="29"/>
        <v>34.5</v>
      </c>
      <c r="AN307" s="73">
        <f t="shared" si="27"/>
        <v>2</v>
      </c>
    </row>
    <row r="308" spans="21:40" ht="12.75" customHeight="1" x14ac:dyDescent="0.2">
      <c r="U308" s="108">
        <f>+I1Ext!A45</f>
        <v>0</v>
      </c>
      <c r="V308" s="111">
        <f>IF(I1Ext!$H$32="M",AN307+U308,AN350+U308)</f>
        <v>2</v>
      </c>
      <c r="W308" s="381">
        <f t="shared" si="30"/>
        <v>36</v>
      </c>
      <c r="X308" s="353">
        <f t="shared" si="31"/>
        <v>34.5</v>
      </c>
      <c r="Y308" s="75">
        <v>13</v>
      </c>
      <c r="Z308" s="118" t="str">
        <f>IF(ABS(IF(I1Ext!$H$32="M",AL307-W308,AL350-W308))&gt;1,"ALARM"," ")</f>
        <v xml:space="preserve"> </v>
      </c>
      <c r="AA308" s="73" t="str">
        <f>IF(ABS(IF(I1Ext!$H$32="M",AM307-X308,AM350-X308))&gt;1,"ALARM"," ")</f>
        <v xml:space="preserve"> </v>
      </c>
      <c r="AB308" s="65"/>
      <c r="AC308" s="81" t="s">
        <v>22</v>
      </c>
      <c r="AD308" s="69">
        <v>13</v>
      </c>
      <c r="AE308" s="70"/>
      <c r="AF308" s="82">
        <f>I1Ext!$H$35+10*(100-I1Ext!$H$35)/12</f>
        <v>90</v>
      </c>
      <c r="AG308" s="83">
        <f t="shared" si="28"/>
        <v>85.1</v>
      </c>
      <c r="AH308" s="65"/>
      <c r="AI308" s="78" t="s">
        <v>50</v>
      </c>
      <c r="AJ308" s="59">
        <v>12</v>
      </c>
      <c r="AK308" s="65"/>
      <c r="AL308" s="60">
        <f>ROUNDDOWN(I1Ext!$H$30*AF309/500,1)*5</f>
        <v>34</v>
      </c>
      <c r="AM308" s="353">
        <f t="shared" si="29"/>
        <v>32.5</v>
      </c>
      <c r="AN308" s="63">
        <f t="shared" si="27"/>
        <v>2</v>
      </c>
    </row>
    <row r="309" spans="21:40" ht="12.75" customHeight="1" x14ac:dyDescent="0.2">
      <c r="U309" s="108">
        <f>+I1Ext!A46</f>
        <v>0</v>
      </c>
      <c r="V309" s="110">
        <f>IF(I1Ext!$H$32="M",AN308+U309,AN351+U309)</f>
        <v>2</v>
      </c>
      <c r="W309" s="380">
        <f t="shared" si="30"/>
        <v>34</v>
      </c>
      <c r="X309" s="353">
        <f t="shared" si="31"/>
        <v>32.5</v>
      </c>
      <c r="Y309" s="56">
        <v>12</v>
      </c>
      <c r="Z309" s="115" t="str">
        <f>IF(ABS(IF(I1Ext!$H$32="M",AL308-W309,AL351-W309))&gt;1,"ALARM"," ")</f>
        <v xml:space="preserve"> </v>
      </c>
      <c r="AA309" s="63" t="str">
        <f>IF(ABS(IF(I1Ext!$H$32="M",AM308-X309,AM351-X309))&gt;1,"ALARM"," ")</f>
        <v xml:space="preserve"> </v>
      </c>
      <c r="AB309" s="65"/>
      <c r="AC309" s="78" t="s">
        <v>50</v>
      </c>
      <c r="AD309" s="59">
        <v>12</v>
      </c>
      <c r="AE309" s="65"/>
      <c r="AF309" s="60">
        <f>I1Ext!$H$35+9*(100-I1Ext!$H$35)/12</f>
        <v>85</v>
      </c>
      <c r="AG309" s="61">
        <f t="shared" si="28"/>
        <v>80.099999999999994</v>
      </c>
      <c r="AH309" s="65"/>
      <c r="AI309" s="58">
        <v>2</v>
      </c>
      <c r="AJ309" s="59">
        <v>11</v>
      </c>
      <c r="AK309" s="65"/>
      <c r="AL309" s="60">
        <f>ROUNDDOWN(I1Ext!$H$30*AF310/500,1)*5</f>
        <v>32</v>
      </c>
      <c r="AM309" s="353">
        <f t="shared" si="29"/>
        <v>30.5</v>
      </c>
      <c r="AN309" s="63">
        <f t="shared" si="27"/>
        <v>2</v>
      </c>
    </row>
    <row r="310" spans="21:40" ht="12.75" customHeight="1" x14ac:dyDescent="0.2">
      <c r="U310" s="108">
        <f>+I1Ext!A47</f>
        <v>0</v>
      </c>
      <c r="V310" s="111">
        <f>IF(I1Ext!$H$32="M",AN309+U310,AN352+U310)</f>
        <v>2</v>
      </c>
      <c r="W310" s="380">
        <f t="shared" si="30"/>
        <v>32</v>
      </c>
      <c r="X310" s="353">
        <f t="shared" si="31"/>
        <v>30.5</v>
      </c>
      <c r="Y310" s="56">
        <v>11</v>
      </c>
      <c r="Z310" s="115" t="str">
        <f>IF(ABS(IF(I1Ext!$H$32="M",AL309-W310,AL352-W310))&gt;1,"ALARM"," ")</f>
        <v xml:space="preserve"> </v>
      </c>
      <c r="AA310" s="63" t="str">
        <f>IF(ABS(IF(I1Ext!$H$32="M",AM309-X310,AM352-X310))&gt;1,"ALARM"," ")</f>
        <v xml:space="preserve"> </v>
      </c>
      <c r="AB310" s="65"/>
      <c r="AC310" s="58">
        <v>2</v>
      </c>
      <c r="AD310" s="59">
        <v>11</v>
      </c>
      <c r="AE310" s="65"/>
      <c r="AF310" s="60">
        <f>I1Ext!$H$35+8*(100-I1Ext!$H$35)/12</f>
        <v>80</v>
      </c>
      <c r="AG310" s="61">
        <f t="shared" si="28"/>
        <v>75.099999999999994</v>
      </c>
      <c r="AH310" s="65"/>
      <c r="AI310" s="81" t="s">
        <v>22</v>
      </c>
      <c r="AJ310" s="69">
        <v>10</v>
      </c>
      <c r="AK310" s="70"/>
      <c r="AL310" s="60">
        <f>ROUNDDOWN(I1Ext!$H$30*AF311/500,1)*5</f>
        <v>30</v>
      </c>
      <c r="AM310" s="353">
        <f t="shared" si="29"/>
        <v>28.5</v>
      </c>
      <c r="AN310" s="73">
        <f t="shared" si="27"/>
        <v>2</v>
      </c>
    </row>
    <row r="311" spans="21:40" ht="12.75" customHeight="1" x14ac:dyDescent="0.2">
      <c r="U311" s="108">
        <f>+I1Ext!A48</f>
        <v>0</v>
      </c>
      <c r="V311" s="113">
        <f>IF(I1Ext!$H$32="M",AN310+U311,AN353+U311)</f>
        <v>2</v>
      </c>
      <c r="W311" s="381">
        <f t="shared" si="30"/>
        <v>30</v>
      </c>
      <c r="X311" s="353">
        <f t="shared" si="31"/>
        <v>28.5</v>
      </c>
      <c r="Y311" s="75">
        <v>10</v>
      </c>
      <c r="Z311" s="115" t="str">
        <f>IF(ABS(IF(I1Ext!$H$32="M",AL310-W311,AL353-W311))&gt;1,"ALARM"," ")</f>
        <v xml:space="preserve"> </v>
      </c>
      <c r="AA311" s="63" t="str">
        <f>IF(ABS(IF(I1Ext!$H$32="M",AM310-X311,AM353-X311))&gt;1,"ALARM"," ")</f>
        <v xml:space="preserve"> </v>
      </c>
      <c r="AB311" s="65"/>
      <c r="AC311" s="81" t="s">
        <v>22</v>
      </c>
      <c r="AD311" s="69">
        <v>10</v>
      </c>
      <c r="AE311" s="70"/>
      <c r="AF311" s="82">
        <f>I1Ext!$H$35+7*(100-I1Ext!$H$35)/12</f>
        <v>75</v>
      </c>
      <c r="AG311" s="83">
        <f t="shared" si="28"/>
        <v>70.099999999999994</v>
      </c>
      <c r="AH311" s="65"/>
      <c r="AI311" s="78" t="s">
        <v>50</v>
      </c>
      <c r="AJ311" s="59">
        <v>9</v>
      </c>
      <c r="AK311" s="65"/>
      <c r="AL311" s="60">
        <f>ROUNDDOWN(I1Ext!$H$30*AF312/500,1)*5</f>
        <v>28</v>
      </c>
      <c r="AM311" s="353">
        <f t="shared" si="29"/>
        <v>26.5</v>
      </c>
      <c r="AN311" s="63">
        <f t="shared" si="27"/>
        <v>2</v>
      </c>
    </row>
    <row r="312" spans="21:40" ht="12.75" customHeight="1" x14ac:dyDescent="0.2">
      <c r="U312" s="108">
        <f>+I1Ext!A49</f>
        <v>0</v>
      </c>
      <c r="V312" s="111">
        <f>IF(I1Ext!$H$32="M",AN311+U312,AN354+U312)</f>
        <v>2</v>
      </c>
      <c r="W312" s="380">
        <f t="shared" si="30"/>
        <v>28</v>
      </c>
      <c r="X312" s="353">
        <f t="shared" si="31"/>
        <v>26.5</v>
      </c>
      <c r="Y312" s="56">
        <v>9</v>
      </c>
      <c r="Z312" s="117" t="str">
        <f>IF(ABS(IF(I1Ext!$H$32="M",AL311-W312,AL354-W312))&gt;1,"ALARM"," ")</f>
        <v xml:space="preserve"> </v>
      </c>
      <c r="AA312" s="114" t="str">
        <f>IF(ABS(IF(I1Ext!$H$32="M",AM311-X312,AM354-X312))&gt;1,"ALARM"," ")</f>
        <v xml:space="preserve"> </v>
      </c>
      <c r="AB312" s="65"/>
      <c r="AC312" s="78" t="s">
        <v>50</v>
      </c>
      <c r="AD312" s="59">
        <v>9</v>
      </c>
      <c r="AE312" s="65"/>
      <c r="AF312" s="60">
        <f>I1Ext!$H$35+6*(100-I1Ext!$H$35)/12</f>
        <v>70</v>
      </c>
      <c r="AG312" s="61">
        <f t="shared" si="28"/>
        <v>65.099999999999994</v>
      </c>
      <c r="AH312" s="65"/>
      <c r="AI312" s="58">
        <v>3</v>
      </c>
      <c r="AJ312" s="59">
        <v>8</v>
      </c>
      <c r="AK312" s="65"/>
      <c r="AL312" s="60">
        <f>ROUNDDOWN(I1Ext!$H$30*AF313/500,1)*5</f>
        <v>26</v>
      </c>
      <c r="AM312" s="353">
        <f t="shared" si="29"/>
        <v>24.5</v>
      </c>
      <c r="AN312" s="63">
        <f t="shared" si="27"/>
        <v>2</v>
      </c>
    </row>
    <row r="313" spans="21:40" ht="12.75" customHeight="1" x14ac:dyDescent="0.2">
      <c r="U313" s="108">
        <f>+I1Ext!A50</f>
        <v>0</v>
      </c>
      <c r="V313" s="111">
        <f>IF(I1Ext!$H$32="M",AN312+U313,AN355+U313)</f>
        <v>2</v>
      </c>
      <c r="W313" s="380">
        <f t="shared" si="30"/>
        <v>26</v>
      </c>
      <c r="X313" s="353">
        <f t="shared" si="31"/>
        <v>24.5</v>
      </c>
      <c r="Y313" s="56">
        <v>8</v>
      </c>
      <c r="Z313" s="115" t="str">
        <f>IF(ABS(IF(I1Ext!$H$32="M",AL312-W313,AL355-W313))&gt;1,"ALARM"," ")</f>
        <v xml:space="preserve"> </v>
      </c>
      <c r="AA313" s="63" t="str">
        <f>IF(ABS(IF(I1Ext!$H$32="M",AM312-X313,AM355-X313))&gt;1,"ALARM"," ")</f>
        <v xml:space="preserve"> </v>
      </c>
      <c r="AB313" s="65"/>
      <c r="AC313" s="58">
        <v>3</v>
      </c>
      <c r="AD313" s="59">
        <v>8</v>
      </c>
      <c r="AE313" s="65"/>
      <c r="AF313" s="60">
        <f>I1Ext!$H$35+5*(100-I1Ext!$H$35)/12</f>
        <v>65</v>
      </c>
      <c r="AG313" s="61">
        <f t="shared" si="28"/>
        <v>60.1</v>
      </c>
      <c r="AH313" s="65"/>
      <c r="AI313" s="81" t="s">
        <v>22</v>
      </c>
      <c r="AJ313" s="69">
        <v>7</v>
      </c>
      <c r="AK313" s="70"/>
      <c r="AL313" s="60">
        <f>ROUNDDOWN(I1Ext!$H$30*AF314/500,1)*5</f>
        <v>24</v>
      </c>
      <c r="AM313" s="353">
        <f t="shared" si="29"/>
        <v>22.5</v>
      </c>
      <c r="AN313" s="73">
        <f t="shared" si="27"/>
        <v>2</v>
      </c>
    </row>
    <row r="314" spans="21:40" ht="12.75" customHeight="1" x14ac:dyDescent="0.2">
      <c r="U314" s="108">
        <f>+I1Ext!A51</f>
        <v>0</v>
      </c>
      <c r="V314" s="111">
        <f>IF(I1Ext!$H$32="M",AN313+U314,AN356+U314)</f>
        <v>2</v>
      </c>
      <c r="W314" s="381">
        <f t="shared" si="30"/>
        <v>24</v>
      </c>
      <c r="X314" s="353">
        <f t="shared" si="31"/>
        <v>22.5</v>
      </c>
      <c r="Y314" s="75">
        <v>7</v>
      </c>
      <c r="Z314" s="118" t="str">
        <f>IF(ABS(IF(I1Ext!$H$32="M",AL313-W314,AL356-W314))&gt;1,"ALARM"," ")</f>
        <v xml:space="preserve"> </v>
      </c>
      <c r="AA314" s="73" t="str">
        <f>IF(ABS(IF(I1Ext!$H$32="M",AM313-X314,AM356-X314))&gt;1,"ALARM"," ")</f>
        <v xml:space="preserve"> </v>
      </c>
      <c r="AB314" s="65"/>
      <c r="AC314" s="81" t="s">
        <v>22</v>
      </c>
      <c r="AD314" s="69">
        <v>7</v>
      </c>
      <c r="AE314" s="70"/>
      <c r="AF314" s="82">
        <f>I1Ext!$H$35+4*(100-I1Ext!$H$35)/12</f>
        <v>60</v>
      </c>
      <c r="AG314" s="83">
        <f t="shared" si="28"/>
        <v>55.1</v>
      </c>
      <c r="AH314" s="65"/>
      <c r="AI314" s="78" t="s">
        <v>50</v>
      </c>
      <c r="AJ314" s="59">
        <v>6</v>
      </c>
      <c r="AK314" s="65"/>
      <c r="AL314" s="60">
        <f>ROUNDDOWN(I1Ext!$H$30*AF315/500,1)*5</f>
        <v>22</v>
      </c>
      <c r="AM314" s="353">
        <f t="shared" si="29"/>
        <v>20.5</v>
      </c>
      <c r="AN314" s="63">
        <f t="shared" si="27"/>
        <v>2</v>
      </c>
    </row>
    <row r="315" spans="21:40" ht="12.75" customHeight="1" x14ac:dyDescent="0.2">
      <c r="U315" s="108">
        <f>+I1Ext!A52</f>
        <v>0</v>
      </c>
      <c r="V315" s="110">
        <f>IF(I1Ext!$H$32="M",AN314+U315,AN357+U315)</f>
        <v>2</v>
      </c>
      <c r="W315" s="380">
        <f t="shared" si="30"/>
        <v>22</v>
      </c>
      <c r="X315" s="353">
        <f t="shared" si="31"/>
        <v>20.5</v>
      </c>
      <c r="Y315" s="56">
        <v>6</v>
      </c>
      <c r="Z315" s="115" t="str">
        <f>IF(ABS(IF(I1Ext!$H$32="M",AL314-W315,AL357-W315))&gt;1,"ALARM"," ")</f>
        <v xml:space="preserve"> </v>
      </c>
      <c r="AA315" s="63" t="str">
        <f>IF(ABS(IF(I1Ext!$H$32="M",AM314-X315,AM357-X315))&gt;1,"ALARM"," ")</f>
        <v xml:space="preserve"> </v>
      </c>
      <c r="AB315" s="65"/>
      <c r="AC315" s="78" t="s">
        <v>50</v>
      </c>
      <c r="AD315" s="59">
        <v>6</v>
      </c>
      <c r="AE315" s="65"/>
      <c r="AF315" s="60">
        <f>I1Ext!$H$35+3*(100-I1Ext!$H$35)/12</f>
        <v>55</v>
      </c>
      <c r="AG315" s="61">
        <f t="shared" si="28"/>
        <v>50.1</v>
      </c>
      <c r="AH315" s="65"/>
      <c r="AI315" s="58">
        <v>4</v>
      </c>
      <c r="AJ315" s="59">
        <v>5</v>
      </c>
      <c r="AK315" s="65"/>
      <c r="AL315" s="60">
        <f>ROUNDDOWN(I1Ext!$H$30*AF316/500,1)*5</f>
        <v>20</v>
      </c>
      <c r="AM315" s="353">
        <f t="shared" si="29"/>
        <v>18.5</v>
      </c>
      <c r="AN315" s="63">
        <f t="shared" si="27"/>
        <v>2</v>
      </c>
    </row>
    <row r="316" spans="21:40" ht="12.75" customHeight="1" x14ac:dyDescent="0.2">
      <c r="U316" s="108">
        <f>+I1Ext!A53</f>
        <v>0</v>
      </c>
      <c r="V316" s="111">
        <f>IF(I1Ext!$H$32="M",AN315+U316,AN358+U316)</f>
        <v>2</v>
      </c>
      <c r="W316" s="380">
        <f t="shared" si="30"/>
        <v>20</v>
      </c>
      <c r="X316" s="353">
        <f t="shared" si="31"/>
        <v>18.5</v>
      </c>
      <c r="Y316" s="56">
        <v>5</v>
      </c>
      <c r="Z316" s="115" t="str">
        <f>IF(ABS(IF(I1Ext!$H$32="M",AL315-W316,AL358-W316))&gt;1,"ALARM"," ")</f>
        <v xml:space="preserve"> </v>
      </c>
      <c r="AA316" s="63" t="str">
        <f>IF(ABS(IF(I1Ext!$H$32="M",AM315-X316,AM358-X316))&gt;1,"ALARM"," ")</f>
        <v xml:space="preserve"> </v>
      </c>
      <c r="AB316" s="65"/>
      <c r="AC316" s="58">
        <v>4</v>
      </c>
      <c r="AD316" s="59">
        <v>5</v>
      </c>
      <c r="AE316" s="65"/>
      <c r="AF316" s="60">
        <f>I1Ext!$H$35+2*(100-I1Ext!$H$35)/12</f>
        <v>50</v>
      </c>
      <c r="AG316" s="61">
        <f t="shared" si="28"/>
        <v>45.1</v>
      </c>
      <c r="AH316" s="65"/>
      <c r="AI316" s="81" t="s">
        <v>22</v>
      </c>
      <c r="AJ316" s="69">
        <v>4</v>
      </c>
      <c r="AK316" s="70"/>
      <c r="AL316" s="60">
        <f>ROUNDDOWN(I1Ext!$H$30*AF317/500,1)*5</f>
        <v>18</v>
      </c>
      <c r="AM316" s="353">
        <f t="shared" si="29"/>
        <v>16.5</v>
      </c>
      <c r="AN316" s="73">
        <f t="shared" si="27"/>
        <v>2</v>
      </c>
    </row>
    <row r="317" spans="21:40" ht="12.75" customHeight="1" x14ac:dyDescent="0.2">
      <c r="U317" s="108">
        <f>+I1Ext!A54</f>
        <v>0</v>
      </c>
      <c r="V317" s="113">
        <f>IF(I1Ext!$H$32="M",AN316+U317,AN359+U317)</f>
        <v>2</v>
      </c>
      <c r="W317" s="381">
        <f t="shared" si="30"/>
        <v>18</v>
      </c>
      <c r="X317" s="353">
        <f>W318+0.5</f>
        <v>16.5</v>
      </c>
      <c r="Y317" s="75">
        <v>4</v>
      </c>
      <c r="Z317" s="115" t="str">
        <f>IF(ABS(IF(I1Ext!$H$32="M",AL316-W317,AL359-W317))&gt;1,"ALARM"," ")</f>
        <v xml:space="preserve"> </v>
      </c>
      <c r="AA317" s="63" t="str">
        <f>IF(ABS(IF(I1Ext!$H$32="M",AM316-X317,AM359-X317))&gt;1,"ALARM"," ")</f>
        <v xml:space="preserve"> </v>
      </c>
      <c r="AB317" s="65"/>
      <c r="AC317" s="81" t="s">
        <v>22</v>
      </c>
      <c r="AD317" s="69">
        <v>4</v>
      </c>
      <c r="AE317" s="70"/>
      <c r="AF317" s="82">
        <f>I1Ext!$H$35+1*(100-I1Ext!$H$35)/12</f>
        <v>45</v>
      </c>
      <c r="AG317" s="83">
        <f t="shared" si="28"/>
        <v>40.1</v>
      </c>
      <c r="AH317" s="65"/>
      <c r="AI317" s="78" t="s">
        <v>50</v>
      </c>
      <c r="AJ317" s="59">
        <v>3</v>
      </c>
      <c r="AK317" s="65"/>
      <c r="AL317" s="60">
        <f>ROUNDDOWN(I1Ext!$H$30*AF318/500,1)*5</f>
        <v>16</v>
      </c>
      <c r="AM317" s="353">
        <f t="shared" si="29"/>
        <v>13.5</v>
      </c>
      <c r="AN317" s="63">
        <f t="shared" si="27"/>
        <v>3</v>
      </c>
    </row>
    <row r="318" spans="21:40" ht="12.75" customHeight="1" x14ac:dyDescent="0.2">
      <c r="U318" s="108">
        <f>+I1Ext!A55</f>
        <v>0</v>
      </c>
      <c r="V318" s="110">
        <f>IF(I1Ext!$H$32="M",AN317+U318,AN360+U318)</f>
        <v>3</v>
      </c>
      <c r="W318" s="380">
        <f t="shared" si="30"/>
        <v>16</v>
      </c>
      <c r="X318" s="353">
        <f t="shared" si="31"/>
        <v>13.5</v>
      </c>
      <c r="Y318" s="56">
        <v>3</v>
      </c>
      <c r="Z318" s="117" t="str">
        <f>IF(ABS(IF(I1Ext!$H$32="M",AL317-W318,AL360-W318))&gt;1,"ALARM"," ")</f>
        <v xml:space="preserve"> </v>
      </c>
      <c r="AA318" s="114" t="str">
        <f>IF(ABS(IF(I1Ext!$H$32="M",AM317-X318,AM360-X318))&gt;1,"ALARM"," ")</f>
        <v xml:space="preserve"> </v>
      </c>
      <c r="AB318" s="65"/>
      <c r="AC318" s="78" t="s">
        <v>50</v>
      </c>
      <c r="AD318" s="59">
        <v>3</v>
      </c>
      <c r="AE318" s="65"/>
      <c r="AF318" s="60">
        <f>I1Ext!$H$35</f>
        <v>40</v>
      </c>
      <c r="AG318" s="61">
        <f>AF319+0.01</f>
        <v>33.343333333333334</v>
      </c>
      <c r="AH318" s="65"/>
      <c r="AI318" s="58">
        <v>5</v>
      </c>
      <c r="AJ318" s="59">
        <v>2</v>
      </c>
      <c r="AK318" s="65"/>
      <c r="AL318" s="60">
        <f>ROUNDDOWN(I1Ext!$H$30*AF319/500,1)*5</f>
        <v>13</v>
      </c>
      <c r="AM318" s="353">
        <f t="shared" si="29"/>
        <v>11</v>
      </c>
      <c r="AN318" s="63">
        <f t="shared" si="27"/>
        <v>2.5</v>
      </c>
    </row>
    <row r="319" spans="21:40" ht="12.75" customHeight="1" x14ac:dyDescent="0.2">
      <c r="U319" s="108">
        <f>+I1Ext!A56</f>
        <v>0</v>
      </c>
      <c r="V319" s="111">
        <f>IF(I1Ext!$H$32="M",AN318+U319,AN361+U319)</f>
        <v>2.5</v>
      </c>
      <c r="W319" s="380">
        <f t="shared" si="30"/>
        <v>13</v>
      </c>
      <c r="X319" s="353">
        <f t="shared" si="31"/>
        <v>11</v>
      </c>
      <c r="Y319" s="56">
        <v>2</v>
      </c>
      <c r="Z319" s="115" t="str">
        <f>IF(ABS(IF(I1Ext!$H$32="M",AL318-W319,AL361-W319))&gt;1,"ALARM"," ")</f>
        <v xml:space="preserve"> </v>
      </c>
      <c r="AA319" s="63" t="str">
        <f>IF(ABS(IF(I1Ext!$H$32="M",AM318-X319,AM361-X319))&gt;1,"ALARM"," ")</f>
        <v xml:space="preserve"> </v>
      </c>
      <c r="AB319" s="65"/>
      <c r="AC319" s="58">
        <v>5</v>
      </c>
      <c r="AD319" s="59">
        <v>2</v>
      </c>
      <c r="AE319" s="65"/>
      <c r="AF319" s="60">
        <f>AG320+2*(AF318-AG320)/3</f>
        <v>33.333333333333336</v>
      </c>
      <c r="AG319" s="61">
        <f>AF320+0.01</f>
        <v>26.676666666666669</v>
      </c>
      <c r="AH319" s="65"/>
      <c r="AI319" s="81" t="s">
        <v>22</v>
      </c>
      <c r="AJ319" s="69">
        <v>1</v>
      </c>
      <c r="AK319" s="70"/>
      <c r="AL319" s="60">
        <f>ROUNDDOWN(I1Ext!$H$30*AF320/500,1)*5</f>
        <v>10.5</v>
      </c>
      <c r="AM319" s="361">
        <f>ROUNDUP(I1Ext!$H$30*(I1Ext!$H$34/500),1)*5</f>
        <v>8</v>
      </c>
      <c r="AN319" s="73">
        <f t="shared" si="27"/>
        <v>3</v>
      </c>
    </row>
    <row r="320" spans="21:40" ht="12.75" customHeight="1" thickBot="1" x14ac:dyDescent="0.25">
      <c r="U320" s="108">
        <f>+I1Ext!A57</f>
        <v>0</v>
      </c>
      <c r="V320" s="113">
        <f>IF(I1Ext!$H$32="M",AN319+U320,AN362+U320)</f>
        <v>3</v>
      </c>
      <c r="W320" s="381">
        <f t="shared" si="30"/>
        <v>10.5</v>
      </c>
      <c r="X320" s="353">
        <f t="shared" si="31"/>
        <v>8</v>
      </c>
      <c r="Y320" s="75">
        <v>1</v>
      </c>
      <c r="Z320" s="118" t="str">
        <f>IF(ABS(IF(I1Ext!$H$32="M",AL319-W320,AL362-W320))&gt;1,"ALARM"," ")</f>
        <v xml:space="preserve"> </v>
      </c>
      <c r="AA320" s="73" t="str">
        <f>IF(ABS(IF(I1Ext!$H$32="M",AM319-X320,AM362-X320))&gt;1,"ALARM"," ")</f>
        <v xml:space="preserve"> </v>
      </c>
      <c r="AB320" s="65"/>
      <c r="AC320" s="81" t="s">
        <v>22</v>
      </c>
      <c r="AD320" s="69">
        <v>1</v>
      </c>
      <c r="AE320" s="70"/>
      <c r="AF320" s="82">
        <f>AG320+(AF318-AG320)/3</f>
        <v>26.666666666666668</v>
      </c>
      <c r="AG320" s="83">
        <f>I1Ext!$H$34</f>
        <v>20</v>
      </c>
      <c r="AH320" s="65"/>
      <c r="AI320" s="89">
        <v>6</v>
      </c>
      <c r="AJ320" s="90">
        <v>0</v>
      </c>
      <c r="AK320" s="91"/>
      <c r="AL320" s="96">
        <f>AM319-0.5</f>
        <v>7.5</v>
      </c>
      <c r="AM320" s="362">
        <v>0</v>
      </c>
      <c r="AN320" s="94">
        <f>IF(AM320&gt;AM319,"ALARM",AL320)</f>
        <v>7.5</v>
      </c>
    </row>
    <row r="321" spans="21:40" ht="12.75" customHeight="1" thickBot="1" x14ac:dyDescent="0.25">
      <c r="U321" s="43" t="s">
        <v>51</v>
      </c>
      <c r="V321" s="112">
        <f>IF(I1Ext!$H$32="M",+W321,W363)</f>
        <v>7.5</v>
      </c>
      <c r="W321" s="384">
        <f t="shared" si="30"/>
        <v>7.5</v>
      </c>
      <c r="X321" s="362">
        <v>0</v>
      </c>
      <c r="Y321" s="95">
        <v>0</v>
      </c>
      <c r="Z321" s="116" t="str">
        <f>IF(ABS(IF(I1Ext!$H$32="M",AL320-W321,AL363-W321))&gt;1,"ALARM"," ")</f>
        <v xml:space="preserve"> </v>
      </c>
      <c r="AA321" s="94" t="str">
        <f>IF(ABS(IF(I1Ext!$H$32="M",AM320-X321,AM363-X321))&gt;1,"ALARM"," ")</f>
        <v xml:space="preserve"> </v>
      </c>
      <c r="AB321" s="65"/>
      <c r="AC321" s="89">
        <v>6</v>
      </c>
      <c r="AD321" s="90">
        <v>0</v>
      </c>
      <c r="AE321" s="91"/>
      <c r="AF321" s="96">
        <f>I1Ext!$H$34-0.1</f>
        <v>19.899999999999999</v>
      </c>
      <c r="AG321" s="97">
        <v>0</v>
      </c>
      <c r="AH321" s="65"/>
      <c r="AI321" s="65"/>
      <c r="AJ321" s="65"/>
      <c r="AK321" s="65"/>
      <c r="AL321" s="65"/>
      <c r="AM321" s="65"/>
      <c r="AN321" s="65"/>
    </row>
    <row r="322" spans="21:40" ht="12.75" customHeight="1" x14ac:dyDescent="0.2"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21:40" ht="12.75" customHeight="1" x14ac:dyDescent="0.2"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21:40" ht="12.75" customHeight="1" x14ac:dyDescent="0.2">
      <c r="U324" s="46"/>
      <c r="V324" s="359">
        <f t="shared" ref="V324:V339" si="32">+X324</f>
        <v>0</v>
      </c>
      <c r="W324" s="359">
        <f>+W321</f>
        <v>7.5</v>
      </c>
      <c r="X324" s="359">
        <f>+X321</f>
        <v>0</v>
      </c>
      <c r="Y324" s="46">
        <f>+Y321</f>
        <v>0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21:40" ht="12.75" customHeight="1" x14ac:dyDescent="0.2">
      <c r="U325" s="46"/>
      <c r="V325" s="359">
        <f t="shared" si="32"/>
        <v>8</v>
      </c>
      <c r="W325" s="359">
        <f>+W320</f>
        <v>10.5</v>
      </c>
      <c r="X325" s="359">
        <f>+X320</f>
        <v>8</v>
      </c>
      <c r="Y325" s="46">
        <f>+Y320</f>
        <v>1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21:40" ht="12.75" customHeight="1" x14ac:dyDescent="0.2">
      <c r="U326" s="46"/>
      <c r="V326" s="359">
        <f t="shared" si="32"/>
        <v>11</v>
      </c>
      <c r="W326" s="359">
        <f>+W319</f>
        <v>13</v>
      </c>
      <c r="X326" s="359">
        <f>+X319</f>
        <v>11</v>
      </c>
      <c r="Y326" s="46">
        <f>+Y319</f>
        <v>2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21:40" ht="12.75" customHeight="1" x14ac:dyDescent="0.2">
      <c r="U327" s="46"/>
      <c r="V327" s="359">
        <f t="shared" si="32"/>
        <v>13.5</v>
      </c>
      <c r="W327" s="359">
        <f>+W318</f>
        <v>16</v>
      </c>
      <c r="X327" s="359">
        <f>+X318</f>
        <v>13.5</v>
      </c>
      <c r="Y327" s="46">
        <f>+Y318</f>
        <v>3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21:40" ht="12.75" customHeight="1" x14ac:dyDescent="0.2">
      <c r="U328" s="46"/>
      <c r="V328" s="359">
        <f t="shared" si="32"/>
        <v>16.5</v>
      </c>
      <c r="W328" s="359">
        <f>+W317</f>
        <v>18</v>
      </c>
      <c r="X328" s="359">
        <f>+X317</f>
        <v>16.5</v>
      </c>
      <c r="Y328" s="46">
        <f>+Y317</f>
        <v>4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21:40" ht="12.75" customHeight="1" x14ac:dyDescent="0.2">
      <c r="U329" s="46"/>
      <c r="V329" s="359">
        <f t="shared" si="32"/>
        <v>18.5</v>
      </c>
      <c r="W329" s="359">
        <f>+W316</f>
        <v>20</v>
      </c>
      <c r="X329" s="359">
        <f>+X316</f>
        <v>18.5</v>
      </c>
      <c r="Y329" s="46">
        <f>+Y316</f>
        <v>5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21:40" ht="12.75" customHeight="1" x14ac:dyDescent="0.2">
      <c r="U330" s="46"/>
      <c r="V330" s="359">
        <f t="shared" si="32"/>
        <v>20.5</v>
      </c>
      <c r="W330" s="359">
        <f>+W315</f>
        <v>22</v>
      </c>
      <c r="X330" s="359">
        <f>+X315</f>
        <v>20.5</v>
      </c>
      <c r="Y330" s="46">
        <f>+Y315</f>
        <v>6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21:40" ht="12.75" customHeight="1" x14ac:dyDescent="0.2">
      <c r="U331" s="46"/>
      <c r="V331" s="359">
        <f t="shared" si="32"/>
        <v>22.5</v>
      </c>
      <c r="W331" s="359">
        <f>+W314</f>
        <v>24</v>
      </c>
      <c r="X331" s="359">
        <f>+X314</f>
        <v>22.5</v>
      </c>
      <c r="Y331" s="46">
        <f>+Y314</f>
        <v>7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21:40" ht="12.75" customHeight="1" x14ac:dyDescent="0.2">
      <c r="U332" s="46"/>
      <c r="V332" s="359">
        <f t="shared" si="32"/>
        <v>24.5</v>
      </c>
      <c r="W332" s="359">
        <f>+W313</f>
        <v>26</v>
      </c>
      <c r="X332" s="359">
        <f>+X313</f>
        <v>24.5</v>
      </c>
      <c r="Y332" s="46">
        <f>+Y313</f>
        <v>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21:40" ht="12.75" customHeight="1" x14ac:dyDescent="0.2">
      <c r="U333" s="46"/>
      <c r="V333" s="359">
        <f t="shared" si="32"/>
        <v>26.5</v>
      </c>
      <c r="W333" s="359">
        <f>+W312</f>
        <v>28</v>
      </c>
      <c r="X333" s="359">
        <f>+X312</f>
        <v>26.5</v>
      </c>
      <c r="Y333" s="46">
        <f>+Y312</f>
        <v>9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21:40" ht="12.75" customHeight="1" x14ac:dyDescent="0.2">
      <c r="U334" s="46"/>
      <c r="V334" s="359">
        <f t="shared" si="32"/>
        <v>28.5</v>
      </c>
      <c r="W334" s="359">
        <f>+W311</f>
        <v>30</v>
      </c>
      <c r="X334" s="359">
        <f>+X311</f>
        <v>28.5</v>
      </c>
      <c r="Y334" s="46">
        <f>+Y311</f>
        <v>10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21:40" ht="12.75" customHeight="1" x14ac:dyDescent="0.2">
      <c r="U335" s="46"/>
      <c r="V335" s="359">
        <f t="shared" si="32"/>
        <v>30.5</v>
      </c>
      <c r="W335" s="359">
        <f>+W310</f>
        <v>32</v>
      </c>
      <c r="X335" s="359">
        <f>+X310</f>
        <v>30.5</v>
      </c>
      <c r="Y335" s="46">
        <f>+Y310</f>
        <v>11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21:40" ht="12.75" customHeight="1" x14ac:dyDescent="0.2">
      <c r="U336" s="46"/>
      <c r="V336" s="359">
        <f t="shared" si="32"/>
        <v>32.5</v>
      </c>
      <c r="W336" s="359">
        <f>+W309</f>
        <v>34</v>
      </c>
      <c r="X336" s="359">
        <f>+X309</f>
        <v>32.5</v>
      </c>
      <c r="Y336" s="46">
        <f>+Y309</f>
        <v>12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21:40" ht="12.75" customHeight="1" x14ac:dyDescent="0.2">
      <c r="U337" s="46"/>
      <c r="V337" s="359">
        <f t="shared" si="32"/>
        <v>34.5</v>
      </c>
      <c r="W337" s="359">
        <f>+W308</f>
        <v>36</v>
      </c>
      <c r="X337" s="359">
        <f>+X308</f>
        <v>34.5</v>
      </c>
      <c r="Y337" s="46">
        <f>+Y308</f>
        <v>13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21:40" ht="12.75" customHeight="1" x14ac:dyDescent="0.2">
      <c r="U338" s="46"/>
      <c r="V338" s="359">
        <f t="shared" si="32"/>
        <v>36.5</v>
      </c>
      <c r="W338" s="359">
        <f>+W307</f>
        <v>38</v>
      </c>
      <c r="X338" s="359">
        <f>+X307</f>
        <v>36.5</v>
      </c>
      <c r="Y338" s="46">
        <f>+Y307</f>
        <v>14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21:40" ht="12.75" customHeight="1" x14ac:dyDescent="0.2">
      <c r="U339" s="46"/>
      <c r="V339" s="359">
        <f t="shared" si="32"/>
        <v>38.5</v>
      </c>
      <c r="W339" s="359">
        <f>+W306</f>
        <v>40</v>
      </c>
      <c r="X339" s="359">
        <f>+X306</f>
        <v>38.5</v>
      </c>
      <c r="Y339" s="98">
        <f>+Y306</f>
        <v>15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21:40" ht="12.75" customHeight="1" x14ac:dyDescent="0.2"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21:40" ht="12.75" customHeight="1" x14ac:dyDescent="0.2"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21:40" ht="12.75" customHeight="1" x14ac:dyDescent="0.2"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21:40" ht="12.75" customHeight="1" x14ac:dyDescent="0.2"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52"/>
      <c r="AI343" s="57"/>
      <c r="AJ343" s="60"/>
      <c r="AK343" s="60"/>
      <c r="AL343" s="52"/>
      <c r="AM343" s="88"/>
      <c r="AN343" s="57"/>
    </row>
    <row r="344" spans="21:40" ht="12.75" customHeight="1" thickBot="1" x14ac:dyDescent="0.25">
      <c r="U344" s="360"/>
      <c r="V344" s="375"/>
      <c r="W344" s="454"/>
      <c r="X344" s="454"/>
      <c r="Y344" s="65"/>
      <c r="Z344" s="454"/>
      <c r="AA344" s="454"/>
      <c r="AB344" s="46"/>
      <c r="AC344" s="65"/>
      <c r="AD344" s="57"/>
      <c r="AE344" s="57"/>
      <c r="AF344" s="60"/>
      <c r="AG344" s="60"/>
      <c r="AH344" s="52"/>
      <c r="AI344" s="65"/>
      <c r="AJ344" s="57"/>
      <c r="AK344" s="65"/>
      <c r="AL344" s="57"/>
      <c r="AM344" s="57"/>
      <c r="AN344" s="57"/>
    </row>
    <row r="345" spans="21:40" ht="12.75" customHeight="1" x14ac:dyDescent="0.2">
      <c r="U345" s="376"/>
      <c r="V345" s="375"/>
      <c r="W345" s="458"/>
      <c r="X345" s="458"/>
      <c r="Y345" s="65"/>
      <c r="Z345" s="454"/>
      <c r="AA345" s="454"/>
      <c r="AB345" s="46"/>
      <c r="AC345" s="49" t="s">
        <v>17</v>
      </c>
      <c r="AD345" s="50" t="s">
        <v>32</v>
      </c>
      <c r="AE345" s="51"/>
      <c r="AF345" s="461" t="s">
        <v>41</v>
      </c>
      <c r="AG345" s="462"/>
      <c r="AH345" s="52"/>
      <c r="AI345" s="49" t="s">
        <v>17</v>
      </c>
      <c r="AJ345" s="50" t="s">
        <v>32</v>
      </c>
      <c r="AK345" s="53"/>
      <c r="AL345" s="452" t="s">
        <v>42</v>
      </c>
      <c r="AM345" s="453"/>
      <c r="AN345" s="54" t="s">
        <v>43</v>
      </c>
    </row>
    <row r="346" spans="21:40" ht="12.75" customHeight="1" x14ac:dyDescent="0.2">
      <c r="U346" s="377"/>
      <c r="V346" s="375"/>
      <c r="W346" s="360"/>
      <c r="X346" s="360"/>
      <c r="Y346" s="65"/>
      <c r="Z346" s="454"/>
      <c r="AA346" s="454"/>
      <c r="AB346" s="46"/>
      <c r="AC346" s="58"/>
      <c r="AD346" s="59"/>
      <c r="AE346" s="57"/>
      <c r="AF346" s="60" t="s">
        <v>46</v>
      </c>
      <c r="AG346" s="61" t="s">
        <v>47</v>
      </c>
      <c r="AH346" s="52"/>
      <c r="AI346" s="58"/>
      <c r="AJ346" s="59"/>
      <c r="AK346" s="57"/>
      <c r="AL346" s="57" t="s">
        <v>46</v>
      </c>
      <c r="AM346" s="62" t="s">
        <v>47</v>
      </c>
      <c r="AN346" s="63"/>
    </row>
    <row r="347" spans="21:40" ht="12.75" customHeight="1" x14ac:dyDescent="0.2">
      <c r="U347" s="65"/>
      <c r="V347" s="375"/>
      <c r="W347" s="360"/>
      <c r="X347" s="360"/>
      <c r="Y347" s="65"/>
      <c r="Z347" s="360"/>
      <c r="AA347" s="360"/>
      <c r="AB347" s="46"/>
      <c r="AC347" s="68"/>
      <c r="AD347" s="69"/>
      <c r="AE347" s="70"/>
      <c r="AF347" s="76"/>
      <c r="AG347" s="77"/>
      <c r="AH347" s="65"/>
      <c r="AI347" s="68"/>
      <c r="AJ347" s="69"/>
      <c r="AK347" s="70"/>
      <c r="AL347" s="71"/>
      <c r="AM347" s="72"/>
      <c r="AN347" s="73"/>
    </row>
    <row r="348" spans="21:40" ht="12.75" customHeight="1" x14ac:dyDescent="0.2">
      <c r="U348" s="376"/>
      <c r="V348" s="375"/>
      <c r="W348" s="79"/>
      <c r="X348" s="360"/>
      <c r="Y348" s="65"/>
      <c r="Z348" s="360"/>
      <c r="AA348" s="360"/>
      <c r="AB348" s="46"/>
      <c r="AC348" s="78" t="s">
        <v>50</v>
      </c>
      <c r="AD348" s="59">
        <v>15</v>
      </c>
      <c r="AE348" s="65"/>
      <c r="AF348" s="60">
        <f>I1Ext!$H$35+30*(100-I1Ext!$H$35)/30</f>
        <v>100</v>
      </c>
      <c r="AG348" s="61">
        <f t="shared" ref="AG348:AG359" si="33">AF349+0.1</f>
        <v>94.1</v>
      </c>
      <c r="AH348" s="65"/>
      <c r="AI348" s="78" t="s">
        <v>50</v>
      </c>
      <c r="AJ348" s="59">
        <v>15</v>
      </c>
      <c r="AK348" s="65"/>
      <c r="AL348" s="60">
        <f>I1Ext!$H$30</f>
        <v>40</v>
      </c>
      <c r="AM348" s="353">
        <f>AL349+0.5</f>
        <v>38</v>
      </c>
      <c r="AN348" s="63">
        <f t="shared" ref="AN348:AN362" si="34">IF(AM348&gt;AL348,"ALARM",AL348-AL349)</f>
        <v>2.5</v>
      </c>
    </row>
    <row r="349" spans="21:40" ht="12.75" customHeight="1" x14ac:dyDescent="0.2">
      <c r="U349" s="376"/>
      <c r="V349" s="375"/>
      <c r="W349" s="360"/>
      <c r="X349" s="360"/>
      <c r="Y349" s="65"/>
      <c r="Z349" s="360"/>
      <c r="AA349" s="360"/>
      <c r="AB349" s="46"/>
      <c r="AC349" s="58">
        <v>1</v>
      </c>
      <c r="AD349" s="59">
        <v>14</v>
      </c>
      <c r="AE349" s="65"/>
      <c r="AF349" s="60">
        <f>I1Ext!$H$35+27*(100-I1Ext!$H$35)/30</f>
        <v>94</v>
      </c>
      <c r="AG349" s="61">
        <f t="shared" si="33"/>
        <v>88.1</v>
      </c>
      <c r="AH349" s="65"/>
      <c r="AI349" s="58">
        <v>1</v>
      </c>
      <c r="AJ349" s="59">
        <v>14</v>
      </c>
      <c r="AK349" s="65"/>
      <c r="AL349" s="60">
        <f>ROUNDDOWN(I1Ext!$H$30*AF349/500,1)*5</f>
        <v>37.5</v>
      </c>
      <c r="AM349" s="353">
        <f t="shared" ref="AM349:AM361" si="35">AL350+0.5</f>
        <v>35.5</v>
      </c>
      <c r="AN349" s="63">
        <f t="shared" si="34"/>
        <v>2.5</v>
      </c>
    </row>
    <row r="350" spans="21:40" ht="12.75" customHeight="1" x14ac:dyDescent="0.2">
      <c r="U350" s="376"/>
      <c r="V350" s="375"/>
      <c r="W350" s="360"/>
      <c r="X350" s="360"/>
      <c r="Y350" s="65"/>
      <c r="Z350" s="360"/>
      <c r="AA350" s="360"/>
      <c r="AB350" s="46"/>
      <c r="AC350" s="81" t="s">
        <v>22</v>
      </c>
      <c r="AD350" s="69">
        <v>13</v>
      </c>
      <c r="AE350" s="70"/>
      <c r="AF350" s="82">
        <f>I1Ext!$H$35+24*(100-I1Ext!$H$35)/30</f>
        <v>88</v>
      </c>
      <c r="AG350" s="83">
        <f t="shared" si="33"/>
        <v>82.1</v>
      </c>
      <c r="AH350" s="65"/>
      <c r="AI350" s="81" t="s">
        <v>22</v>
      </c>
      <c r="AJ350" s="69">
        <v>13</v>
      </c>
      <c r="AK350" s="70"/>
      <c r="AL350" s="60">
        <f>ROUNDDOWN(I1Ext!$H$30*AF350/500,1)*5</f>
        <v>35</v>
      </c>
      <c r="AM350" s="353">
        <f t="shared" si="35"/>
        <v>33</v>
      </c>
      <c r="AN350" s="73">
        <f t="shared" si="34"/>
        <v>2.5</v>
      </c>
    </row>
    <row r="351" spans="21:40" ht="12.75" customHeight="1" x14ac:dyDescent="0.2">
      <c r="U351" s="376"/>
      <c r="V351" s="375"/>
      <c r="W351" s="360"/>
      <c r="X351" s="360"/>
      <c r="Y351" s="65"/>
      <c r="Z351" s="360"/>
      <c r="AA351" s="360"/>
      <c r="AB351" s="46"/>
      <c r="AC351" s="78" t="s">
        <v>50</v>
      </c>
      <c r="AD351" s="59">
        <v>12</v>
      </c>
      <c r="AE351" s="65"/>
      <c r="AF351" s="60">
        <f>I1Ext!$H$35+21*(100-I1Ext!$H$35)/30</f>
        <v>82</v>
      </c>
      <c r="AG351" s="61">
        <f t="shared" si="33"/>
        <v>76.099999999999994</v>
      </c>
      <c r="AH351" s="65"/>
      <c r="AI351" s="78" t="s">
        <v>50</v>
      </c>
      <c r="AJ351" s="59">
        <v>12</v>
      </c>
      <c r="AK351" s="65"/>
      <c r="AL351" s="60">
        <f>ROUNDDOWN(I1Ext!$H$30*AF351/500,1)*5</f>
        <v>32.5</v>
      </c>
      <c r="AM351" s="353">
        <f t="shared" si="35"/>
        <v>30.5</v>
      </c>
      <c r="AN351" s="63">
        <f t="shared" si="34"/>
        <v>2.5</v>
      </c>
    </row>
    <row r="352" spans="21:40" ht="12.75" customHeight="1" x14ac:dyDescent="0.2">
      <c r="U352" s="376"/>
      <c r="V352" s="375"/>
      <c r="W352" s="360"/>
      <c r="X352" s="360"/>
      <c r="Y352" s="65"/>
      <c r="Z352" s="360"/>
      <c r="AA352" s="360"/>
      <c r="AB352" s="46"/>
      <c r="AC352" s="58">
        <v>2</v>
      </c>
      <c r="AD352" s="59">
        <v>11</v>
      </c>
      <c r="AE352" s="65"/>
      <c r="AF352" s="60">
        <f>I1Ext!$H$35+18*(100-I1Ext!$H$35)/30</f>
        <v>76</v>
      </c>
      <c r="AG352" s="61">
        <f t="shared" si="33"/>
        <v>70.099999999999994</v>
      </c>
      <c r="AH352" s="65"/>
      <c r="AI352" s="58">
        <v>2</v>
      </c>
      <c r="AJ352" s="59">
        <v>11</v>
      </c>
      <c r="AK352" s="65"/>
      <c r="AL352" s="60">
        <f>ROUNDDOWN(I1Ext!$H$30*AF352/500,1)*5</f>
        <v>30</v>
      </c>
      <c r="AM352" s="353">
        <f t="shared" si="35"/>
        <v>28.5</v>
      </c>
      <c r="AN352" s="63">
        <f t="shared" si="34"/>
        <v>2</v>
      </c>
    </row>
    <row r="353" spans="21:40" ht="12.75" customHeight="1" x14ac:dyDescent="0.2">
      <c r="U353" s="376"/>
      <c r="V353" s="375"/>
      <c r="W353" s="360"/>
      <c r="X353" s="360"/>
      <c r="Y353" s="65"/>
      <c r="Z353" s="360"/>
      <c r="AA353" s="360"/>
      <c r="AB353" s="46"/>
      <c r="AC353" s="81" t="s">
        <v>22</v>
      </c>
      <c r="AD353" s="69">
        <v>10</v>
      </c>
      <c r="AE353" s="70"/>
      <c r="AF353" s="82">
        <f>I1Ext!$H$35+15*(100-I1Ext!$H$35)/30</f>
        <v>70</v>
      </c>
      <c r="AG353" s="83">
        <f t="shared" si="33"/>
        <v>64.099999999999994</v>
      </c>
      <c r="AH353" s="65"/>
      <c r="AI353" s="81" t="s">
        <v>22</v>
      </c>
      <c r="AJ353" s="69">
        <v>10</v>
      </c>
      <c r="AK353" s="70"/>
      <c r="AL353" s="60">
        <f>ROUNDDOWN(I1Ext!$H$30*AF353/500,1)*5</f>
        <v>28</v>
      </c>
      <c r="AM353" s="353">
        <f t="shared" si="35"/>
        <v>26</v>
      </c>
      <c r="AN353" s="73">
        <f t="shared" si="34"/>
        <v>2.5</v>
      </c>
    </row>
    <row r="354" spans="21:40" ht="12.75" customHeight="1" x14ac:dyDescent="0.2">
      <c r="U354" s="376"/>
      <c r="V354" s="375"/>
      <c r="W354" s="360"/>
      <c r="X354" s="360"/>
      <c r="Y354" s="65"/>
      <c r="Z354" s="360"/>
      <c r="AA354" s="360"/>
      <c r="AB354" s="46"/>
      <c r="AC354" s="78" t="s">
        <v>50</v>
      </c>
      <c r="AD354" s="59">
        <v>9</v>
      </c>
      <c r="AE354" s="65"/>
      <c r="AF354" s="60">
        <f>I1Ext!$H$35+12*(100-I1Ext!$H$35)/30</f>
        <v>64</v>
      </c>
      <c r="AG354" s="61">
        <f t="shared" si="33"/>
        <v>60.1</v>
      </c>
      <c r="AH354" s="65"/>
      <c r="AI354" s="78" t="s">
        <v>50</v>
      </c>
      <c r="AJ354" s="59">
        <v>9</v>
      </c>
      <c r="AK354" s="65"/>
      <c r="AL354" s="60">
        <f>ROUNDDOWN(I1Ext!$H$30*AF354/500,1)*5</f>
        <v>25.5</v>
      </c>
      <c r="AM354" s="353">
        <f t="shared" si="35"/>
        <v>24.5</v>
      </c>
      <c r="AN354" s="63">
        <f t="shared" si="34"/>
        <v>1.5</v>
      </c>
    </row>
    <row r="355" spans="21:40" ht="12.75" customHeight="1" x14ac:dyDescent="0.2">
      <c r="U355" s="376"/>
      <c r="V355" s="375"/>
      <c r="W355" s="360"/>
      <c r="X355" s="360"/>
      <c r="Y355" s="65"/>
      <c r="Z355" s="360"/>
      <c r="AA355" s="360"/>
      <c r="AB355" s="46"/>
      <c r="AC355" s="58">
        <v>3</v>
      </c>
      <c r="AD355" s="59">
        <v>8</v>
      </c>
      <c r="AE355" s="65"/>
      <c r="AF355" s="60">
        <f>I1Ext!$H$35+10*(100-I1Ext!$H$35)/30</f>
        <v>60</v>
      </c>
      <c r="AG355" s="61">
        <f t="shared" si="33"/>
        <v>56.1</v>
      </c>
      <c r="AH355" s="65"/>
      <c r="AI355" s="58">
        <v>3</v>
      </c>
      <c r="AJ355" s="59">
        <v>8</v>
      </c>
      <c r="AK355" s="65"/>
      <c r="AL355" s="60">
        <f>ROUNDDOWN(I1Ext!$H$30*AF355/500,1)*5</f>
        <v>24</v>
      </c>
      <c r="AM355" s="353">
        <f t="shared" si="35"/>
        <v>22.5</v>
      </c>
      <c r="AN355" s="63">
        <f t="shared" si="34"/>
        <v>2</v>
      </c>
    </row>
    <row r="356" spans="21:40" ht="12.75" customHeight="1" x14ac:dyDescent="0.2">
      <c r="U356" s="376"/>
      <c r="V356" s="375"/>
      <c r="W356" s="360"/>
      <c r="X356" s="360"/>
      <c r="Y356" s="65"/>
      <c r="Z356" s="360"/>
      <c r="AA356" s="360"/>
      <c r="AB356" s="46"/>
      <c r="AC356" s="81" t="s">
        <v>22</v>
      </c>
      <c r="AD356" s="69">
        <v>7</v>
      </c>
      <c r="AE356" s="70"/>
      <c r="AF356" s="82">
        <f>I1Ext!$H$35+8*(100-I1Ext!$H$35)/30</f>
        <v>56</v>
      </c>
      <c r="AG356" s="83">
        <f t="shared" si="33"/>
        <v>52.1</v>
      </c>
      <c r="AH356" s="65"/>
      <c r="AI356" s="81" t="s">
        <v>22</v>
      </c>
      <c r="AJ356" s="69">
        <v>7</v>
      </c>
      <c r="AK356" s="70"/>
      <c r="AL356" s="60">
        <f>ROUNDDOWN(I1Ext!$H$30*AF356/500,1)*5</f>
        <v>22</v>
      </c>
      <c r="AM356" s="353">
        <f t="shared" si="35"/>
        <v>21</v>
      </c>
      <c r="AN356" s="73">
        <f t="shared" si="34"/>
        <v>1.5</v>
      </c>
    </row>
    <row r="357" spans="21:40" ht="12.75" customHeight="1" x14ac:dyDescent="0.2">
      <c r="U357" s="376"/>
      <c r="V357" s="375"/>
      <c r="W357" s="360"/>
      <c r="X357" s="360"/>
      <c r="Y357" s="65"/>
      <c r="Z357" s="360"/>
      <c r="AA357" s="360"/>
      <c r="AB357" s="46"/>
      <c r="AC357" s="78" t="s">
        <v>50</v>
      </c>
      <c r="AD357" s="59">
        <v>6</v>
      </c>
      <c r="AE357" s="65"/>
      <c r="AF357" s="60">
        <f>I1Ext!$H$35+6*(100-I1Ext!$H$35)/30</f>
        <v>52</v>
      </c>
      <c r="AG357" s="61">
        <f t="shared" si="33"/>
        <v>48.1</v>
      </c>
      <c r="AH357" s="65"/>
      <c r="AI357" s="78" t="s">
        <v>50</v>
      </c>
      <c r="AJ357" s="59">
        <v>6</v>
      </c>
      <c r="AK357" s="65"/>
      <c r="AL357" s="60">
        <f>ROUNDDOWN(I1Ext!$H$30*AF357/500,1)*5</f>
        <v>20.5</v>
      </c>
      <c r="AM357" s="353">
        <f t="shared" si="35"/>
        <v>19.5</v>
      </c>
      <c r="AN357" s="63">
        <f t="shared" si="34"/>
        <v>1.5</v>
      </c>
    </row>
    <row r="358" spans="21:40" ht="12.75" customHeight="1" x14ac:dyDescent="0.2">
      <c r="U358" s="376"/>
      <c r="V358" s="375"/>
      <c r="W358" s="360"/>
      <c r="X358" s="360"/>
      <c r="Y358" s="65"/>
      <c r="Z358" s="360"/>
      <c r="AA358" s="360"/>
      <c r="AB358" s="46"/>
      <c r="AC358" s="58">
        <v>4</v>
      </c>
      <c r="AD358" s="59">
        <v>5</v>
      </c>
      <c r="AE358" s="65"/>
      <c r="AF358" s="60">
        <f>I1Ext!$H$35+4*(100-I1Ext!$H$35)/30</f>
        <v>48</v>
      </c>
      <c r="AG358" s="61">
        <f t="shared" si="33"/>
        <v>44.1</v>
      </c>
      <c r="AH358" s="65"/>
      <c r="AI358" s="58">
        <v>4</v>
      </c>
      <c r="AJ358" s="59">
        <v>5</v>
      </c>
      <c r="AK358" s="65"/>
      <c r="AL358" s="60">
        <f>ROUNDDOWN(I1Ext!$H$30*AF358/500,1)*5</f>
        <v>19</v>
      </c>
      <c r="AM358" s="353">
        <f t="shared" si="35"/>
        <v>18</v>
      </c>
      <c r="AN358" s="63">
        <f t="shared" si="34"/>
        <v>1.5</v>
      </c>
    </row>
    <row r="359" spans="21:40" ht="12.75" customHeight="1" x14ac:dyDescent="0.2">
      <c r="U359" s="376"/>
      <c r="V359" s="375"/>
      <c r="W359" s="360"/>
      <c r="X359" s="360"/>
      <c r="Y359" s="65"/>
      <c r="Z359" s="360"/>
      <c r="AA359" s="360"/>
      <c r="AB359" s="46"/>
      <c r="AC359" s="81" t="s">
        <v>22</v>
      </c>
      <c r="AD359" s="69">
        <v>4</v>
      </c>
      <c r="AE359" s="70"/>
      <c r="AF359" s="82">
        <f>I1Ext!$H$35+2*(100-I1Ext!$H$35)/30</f>
        <v>44</v>
      </c>
      <c r="AG359" s="83">
        <f t="shared" si="33"/>
        <v>40.1</v>
      </c>
      <c r="AH359" s="65"/>
      <c r="AI359" s="81" t="s">
        <v>22</v>
      </c>
      <c r="AJ359" s="69">
        <v>4</v>
      </c>
      <c r="AK359" s="70"/>
      <c r="AL359" s="60">
        <f>ROUNDDOWN(I1Ext!$H$30*AF359/500,1)*5</f>
        <v>17.5</v>
      </c>
      <c r="AM359" s="353">
        <f t="shared" si="35"/>
        <v>16.5</v>
      </c>
      <c r="AN359" s="73">
        <f t="shared" si="34"/>
        <v>1.5</v>
      </c>
    </row>
    <row r="360" spans="21:40" ht="12.75" customHeight="1" x14ac:dyDescent="0.2">
      <c r="U360" s="376"/>
      <c r="V360" s="375"/>
      <c r="W360" s="360"/>
      <c r="X360" s="360"/>
      <c r="Y360" s="65"/>
      <c r="Z360" s="360"/>
      <c r="AA360" s="360"/>
      <c r="AB360" s="46"/>
      <c r="AC360" s="78" t="s">
        <v>50</v>
      </c>
      <c r="AD360" s="59">
        <v>3</v>
      </c>
      <c r="AE360" s="65"/>
      <c r="AF360" s="60">
        <f>I1Ext!$H$35</f>
        <v>40</v>
      </c>
      <c r="AG360" s="61">
        <f>AF361+0.01</f>
        <v>33.343333333333334</v>
      </c>
      <c r="AH360" s="65"/>
      <c r="AI360" s="78" t="s">
        <v>50</v>
      </c>
      <c r="AJ360" s="59">
        <v>3</v>
      </c>
      <c r="AK360" s="65"/>
      <c r="AL360" s="60">
        <f>ROUNDDOWN(I1Ext!$H$30*AF360/500,1)*5</f>
        <v>16</v>
      </c>
      <c r="AM360" s="353">
        <f t="shared" si="35"/>
        <v>13.5</v>
      </c>
      <c r="AN360" s="63">
        <f t="shared" si="34"/>
        <v>3</v>
      </c>
    </row>
    <row r="361" spans="21:40" ht="12.75" customHeight="1" x14ac:dyDescent="0.2">
      <c r="U361" s="376"/>
      <c r="V361" s="375"/>
      <c r="W361" s="360"/>
      <c r="X361" s="360"/>
      <c r="Y361" s="65"/>
      <c r="Z361" s="360"/>
      <c r="AA361" s="360"/>
      <c r="AB361" s="46"/>
      <c r="AC361" s="58">
        <v>5</v>
      </c>
      <c r="AD361" s="59">
        <v>2</v>
      </c>
      <c r="AE361" s="65"/>
      <c r="AF361" s="60">
        <f>AG362+2*(AF360-AG362)/3</f>
        <v>33.333333333333336</v>
      </c>
      <c r="AG361" s="61">
        <f>AF362+0.01</f>
        <v>26.676666666666669</v>
      </c>
      <c r="AH361" s="65"/>
      <c r="AI361" s="58">
        <v>5</v>
      </c>
      <c r="AJ361" s="59">
        <v>2</v>
      </c>
      <c r="AK361" s="65"/>
      <c r="AL361" s="60">
        <f>ROUNDDOWN(I1Ext!$H$30*AF361/500,1)*5</f>
        <v>13</v>
      </c>
      <c r="AM361" s="353">
        <f t="shared" si="35"/>
        <v>11</v>
      </c>
      <c r="AN361" s="63">
        <f t="shared" si="34"/>
        <v>2.5</v>
      </c>
    </row>
    <row r="362" spans="21:40" ht="12.75" customHeight="1" x14ac:dyDescent="0.2">
      <c r="U362" s="376"/>
      <c r="V362" s="375"/>
      <c r="W362" s="360"/>
      <c r="X362" s="375"/>
      <c r="Y362" s="65"/>
      <c r="Z362" s="360"/>
      <c r="AA362" s="360"/>
      <c r="AB362" s="46"/>
      <c r="AC362" s="81" t="s">
        <v>22</v>
      </c>
      <c r="AD362" s="69">
        <v>1</v>
      </c>
      <c r="AE362" s="70"/>
      <c r="AF362" s="82">
        <f>AG362+(AF360-AG362)/3</f>
        <v>26.666666666666668</v>
      </c>
      <c r="AG362" s="83">
        <f>I1Ext!$H$34</f>
        <v>20</v>
      </c>
      <c r="AH362" s="65"/>
      <c r="AI362" s="81" t="s">
        <v>22</v>
      </c>
      <c r="AJ362" s="69">
        <v>1</v>
      </c>
      <c r="AK362" s="70"/>
      <c r="AL362" s="60">
        <f>ROUNDDOWN(I1Ext!$H$30*AF362/500,1)*5</f>
        <v>10.5</v>
      </c>
      <c r="AM362" s="361">
        <f>ROUNDUP(I1Ext!$H$30*(I1Ext!$H$34/500),1)*5</f>
        <v>8</v>
      </c>
      <c r="AN362" s="73">
        <f t="shared" si="34"/>
        <v>3</v>
      </c>
    </row>
    <row r="363" spans="21:40" ht="12.75" customHeight="1" thickBot="1" x14ac:dyDescent="0.25">
      <c r="U363" s="375"/>
      <c r="V363" s="375"/>
      <c r="W363" s="360"/>
      <c r="X363" s="360"/>
      <c r="Y363" s="65"/>
      <c r="Z363" s="360"/>
      <c r="AA363" s="360"/>
      <c r="AB363" s="46"/>
      <c r="AC363" s="89">
        <v>6</v>
      </c>
      <c r="AD363" s="90">
        <v>0</v>
      </c>
      <c r="AE363" s="91"/>
      <c r="AF363" s="96">
        <f>I1Ext!$H$34-0.1</f>
        <v>19.899999999999999</v>
      </c>
      <c r="AG363" s="97">
        <v>0</v>
      </c>
      <c r="AH363" s="65"/>
      <c r="AI363" s="89">
        <v>6</v>
      </c>
      <c r="AJ363" s="90">
        <v>0</v>
      </c>
      <c r="AK363" s="91"/>
      <c r="AL363" s="96">
        <f>AM362-0.5</f>
        <v>7.5</v>
      </c>
      <c r="AM363" s="362">
        <v>0</v>
      </c>
      <c r="AN363" s="94">
        <f>IF(AM363&gt;AM362,"ALARM",AL363)</f>
        <v>7.5</v>
      </c>
    </row>
    <row r="364" spans="21:40" ht="12.75" customHeight="1" x14ac:dyDescent="0.2"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401" spans="20:40" ht="12.75" customHeight="1" thickBot="1" x14ac:dyDescent="0.25"/>
    <row r="402" spans="20:40" ht="12.75" customHeight="1" x14ac:dyDescent="0.2">
      <c r="T402" s="177" t="s">
        <v>72</v>
      </c>
      <c r="U402" s="47"/>
      <c r="V402" s="48"/>
      <c r="W402" s="455" t="s">
        <v>39</v>
      </c>
      <c r="X402" s="456"/>
      <c r="Y402" s="465" t="s">
        <v>32</v>
      </c>
      <c r="Z402" s="463" t="s">
        <v>40</v>
      </c>
      <c r="AA402" s="464"/>
      <c r="AB402" s="46"/>
      <c r="AC402" s="49" t="s">
        <v>17</v>
      </c>
      <c r="AD402" s="50" t="s">
        <v>32</v>
      </c>
      <c r="AE402" s="51"/>
      <c r="AF402" s="461" t="s">
        <v>41</v>
      </c>
      <c r="AG402" s="462"/>
      <c r="AH402" s="52"/>
      <c r="AI402" s="49" t="s">
        <v>17</v>
      </c>
      <c r="AJ402" s="50" t="s">
        <v>32</v>
      </c>
      <c r="AK402" s="53"/>
      <c r="AL402" s="452" t="s">
        <v>42</v>
      </c>
      <c r="AM402" s="453"/>
      <c r="AN402" s="54" t="s">
        <v>43</v>
      </c>
    </row>
    <row r="403" spans="20:40" ht="12.75" customHeight="1" x14ac:dyDescent="0.2">
      <c r="U403" s="55" t="s">
        <v>44</v>
      </c>
      <c r="V403" s="41" t="s">
        <v>43</v>
      </c>
      <c r="W403" s="457" t="s">
        <v>42</v>
      </c>
      <c r="X403" s="458"/>
      <c r="Y403" s="466"/>
      <c r="Z403" s="459" t="s">
        <v>45</v>
      </c>
      <c r="AA403" s="460"/>
      <c r="AB403" s="46"/>
      <c r="AC403" s="58"/>
      <c r="AD403" s="59"/>
      <c r="AE403" s="57"/>
      <c r="AF403" s="60" t="s">
        <v>46</v>
      </c>
      <c r="AG403" s="61" t="s">
        <v>47</v>
      </c>
      <c r="AH403" s="52"/>
      <c r="AI403" s="58"/>
      <c r="AJ403" s="59"/>
      <c r="AK403" s="57"/>
      <c r="AL403" s="57" t="s">
        <v>46</v>
      </c>
      <c r="AM403" s="62" t="s">
        <v>47</v>
      </c>
      <c r="AN403" s="63"/>
    </row>
    <row r="404" spans="20:40" ht="12.75" customHeight="1" x14ac:dyDescent="0.2">
      <c r="U404" s="64" t="s">
        <v>48</v>
      </c>
      <c r="V404" s="41" t="s">
        <v>39</v>
      </c>
      <c r="W404" s="56" t="s">
        <v>46</v>
      </c>
      <c r="X404" s="57" t="s">
        <v>47</v>
      </c>
      <c r="Y404" s="466"/>
      <c r="Z404" s="459" t="s">
        <v>49</v>
      </c>
      <c r="AA404" s="460"/>
      <c r="AB404" s="65"/>
      <c r="AC404" s="58"/>
      <c r="AD404" s="59"/>
      <c r="AE404" s="65"/>
      <c r="AF404" s="66"/>
      <c r="AG404" s="67"/>
      <c r="AH404" s="65"/>
      <c r="AI404" s="68"/>
      <c r="AJ404" s="69"/>
      <c r="AK404" s="70"/>
      <c r="AL404" s="71"/>
      <c r="AM404" s="72"/>
      <c r="AN404" s="73"/>
    </row>
    <row r="405" spans="20:40" ht="12.75" customHeight="1" x14ac:dyDescent="0.2">
      <c r="U405" s="74"/>
      <c r="V405" s="42"/>
      <c r="W405" s="75"/>
      <c r="X405" s="71"/>
      <c r="Y405" s="467"/>
      <c r="Z405" s="115"/>
      <c r="AA405" s="63"/>
      <c r="AB405" s="65"/>
      <c r="AC405" s="68"/>
      <c r="AD405" s="69"/>
      <c r="AE405" s="70"/>
      <c r="AF405" s="76"/>
      <c r="AG405" s="77"/>
      <c r="AH405" s="65"/>
      <c r="AI405" s="78" t="s">
        <v>50</v>
      </c>
      <c r="AJ405" s="59">
        <v>15</v>
      </c>
      <c r="AK405" s="65"/>
      <c r="AL405" s="60">
        <f>I2Ext!$H$30</f>
        <v>40</v>
      </c>
      <c r="AM405" s="353">
        <f>AL406+0.5</f>
        <v>38.5</v>
      </c>
      <c r="AN405" s="63">
        <f t="shared" ref="AN405:AN419" si="36">IF(AM405&gt;AL405,"ALARM",AL405-AL406)</f>
        <v>2</v>
      </c>
    </row>
    <row r="406" spans="20:40" ht="12.75" customHeight="1" x14ac:dyDescent="0.2">
      <c r="U406" s="108">
        <f>+I2Ext!A43</f>
        <v>0</v>
      </c>
      <c r="V406" s="110">
        <f>IF(I2Ext!$H$32="M",AN405+U406,AN448+U406)</f>
        <v>2</v>
      </c>
      <c r="W406" s="380">
        <f>I2Ext!$H$30</f>
        <v>40</v>
      </c>
      <c r="X406" s="353">
        <f>W407+0.5</f>
        <v>38.5</v>
      </c>
      <c r="Y406" s="56">
        <v>15</v>
      </c>
      <c r="Z406" s="117" t="str">
        <f>IF(ABS(IF(I2Ext!$H$32="M",AL405-W406,AL448-W406))&gt;1,"ALARM"," ")</f>
        <v xml:space="preserve"> </v>
      </c>
      <c r="AA406" s="114" t="str">
        <f>IF(ABS(IF(I2Ext!$H$32="M",AM405-X406,AM448-X406))&gt;1,"ALARM"," ")</f>
        <v xml:space="preserve"> </v>
      </c>
      <c r="AB406" s="65"/>
      <c r="AC406" s="78" t="s">
        <v>50</v>
      </c>
      <c r="AD406" s="59">
        <v>15</v>
      </c>
      <c r="AE406" s="65"/>
      <c r="AF406" s="60">
        <f>I2Ext!$H$35+12*(100-I2Ext!$H$35)/12</f>
        <v>100</v>
      </c>
      <c r="AG406" s="61">
        <f t="shared" ref="AG406:AG417" si="37">AF407+0.1</f>
        <v>95.1</v>
      </c>
      <c r="AH406" s="65"/>
      <c r="AI406" s="58">
        <v>1</v>
      </c>
      <c r="AJ406" s="59">
        <v>14</v>
      </c>
      <c r="AK406" s="65"/>
      <c r="AL406" s="60">
        <f>ROUNDDOWN(I2Ext!$H$30*AF407/500,1)*5</f>
        <v>38</v>
      </c>
      <c r="AM406" s="353">
        <f t="shared" ref="AM406:AM418" si="38">AL407+0.5</f>
        <v>36.5</v>
      </c>
      <c r="AN406" s="63">
        <f t="shared" si="36"/>
        <v>2</v>
      </c>
    </row>
    <row r="407" spans="20:40" ht="12.75" customHeight="1" x14ac:dyDescent="0.2">
      <c r="U407" s="108">
        <f>+I2Ext!A44</f>
        <v>0</v>
      </c>
      <c r="V407" s="111">
        <f>IF(I2Ext!$H$32="M",AN406+U407,AN449+U407)</f>
        <v>2</v>
      </c>
      <c r="W407" s="380">
        <f t="shared" ref="W407:W421" si="39">W406-V406</f>
        <v>38</v>
      </c>
      <c r="X407" s="353">
        <f t="shared" ref="X407:X420" si="40">W408+0.5</f>
        <v>36.5</v>
      </c>
      <c r="Y407" s="56">
        <v>14</v>
      </c>
      <c r="Z407" s="115" t="str">
        <f>IF(ABS(IF(I2Ext!$H$32="M",AL406-W407,AL449-W407))&gt;1,"ALARM"," ")</f>
        <v xml:space="preserve"> </v>
      </c>
      <c r="AA407" s="63" t="str">
        <f>IF(ABS(IF(I2Ext!$H$32="M",AM406-X407,AM449-X407))&gt;1,"ALARM"," ")</f>
        <v xml:space="preserve"> </v>
      </c>
      <c r="AB407" s="65"/>
      <c r="AC407" s="58">
        <v>1</v>
      </c>
      <c r="AD407" s="59">
        <v>14</v>
      </c>
      <c r="AE407" s="65"/>
      <c r="AF407" s="60">
        <f>I2Ext!$H$35+11*(100-I2Ext!$H$35)/12</f>
        <v>95</v>
      </c>
      <c r="AG407" s="61">
        <f t="shared" si="37"/>
        <v>90.1</v>
      </c>
      <c r="AH407" s="65"/>
      <c r="AI407" s="81" t="s">
        <v>22</v>
      </c>
      <c r="AJ407" s="69">
        <v>13</v>
      </c>
      <c r="AK407" s="70"/>
      <c r="AL407" s="60">
        <f>ROUNDDOWN(I2Ext!$H$30*AF408/500,1)*5</f>
        <v>36</v>
      </c>
      <c r="AM407" s="353">
        <f t="shared" si="38"/>
        <v>34.5</v>
      </c>
      <c r="AN407" s="73">
        <f t="shared" si="36"/>
        <v>2</v>
      </c>
    </row>
    <row r="408" spans="20:40" ht="12.75" customHeight="1" x14ac:dyDescent="0.2">
      <c r="U408" s="108">
        <f>+I2Ext!A45</f>
        <v>0</v>
      </c>
      <c r="V408" s="111">
        <f>IF(I2Ext!$H$32="M",AN407+U408,AN450+U408)</f>
        <v>2</v>
      </c>
      <c r="W408" s="381">
        <f t="shared" si="39"/>
        <v>36</v>
      </c>
      <c r="X408" s="353">
        <f t="shared" si="40"/>
        <v>34.5</v>
      </c>
      <c r="Y408" s="75">
        <v>13</v>
      </c>
      <c r="Z408" s="118" t="str">
        <f>IF(ABS(IF(I2Ext!$H$32="M",AL407-W408,AL450-W408))&gt;1,"ALARM"," ")</f>
        <v xml:space="preserve"> </v>
      </c>
      <c r="AA408" s="73" t="str">
        <f>IF(ABS(IF(I2Ext!$H$32="M",AM407-X408,AM450-X408))&gt;1,"ALARM"," ")</f>
        <v xml:space="preserve"> </v>
      </c>
      <c r="AB408" s="65"/>
      <c r="AC408" s="81" t="s">
        <v>22</v>
      </c>
      <c r="AD408" s="69">
        <v>13</v>
      </c>
      <c r="AE408" s="70"/>
      <c r="AF408" s="82">
        <f>I2Ext!$H$35+10*(100-I2Ext!$H$35)/12</f>
        <v>90</v>
      </c>
      <c r="AG408" s="83">
        <f t="shared" si="37"/>
        <v>85.1</v>
      </c>
      <c r="AH408" s="65"/>
      <c r="AI408" s="78" t="s">
        <v>50</v>
      </c>
      <c r="AJ408" s="59">
        <v>12</v>
      </c>
      <c r="AK408" s="65"/>
      <c r="AL408" s="60">
        <f>ROUNDDOWN(I2Ext!$H$30*AF409/500,1)*5</f>
        <v>34</v>
      </c>
      <c r="AM408" s="353">
        <f t="shared" si="38"/>
        <v>32.5</v>
      </c>
      <c r="AN408" s="63">
        <f t="shared" si="36"/>
        <v>2</v>
      </c>
    </row>
    <row r="409" spans="20:40" ht="12.75" customHeight="1" x14ac:dyDescent="0.2">
      <c r="U409" s="108">
        <f>+I2Ext!A46</f>
        <v>0</v>
      </c>
      <c r="V409" s="110">
        <f>IF(I2Ext!$H$32="M",AN408+U409,AN451+U409)</f>
        <v>2</v>
      </c>
      <c r="W409" s="380">
        <f t="shared" si="39"/>
        <v>34</v>
      </c>
      <c r="X409" s="353">
        <f t="shared" si="40"/>
        <v>32.5</v>
      </c>
      <c r="Y409" s="56">
        <v>12</v>
      </c>
      <c r="Z409" s="115" t="str">
        <f>IF(ABS(IF(I2Ext!$H$32="M",AL408-W409,AL451-W409))&gt;1,"ALARM"," ")</f>
        <v xml:space="preserve"> </v>
      </c>
      <c r="AA409" s="63" t="str">
        <f>IF(ABS(IF(I2Ext!$H$32="M",AM408-X409,AM451-X409))&gt;1,"ALARM"," ")</f>
        <v xml:space="preserve"> </v>
      </c>
      <c r="AB409" s="65"/>
      <c r="AC409" s="78" t="s">
        <v>50</v>
      </c>
      <c r="AD409" s="59">
        <v>12</v>
      </c>
      <c r="AE409" s="65"/>
      <c r="AF409" s="60">
        <f>I2Ext!$H$35+9*(100-I2Ext!$H$35)/12</f>
        <v>85</v>
      </c>
      <c r="AG409" s="61">
        <f t="shared" si="37"/>
        <v>80.099999999999994</v>
      </c>
      <c r="AH409" s="65"/>
      <c r="AI409" s="58">
        <v>2</v>
      </c>
      <c r="AJ409" s="59">
        <v>11</v>
      </c>
      <c r="AK409" s="65"/>
      <c r="AL409" s="60">
        <f>ROUNDDOWN(I2Ext!$H$30*AF410/500,1)*5</f>
        <v>32</v>
      </c>
      <c r="AM409" s="353">
        <f t="shared" si="38"/>
        <v>30.5</v>
      </c>
      <c r="AN409" s="63">
        <f t="shared" si="36"/>
        <v>2</v>
      </c>
    </row>
    <row r="410" spans="20:40" ht="12.75" customHeight="1" x14ac:dyDescent="0.2">
      <c r="U410" s="108">
        <f>+I2Ext!A47</f>
        <v>0</v>
      </c>
      <c r="V410" s="111">
        <f>IF(I2Ext!$H$32="M",AN409+U410,AN452+U410)</f>
        <v>2</v>
      </c>
      <c r="W410" s="380">
        <f t="shared" si="39"/>
        <v>32</v>
      </c>
      <c r="X410" s="353">
        <f t="shared" si="40"/>
        <v>30.5</v>
      </c>
      <c r="Y410" s="56">
        <v>11</v>
      </c>
      <c r="Z410" s="115" t="str">
        <f>IF(ABS(IF(I2Ext!$H$32="M",AL409-W410,AL452-W410))&gt;1,"ALARM"," ")</f>
        <v xml:space="preserve"> </v>
      </c>
      <c r="AA410" s="63" t="str">
        <f>IF(ABS(IF(I2Ext!$H$32="M",AM409-X410,AM452-X410))&gt;1,"ALARM"," ")</f>
        <v xml:space="preserve"> </v>
      </c>
      <c r="AB410" s="65"/>
      <c r="AC410" s="58">
        <v>2</v>
      </c>
      <c r="AD410" s="59">
        <v>11</v>
      </c>
      <c r="AE410" s="65"/>
      <c r="AF410" s="60">
        <f>I2Ext!$H$35+8*(100-I2Ext!$H$35)/12</f>
        <v>80</v>
      </c>
      <c r="AG410" s="61">
        <f t="shared" si="37"/>
        <v>75.099999999999994</v>
      </c>
      <c r="AH410" s="65"/>
      <c r="AI410" s="81" t="s">
        <v>22</v>
      </c>
      <c r="AJ410" s="69">
        <v>10</v>
      </c>
      <c r="AK410" s="70"/>
      <c r="AL410" s="60">
        <f>ROUNDDOWN(I2Ext!$H$30*AF411/500,1)*5</f>
        <v>30</v>
      </c>
      <c r="AM410" s="353">
        <f t="shared" si="38"/>
        <v>28.5</v>
      </c>
      <c r="AN410" s="73">
        <f t="shared" si="36"/>
        <v>2</v>
      </c>
    </row>
    <row r="411" spans="20:40" ht="12.75" customHeight="1" x14ac:dyDescent="0.2">
      <c r="U411" s="108">
        <f>+I2Ext!A48</f>
        <v>0</v>
      </c>
      <c r="V411" s="113">
        <f>IF(I2Ext!$H$32="M",AN410+U411,AN453+U411)</f>
        <v>2</v>
      </c>
      <c r="W411" s="381">
        <f t="shared" si="39"/>
        <v>30</v>
      </c>
      <c r="X411" s="353">
        <f t="shared" si="40"/>
        <v>28.5</v>
      </c>
      <c r="Y411" s="75">
        <v>10</v>
      </c>
      <c r="Z411" s="115" t="str">
        <f>IF(ABS(IF(I2Ext!$H$32="M",AL410-W411,AL453-W411))&gt;1,"ALARM"," ")</f>
        <v xml:space="preserve"> </v>
      </c>
      <c r="AA411" s="63" t="str">
        <f>IF(ABS(IF(I2Ext!$H$32="M",AM410-X411,AM453-X411))&gt;1,"ALARM"," ")</f>
        <v xml:space="preserve"> </v>
      </c>
      <c r="AB411" s="65"/>
      <c r="AC411" s="81" t="s">
        <v>22</v>
      </c>
      <c r="AD411" s="69">
        <v>10</v>
      </c>
      <c r="AE411" s="70"/>
      <c r="AF411" s="82">
        <f>I2Ext!$H$35+7*(100-I2Ext!$H$35)/12</f>
        <v>75</v>
      </c>
      <c r="AG411" s="83">
        <f t="shared" si="37"/>
        <v>70.099999999999994</v>
      </c>
      <c r="AH411" s="65"/>
      <c r="AI411" s="78" t="s">
        <v>50</v>
      </c>
      <c r="AJ411" s="59">
        <v>9</v>
      </c>
      <c r="AK411" s="65"/>
      <c r="AL411" s="60">
        <f>ROUNDDOWN(I2Ext!$H$30*AF412/500,1)*5</f>
        <v>28</v>
      </c>
      <c r="AM411" s="353">
        <f t="shared" si="38"/>
        <v>26.5</v>
      </c>
      <c r="AN411" s="63">
        <f t="shared" si="36"/>
        <v>2</v>
      </c>
    </row>
    <row r="412" spans="20:40" ht="12.75" customHeight="1" x14ac:dyDescent="0.2">
      <c r="U412" s="108">
        <f>+I2Ext!A49</f>
        <v>0</v>
      </c>
      <c r="V412" s="111">
        <f>IF(I2Ext!$H$32="M",AN411+U412,AN454+U412)</f>
        <v>2</v>
      </c>
      <c r="W412" s="380">
        <f t="shared" si="39"/>
        <v>28</v>
      </c>
      <c r="X412" s="353">
        <f t="shared" si="40"/>
        <v>26.5</v>
      </c>
      <c r="Y412" s="56">
        <v>9</v>
      </c>
      <c r="Z412" s="117" t="str">
        <f>IF(ABS(IF(I2Ext!$H$32="M",AL411-W412,AL454-W412))&gt;1,"ALARM"," ")</f>
        <v xml:space="preserve"> </v>
      </c>
      <c r="AA412" s="114" t="str">
        <f>IF(ABS(IF(I2Ext!$H$32="M",AM411-X412,AM454-X412))&gt;1,"ALARM"," ")</f>
        <v xml:space="preserve"> </v>
      </c>
      <c r="AB412" s="65"/>
      <c r="AC412" s="78" t="s">
        <v>50</v>
      </c>
      <c r="AD412" s="59">
        <v>9</v>
      </c>
      <c r="AE412" s="65"/>
      <c r="AF412" s="60">
        <f>I2Ext!$H$35+6*(100-I2Ext!$H$35)/12</f>
        <v>70</v>
      </c>
      <c r="AG412" s="61">
        <f t="shared" si="37"/>
        <v>65.099999999999994</v>
      </c>
      <c r="AH412" s="65"/>
      <c r="AI412" s="58">
        <v>3</v>
      </c>
      <c r="AJ412" s="59">
        <v>8</v>
      </c>
      <c r="AK412" s="65"/>
      <c r="AL412" s="60">
        <f>ROUNDDOWN(I2Ext!$H$30*AF413/500,1)*5</f>
        <v>26</v>
      </c>
      <c r="AM412" s="353">
        <f t="shared" si="38"/>
        <v>24.5</v>
      </c>
      <c r="AN412" s="63">
        <f t="shared" si="36"/>
        <v>2</v>
      </c>
    </row>
    <row r="413" spans="20:40" ht="12.75" customHeight="1" x14ac:dyDescent="0.2">
      <c r="U413" s="108">
        <f>+I2Ext!A50</f>
        <v>0</v>
      </c>
      <c r="V413" s="111">
        <f>IF(I2Ext!$H$32="M",AN412+U413,AN455+U413)</f>
        <v>2</v>
      </c>
      <c r="W413" s="380">
        <f t="shared" si="39"/>
        <v>26</v>
      </c>
      <c r="X413" s="353">
        <f t="shared" si="40"/>
        <v>24.5</v>
      </c>
      <c r="Y413" s="56">
        <v>8</v>
      </c>
      <c r="Z413" s="115" t="str">
        <f>IF(ABS(IF(I2Ext!$H$32="M",AL412-W413,AL455-W413))&gt;1,"ALARM"," ")</f>
        <v xml:space="preserve"> </v>
      </c>
      <c r="AA413" s="63" t="str">
        <f>IF(ABS(IF(I2Ext!$H$32="M",AM412-X413,AM455-X413))&gt;1,"ALARM"," ")</f>
        <v xml:space="preserve"> </v>
      </c>
      <c r="AB413" s="65"/>
      <c r="AC413" s="58">
        <v>3</v>
      </c>
      <c r="AD413" s="59">
        <v>8</v>
      </c>
      <c r="AE413" s="65"/>
      <c r="AF413" s="60">
        <f>I2Ext!$H$35+5*(100-I2Ext!$H$35)/12</f>
        <v>65</v>
      </c>
      <c r="AG413" s="61">
        <f t="shared" si="37"/>
        <v>60.1</v>
      </c>
      <c r="AH413" s="65"/>
      <c r="AI413" s="81" t="s">
        <v>22</v>
      </c>
      <c r="AJ413" s="69">
        <v>7</v>
      </c>
      <c r="AK413" s="70"/>
      <c r="AL413" s="60">
        <f>ROUNDDOWN(I2Ext!$H$30*AF414/500,1)*5</f>
        <v>24</v>
      </c>
      <c r="AM413" s="353">
        <f t="shared" si="38"/>
        <v>22.5</v>
      </c>
      <c r="AN413" s="73">
        <f t="shared" si="36"/>
        <v>2</v>
      </c>
    </row>
    <row r="414" spans="20:40" ht="12.75" customHeight="1" x14ac:dyDescent="0.2">
      <c r="U414" s="108">
        <f>+I2Ext!A51</f>
        <v>0</v>
      </c>
      <c r="V414" s="111">
        <f>IF(I2Ext!$H$32="M",AN413+U414,AN456+U414)</f>
        <v>2</v>
      </c>
      <c r="W414" s="381">
        <f t="shared" si="39"/>
        <v>24</v>
      </c>
      <c r="X414" s="353">
        <f t="shared" si="40"/>
        <v>22.5</v>
      </c>
      <c r="Y414" s="75">
        <v>7</v>
      </c>
      <c r="Z414" s="118" t="str">
        <f>IF(ABS(IF(I2Ext!$H$32="M",AL413-W414,AL456-W414))&gt;1,"ALARM"," ")</f>
        <v xml:space="preserve"> </v>
      </c>
      <c r="AA414" s="73" t="str">
        <f>IF(ABS(IF(I2Ext!$H$32="M",AM413-X414,AM456-X414))&gt;1,"ALARM"," ")</f>
        <v xml:space="preserve"> </v>
      </c>
      <c r="AB414" s="65"/>
      <c r="AC414" s="81" t="s">
        <v>22</v>
      </c>
      <c r="AD414" s="69">
        <v>7</v>
      </c>
      <c r="AE414" s="70"/>
      <c r="AF414" s="82">
        <f>I2Ext!$H$35+4*(100-I2Ext!$H$35)/12</f>
        <v>60</v>
      </c>
      <c r="AG414" s="83">
        <f t="shared" si="37"/>
        <v>55.1</v>
      </c>
      <c r="AH414" s="65"/>
      <c r="AI414" s="78" t="s">
        <v>50</v>
      </c>
      <c r="AJ414" s="59">
        <v>6</v>
      </c>
      <c r="AK414" s="65"/>
      <c r="AL414" s="60">
        <f>ROUNDDOWN(I2Ext!$H$30*AF415/500,1)*5</f>
        <v>22</v>
      </c>
      <c r="AM414" s="353">
        <f t="shared" si="38"/>
        <v>20.5</v>
      </c>
      <c r="AN414" s="63">
        <f t="shared" si="36"/>
        <v>2</v>
      </c>
    </row>
    <row r="415" spans="20:40" ht="12.75" customHeight="1" x14ac:dyDescent="0.2">
      <c r="U415" s="108">
        <f>+I2Ext!A52</f>
        <v>0</v>
      </c>
      <c r="V415" s="110">
        <f>IF(I2Ext!$H$32="M",AN414+U415,AN457+U415)</f>
        <v>2</v>
      </c>
      <c r="W415" s="380">
        <f t="shared" si="39"/>
        <v>22</v>
      </c>
      <c r="X415" s="353">
        <f t="shared" si="40"/>
        <v>20.5</v>
      </c>
      <c r="Y415" s="56">
        <v>6</v>
      </c>
      <c r="Z415" s="115" t="str">
        <f>IF(ABS(IF(I2Ext!$H$32="M",AL414-W415,AL457-W415))&gt;1,"ALARM"," ")</f>
        <v xml:space="preserve"> </v>
      </c>
      <c r="AA415" s="63" t="str">
        <f>IF(ABS(IF(I2Ext!$H$32="M",AM414-X415,AM457-X415))&gt;1,"ALARM"," ")</f>
        <v xml:space="preserve"> </v>
      </c>
      <c r="AB415" s="65"/>
      <c r="AC415" s="78" t="s">
        <v>50</v>
      </c>
      <c r="AD415" s="59">
        <v>6</v>
      </c>
      <c r="AE415" s="65"/>
      <c r="AF415" s="60">
        <f>I2Ext!$H$35+3*(100-I2Ext!$H$35)/12</f>
        <v>55</v>
      </c>
      <c r="AG415" s="61">
        <f t="shared" si="37"/>
        <v>50.1</v>
      </c>
      <c r="AH415" s="65"/>
      <c r="AI415" s="58">
        <v>4</v>
      </c>
      <c r="AJ415" s="59">
        <v>5</v>
      </c>
      <c r="AK415" s="65"/>
      <c r="AL415" s="60">
        <f>ROUNDDOWN(I2Ext!$H$30*AF416/500,1)*5</f>
        <v>20</v>
      </c>
      <c r="AM415" s="353">
        <f t="shared" si="38"/>
        <v>18.5</v>
      </c>
      <c r="AN415" s="63">
        <f t="shared" si="36"/>
        <v>2</v>
      </c>
    </row>
    <row r="416" spans="20:40" ht="12.75" customHeight="1" x14ac:dyDescent="0.2">
      <c r="U416" s="108">
        <f>+I2Ext!A53</f>
        <v>0</v>
      </c>
      <c r="V416" s="111">
        <f>IF(I2Ext!$H$32="M",AN415+U416,AN458+U416)</f>
        <v>2</v>
      </c>
      <c r="W416" s="380">
        <f t="shared" si="39"/>
        <v>20</v>
      </c>
      <c r="X416" s="353">
        <f t="shared" si="40"/>
        <v>18.5</v>
      </c>
      <c r="Y416" s="56">
        <v>5</v>
      </c>
      <c r="Z416" s="115" t="str">
        <f>IF(ABS(IF(I2Ext!$H$32="M",AL415-W416,AL458-W416))&gt;1,"ALARM"," ")</f>
        <v xml:space="preserve"> </v>
      </c>
      <c r="AA416" s="63" t="str">
        <f>IF(ABS(IF(I2Ext!$H$32="M",AM415-X416,AM458-X416))&gt;1,"ALARM"," ")</f>
        <v xml:space="preserve"> </v>
      </c>
      <c r="AB416" s="65"/>
      <c r="AC416" s="58">
        <v>4</v>
      </c>
      <c r="AD416" s="59">
        <v>5</v>
      </c>
      <c r="AE416" s="65"/>
      <c r="AF416" s="60">
        <f>I2Ext!$H$35+2*(100-I2Ext!$H$35)/12</f>
        <v>50</v>
      </c>
      <c r="AG416" s="61">
        <f t="shared" si="37"/>
        <v>45.1</v>
      </c>
      <c r="AH416" s="65"/>
      <c r="AI416" s="81" t="s">
        <v>22</v>
      </c>
      <c r="AJ416" s="69">
        <v>4</v>
      </c>
      <c r="AK416" s="70"/>
      <c r="AL416" s="60">
        <f>ROUNDDOWN(I2Ext!$H$30*AF417/500,1)*5</f>
        <v>18</v>
      </c>
      <c r="AM416" s="353">
        <f t="shared" si="38"/>
        <v>16.5</v>
      </c>
      <c r="AN416" s="73">
        <f t="shared" si="36"/>
        <v>2</v>
      </c>
    </row>
    <row r="417" spans="21:40" ht="12.75" customHeight="1" x14ac:dyDescent="0.2">
      <c r="U417" s="108">
        <f>+I2Ext!A54</f>
        <v>0</v>
      </c>
      <c r="V417" s="113">
        <f>IF(I2Ext!$H$32="M",AN416+U417,AN459+U417)</f>
        <v>2</v>
      </c>
      <c r="W417" s="381">
        <f t="shared" si="39"/>
        <v>18</v>
      </c>
      <c r="X417" s="353">
        <f t="shared" si="40"/>
        <v>16.5</v>
      </c>
      <c r="Y417" s="75">
        <v>4</v>
      </c>
      <c r="Z417" s="115" t="str">
        <f>IF(ABS(IF(I2Ext!$H$32="M",AL416-W417,AL459-W417))&gt;1,"ALARM"," ")</f>
        <v xml:space="preserve"> </v>
      </c>
      <c r="AA417" s="63" t="str">
        <f>IF(ABS(IF(I2Ext!$H$32="M",AM416-X417,AM459-X417))&gt;1,"ALARM"," ")</f>
        <v xml:space="preserve"> </v>
      </c>
      <c r="AB417" s="65"/>
      <c r="AC417" s="81" t="s">
        <v>22</v>
      </c>
      <c r="AD417" s="69">
        <v>4</v>
      </c>
      <c r="AE417" s="70"/>
      <c r="AF417" s="82">
        <f>I2Ext!$H$35+1*(100-I2Ext!$H$35)/12</f>
        <v>45</v>
      </c>
      <c r="AG417" s="83">
        <f t="shared" si="37"/>
        <v>40.1</v>
      </c>
      <c r="AH417" s="65"/>
      <c r="AI417" s="78" t="s">
        <v>50</v>
      </c>
      <c r="AJ417" s="59">
        <v>3</v>
      </c>
      <c r="AK417" s="65"/>
      <c r="AL417" s="60">
        <f>ROUNDDOWN(I2Ext!$H$30*AF418/500,1)*5</f>
        <v>16</v>
      </c>
      <c r="AM417" s="353">
        <f t="shared" si="38"/>
        <v>13.5</v>
      </c>
      <c r="AN417" s="63">
        <f t="shared" si="36"/>
        <v>3</v>
      </c>
    </row>
    <row r="418" spans="21:40" ht="12.75" customHeight="1" x14ac:dyDescent="0.2">
      <c r="U418" s="108">
        <f>+I2Ext!A55</f>
        <v>0</v>
      </c>
      <c r="V418" s="110">
        <f>IF(I2Ext!$H$32="M",AN417+U418,AN460+U418)</f>
        <v>3</v>
      </c>
      <c r="W418" s="380">
        <f t="shared" si="39"/>
        <v>16</v>
      </c>
      <c r="X418" s="353">
        <f t="shared" si="40"/>
        <v>13.5</v>
      </c>
      <c r="Y418" s="56">
        <v>3</v>
      </c>
      <c r="Z418" s="117" t="str">
        <f>IF(ABS(IF(I2Ext!$H$32="M",AL417-W418,AL460-W418))&gt;1,"ALARM"," ")</f>
        <v xml:space="preserve"> </v>
      </c>
      <c r="AA418" s="114" t="str">
        <f>IF(ABS(IF(I2Ext!$H$32="M",AM417-X418,AM460-X418))&gt;1,"ALARM"," ")</f>
        <v xml:space="preserve"> </v>
      </c>
      <c r="AB418" s="65"/>
      <c r="AC418" s="78" t="s">
        <v>50</v>
      </c>
      <c r="AD418" s="59">
        <v>3</v>
      </c>
      <c r="AE418" s="65"/>
      <c r="AF418" s="60">
        <f>I2Ext!$H$35</f>
        <v>40</v>
      </c>
      <c r="AG418" s="61">
        <f>AF419+0.01</f>
        <v>33.343333333333334</v>
      </c>
      <c r="AH418" s="65"/>
      <c r="AI418" s="58">
        <v>5</v>
      </c>
      <c r="AJ418" s="59">
        <v>2</v>
      </c>
      <c r="AK418" s="65"/>
      <c r="AL418" s="60">
        <f>ROUNDDOWN(I2Ext!$H$30*AF419/500,1)*5</f>
        <v>13</v>
      </c>
      <c r="AM418" s="353">
        <f t="shared" si="38"/>
        <v>11</v>
      </c>
      <c r="AN418" s="63">
        <f t="shared" si="36"/>
        <v>2.5</v>
      </c>
    </row>
    <row r="419" spans="21:40" ht="12.75" customHeight="1" x14ac:dyDescent="0.2">
      <c r="U419" s="108">
        <f>+I2Ext!A56</f>
        <v>0</v>
      </c>
      <c r="V419" s="111">
        <f>IF(I2Ext!$H$32="M",AN418+U419,AN461+U419)</f>
        <v>2.5</v>
      </c>
      <c r="W419" s="380">
        <f t="shared" si="39"/>
        <v>13</v>
      </c>
      <c r="X419" s="353">
        <f t="shared" si="40"/>
        <v>11</v>
      </c>
      <c r="Y419" s="56">
        <v>2</v>
      </c>
      <c r="Z419" s="115" t="str">
        <f>IF(ABS(IF(I2Ext!$H$32="M",AL418-W419,AL461-W419))&gt;1,"ALARM"," ")</f>
        <v xml:space="preserve"> </v>
      </c>
      <c r="AA419" s="63" t="str">
        <f>IF(ABS(IF(I2Ext!$H$32="M",AM418-X419,AM461-X419))&gt;1,"ALARM"," ")</f>
        <v xml:space="preserve"> </v>
      </c>
      <c r="AB419" s="65"/>
      <c r="AC419" s="58">
        <v>5</v>
      </c>
      <c r="AD419" s="59">
        <v>2</v>
      </c>
      <c r="AE419" s="65"/>
      <c r="AF419" s="60">
        <f>AG420+2*(AF418-AG420)/3</f>
        <v>33.333333333333336</v>
      </c>
      <c r="AG419" s="61">
        <f>AF420+0.01</f>
        <v>26.676666666666669</v>
      </c>
      <c r="AH419" s="65"/>
      <c r="AI419" s="81" t="s">
        <v>22</v>
      </c>
      <c r="AJ419" s="69">
        <v>1</v>
      </c>
      <c r="AK419" s="70"/>
      <c r="AL419" s="60">
        <f>ROUNDDOWN(I2Ext!$H$30*AF420/500,1)*5</f>
        <v>10.5</v>
      </c>
      <c r="AM419" s="361">
        <f>ROUNDUP(I2Ext!$H$30*(I2Ext!$H$34/500),1)*5</f>
        <v>8</v>
      </c>
      <c r="AN419" s="73">
        <f t="shared" si="36"/>
        <v>3</v>
      </c>
    </row>
    <row r="420" spans="21:40" ht="12.75" customHeight="1" thickBot="1" x14ac:dyDescent="0.25">
      <c r="U420" s="108">
        <f>+I2Ext!A57</f>
        <v>0</v>
      </c>
      <c r="V420" s="113">
        <f>IF(I2Ext!$H$32="M",AN419+U420,AN462+U420)</f>
        <v>3</v>
      </c>
      <c r="W420" s="381">
        <f t="shared" si="39"/>
        <v>10.5</v>
      </c>
      <c r="X420" s="353">
        <f t="shared" si="40"/>
        <v>8</v>
      </c>
      <c r="Y420" s="75">
        <v>1</v>
      </c>
      <c r="Z420" s="118" t="str">
        <f>IF(ABS(IF(I2Ext!$H$32="M",AL419-W420,AL462-W420))&gt;1,"ALARM"," ")</f>
        <v xml:space="preserve"> </v>
      </c>
      <c r="AA420" s="73" t="str">
        <f>IF(ABS(IF(I2Ext!$H$32="M",AM419-X420,AM462-X420))&gt;1,"ALARM"," ")</f>
        <v xml:space="preserve"> </v>
      </c>
      <c r="AB420" s="65"/>
      <c r="AC420" s="81" t="s">
        <v>22</v>
      </c>
      <c r="AD420" s="69">
        <v>1</v>
      </c>
      <c r="AE420" s="70"/>
      <c r="AF420" s="82">
        <f>AG420+(AF418-AG420)/3</f>
        <v>26.666666666666668</v>
      </c>
      <c r="AG420" s="83">
        <f>I2Ext!$H$34</f>
        <v>20</v>
      </c>
      <c r="AH420" s="65"/>
      <c r="AI420" s="89">
        <v>6</v>
      </c>
      <c r="AJ420" s="90">
        <v>0</v>
      </c>
      <c r="AK420" s="91"/>
      <c r="AL420" s="96">
        <f>AM419-0.5</f>
        <v>7.5</v>
      </c>
      <c r="AM420" s="362">
        <v>0</v>
      </c>
      <c r="AN420" s="94">
        <f>IF(AM420&gt;AM419,"ALARM",AL420)</f>
        <v>7.5</v>
      </c>
    </row>
    <row r="421" spans="21:40" ht="12.75" customHeight="1" thickBot="1" x14ac:dyDescent="0.25">
      <c r="U421" s="43" t="s">
        <v>51</v>
      </c>
      <c r="V421" s="112">
        <f>IF(I2Ext!$H$32="M",+W421,W463)</f>
        <v>7.5</v>
      </c>
      <c r="W421" s="384">
        <f t="shared" si="39"/>
        <v>7.5</v>
      </c>
      <c r="X421" s="362">
        <v>0</v>
      </c>
      <c r="Y421" s="95">
        <v>0</v>
      </c>
      <c r="Z421" s="116" t="str">
        <f>IF(ABS(IF(I2Ext!$H$32="M",AL420-W421,AL463-W421))&gt;1,"ALARM"," ")</f>
        <v xml:space="preserve"> </v>
      </c>
      <c r="AA421" s="94" t="str">
        <f>IF(ABS(IF(I2Ext!$H$32="M",AM420-X421,AM463-X421))&gt;1,"ALARM"," ")</f>
        <v xml:space="preserve"> </v>
      </c>
      <c r="AB421" s="65"/>
      <c r="AC421" s="89">
        <v>6</v>
      </c>
      <c r="AD421" s="90">
        <v>0</v>
      </c>
      <c r="AE421" s="91"/>
      <c r="AF421" s="96">
        <f>I2Ext!$H$34-0.1</f>
        <v>19.899999999999999</v>
      </c>
      <c r="AG421" s="97">
        <v>0</v>
      </c>
      <c r="AH421" s="65"/>
      <c r="AI421" s="65"/>
      <c r="AJ421" s="65"/>
      <c r="AK421" s="65"/>
      <c r="AL421" s="65"/>
      <c r="AM421" s="65"/>
      <c r="AN421" s="65"/>
    </row>
    <row r="422" spans="21:40" ht="12.75" customHeight="1" x14ac:dyDescent="0.2"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21:40" ht="12.75" customHeight="1" x14ac:dyDescent="0.2"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21:40" ht="12.75" customHeight="1" x14ac:dyDescent="0.2">
      <c r="U424" s="46"/>
      <c r="V424" s="359">
        <f t="shared" ref="V424:V439" si="41">+X424</f>
        <v>0</v>
      </c>
      <c r="W424" s="359">
        <f>+W421</f>
        <v>7.5</v>
      </c>
      <c r="X424" s="359">
        <f>+X421</f>
        <v>0</v>
      </c>
      <c r="Y424" s="46">
        <f>+Y421</f>
        <v>0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21:40" ht="12.75" customHeight="1" x14ac:dyDescent="0.2">
      <c r="U425" s="46"/>
      <c r="V425" s="359">
        <f t="shared" si="41"/>
        <v>8</v>
      </c>
      <c r="W425" s="359">
        <f>+W420</f>
        <v>10.5</v>
      </c>
      <c r="X425" s="359">
        <f>+X420</f>
        <v>8</v>
      </c>
      <c r="Y425" s="46">
        <f>+Y420</f>
        <v>1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21:40" ht="12.75" customHeight="1" x14ac:dyDescent="0.2">
      <c r="U426" s="46"/>
      <c r="V426" s="359">
        <f t="shared" si="41"/>
        <v>11</v>
      </c>
      <c r="W426" s="359">
        <f>+W419</f>
        <v>13</v>
      </c>
      <c r="X426" s="359">
        <f>+X419</f>
        <v>11</v>
      </c>
      <c r="Y426" s="46">
        <f>+Y419</f>
        <v>2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21:40" ht="12.75" customHeight="1" x14ac:dyDescent="0.2">
      <c r="U427" s="46"/>
      <c r="V427" s="359">
        <f t="shared" si="41"/>
        <v>13.5</v>
      </c>
      <c r="W427" s="359">
        <f>+W418</f>
        <v>16</v>
      </c>
      <c r="X427" s="359">
        <f>+X418</f>
        <v>13.5</v>
      </c>
      <c r="Y427" s="46">
        <f>+Y418</f>
        <v>3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21:40" ht="12.75" customHeight="1" x14ac:dyDescent="0.2">
      <c r="U428" s="46"/>
      <c r="V428" s="359">
        <f t="shared" si="41"/>
        <v>16.5</v>
      </c>
      <c r="W428" s="359">
        <f>+W417</f>
        <v>18</v>
      </c>
      <c r="X428" s="359">
        <f>+X417</f>
        <v>16.5</v>
      </c>
      <c r="Y428" s="46">
        <f>+Y417</f>
        <v>4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21:40" ht="12.75" customHeight="1" x14ac:dyDescent="0.2">
      <c r="U429" s="46"/>
      <c r="V429" s="359">
        <f t="shared" si="41"/>
        <v>18.5</v>
      </c>
      <c r="W429" s="359">
        <f>+W416</f>
        <v>20</v>
      </c>
      <c r="X429" s="359">
        <f>+X416</f>
        <v>18.5</v>
      </c>
      <c r="Y429" s="46">
        <f>+Y416</f>
        <v>5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21:40" ht="12.75" customHeight="1" x14ac:dyDescent="0.2">
      <c r="U430" s="46"/>
      <c r="V430" s="359">
        <f t="shared" si="41"/>
        <v>20.5</v>
      </c>
      <c r="W430" s="359">
        <f>+W415</f>
        <v>22</v>
      </c>
      <c r="X430" s="359">
        <f>+X415</f>
        <v>20.5</v>
      </c>
      <c r="Y430" s="46">
        <f>+Y415</f>
        <v>6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21:40" ht="12.75" customHeight="1" x14ac:dyDescent="0.2">
      <c r="U431" s="46"/>
      <c r="V431" s="359">
        <f t="shared" si="41"/>
        <v>22.5</v>
      </c>
      <c r="W431" s="359">
        <f>+W414</f>
        <v>24</v>
      </c>
      <c r="X431" s="359">
        <f>+X414</f>
        <v>22.5</v>
      </c>
      <c r="Y431" s="46">
        <f>+Y414</f>
        <v>7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21:40" ht="12.75" customHeight="1" x14ac:dyDescent="0.2">
      <c r="U432" s="46"/>
      <c r="V432" s="359">
        <f t="shared" si="41"/>
        <v>24.5</v>
      </c>
      <c r="W432" s="359">
        <f>+W413</f>
        <v>26</v>
      </c>
      <c r="X432" s="359">
        <f>+X413</f>
        <v>24.5</v>
      </c>
      <c r="Y432" s="46">
        <f>+Y413</f>
        <v>8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21:40" ht="12.75" customHeight="1" x14ac:dyDescent="0.2">
      <c r="U433" s="46"/>
      <c r="V433" s="359">
        <f t="shared" si="41"/>
        <v>26.5</v>
      </c>
      <c r="W433" s="359">
        <f>+W412</f>
        <v>28</v>
      </c>
      <c r="X433" s="359">
        <f>+X412</f>
        <v>26.5</v>
      </c>
      <c r="Y433" s="46">
        <f>+Y412</f>
        <v>9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21:40" ht="12.75" customHeight="1" x14ac:dyDescent="0.2">
      <c r="U434" s="46"/>
      <c r="V434" s="359">
        <f t="shared" si="41"/>
        <v>28.5</v>
      </c>
      <c r="W434" s="359">
        <f>+W411</f>
        <v>30</v>
      </c>
      <c r="X434" s="359">
        <f>+X411</f>
        <v>28.5</v>
      </c>
      <c r="Y434" s="46">
        <f>+Y411</f>
        <v>10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21:40" ht="12.75" customHeight="1" x14ac:dyDescent="0.2">
      <c r="U435" s="46"/>
      <c r="V435" s="359">
        <f t="shared" si="41"/>
        <v>30.5</v>
      </c>
      <c r="W435" s="359">
        <f>+W410</f>
        <v>32</v>
      </c>
      <c r="X435" s="359">
        <f>+X410</f>
        <v>30.5</v>
      </c>
      <c r="Y435" s="46">
        <f>+Y410</f>
        <v>11</v>
      </c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21:40" ht="12.75" customHeight="1" x14ac:dyDescent="0.2">
      <c r="U436" s="46"/>
      <c r="V436" s="359">
        <f t="shared" si="41"/>
        <v>32.5</v>
      </c>
      <c r="W436" s="359">
        <f>+W409</f>
        <v>34</v>
      </c>
      <c r="X436" s="359">
        <f>+X409</f>
        <v>32.5</v>
      </c>
      <c r="Y436" s="46">
        <f>+Y409</f>
        <v>12</v>
      </c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21:40" ht="12.75" customHeight="1" x14ac:dyDescent="0.2">
      <c r="U437" s="46"/>
      <c r="V437" s="359">
        <f t="shared" si="41"/>
        <v>34.5</v>
      </c>
      <c r="W437" s="359">
        <f>+W408</f>
        <v>36</v>
      </c>
      <c r="X437" s="359">
        <f>+X408</f>
        <v>34.5</v>
      </c>
      <c r="Y437" s="46">
        <f>+Y408</f>
        <v>13</v>
      </c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21:40" ht="12.75" customHeight="1" x14ac:dyDescent="0.2">
      <c r="U438" s="46"/>
      <c r="V438" s="359">
        <f t="shared" si="41"/>
        <v>36.5</v>
      </c>
      <c r="W438" s="359">
        <f>+W407</f>
        <v>38</v>
      </c>
      <c r="X438" s="359">
        <f>+X407</f>
        <v>36.5</v>
      </c>
      <c r="Y438" s="46">
        <f>+Y407</f>
        <v>14</v>
      </c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21:40" ht="12.75" customHeight="1" x14ac:dyDescent="0.2">
      <c r="U439" s="46"/>
      <c r="V439" s="359">
        <f t="shared" si="41"/>
        <v>38.5</v>
      </c>
      <c r="W439" s="359">
        <f>+W406</f>
        <v>40</v>
      </c>
      <c r="X439" s="359">
        <f>+X406</f>
        <v>38.5</v>
      </c>
      <c r="Y439" s="98">
        <f>+Y406</f>
        <v>15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21:40" ht="12.75" customHeight="1" x14ac:dyDescent="0.2"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21:40" ht="12.75" customHeight="1" x14ac:dyDescent="0.2"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21:40" ht="12.75" customHeight="1" x14ac:dyDescent="0.2"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21:40" ht="12.75" customHeight="1" x14ac:dyDescent="0.2"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52"/>
      <c r="AI443" s="57"/>
      <c r="AJ443" s="60"/>
      <c r="AK443" s="60"/>
      <c r="AL443" s="52"/>
      <c r="AM443" s="88"/>
      <c r="AN443" s="57"/>
    </row>
    <row r="444" spans="21:40" ht="12.75" customHeight="1" thickBot="1" x14ac:dyDescent="0.25">
      <c r="U444" s="360"/>
      <c r="V444" s="375"/>
      <c r="W444" s="454"/>
      <c r="X444" s="454"/>
      <c r="Y444" s="65"/>
      <c r="Z444" s="454"/>
      <c r="AA444" s="454"/>
      <c r="AB444" s="46"/>
      <c r="AC444" s="65"/>
      <c r="AD444" s="57"/>
      <c r="AE444" s="57"/>
      <c r="AF444" s="60"/>
      <c r="AG444" s="60"/>
      <c r="AH444" s="52"/>
      <c r="AI444" s="65"/>
      <c r="AJ444" s="57"/>
      <c r="AK444" s="65"/>
      <c r="AL444" s="57"/>
      <c r="AM444" s="57"/>
      <c r="AN444" s="57"/>
    </row>
    <row r="445" spans="21:40" ht="12.75" customHeight="1" x14ac:dyDescent="0.2">
      <c r="U445" s="376"/>
      <c r="V445" s="375"/>
      <c r="W445" s="458"/>
      <c r="X445" s="458"/>
      <c r="Y445" s="65"/>
      <c r="Z445" s="454"/>
      <c r="AA445" s="454"/>
      <c r="AB445" s="46"/>
      <c r="AC445" s="49" t="s">
        <v>17</v>
      </c>
      <c r="AD445" s="50" t="s">
        <v>32</v>
      </c>
      <c r="AE445" s="51"/>
      <c r="AF445" s="461" t="s">
        <v>41</v>
      </c>
      <c r="AG445" s="462"/>
      <c r="AH445" s="52"/>
      <c r="AI445" s="49" t="s">
        <v>17</v>
      </c>
      <c r="AJ445" s="50" t="s">
        <v>32</v>
      </c>
      <c r="AK445" s="53"/>
      <c r="AL445" s="452" t="s">
        <v>42</v>
      </c>
      <c r="AM445" s="453"/>
      <c r="AN445" s="54" t="s">
        <v>43</v>
      </c>
    </row>
    <row r="446" spans="21:40" ht="12.75" customHeight="1" x14ac:dyDescent="0.2">
      <c r="U446" s="377"/>
      <c r="V446" s="375"/>
      <c r="W446" s="360"/>
      <c r="X446" s="360"/>
      <c r="Y446" s="65"/>
      <c r="Z446" s="454"/>
      <c r="AA446" s="454"/>
      <c r="AB446" s="46"/>
      <c r="AC446" s="58"/>
      <c r="AD446" s="59"/>
      <c r="AE446" s="57"/>
      <c r="AF446" s="60" t="s">
        <v>46</v>
      </c>
      <c r="AG446" s="61" t="s">
        <v>47</v>
      </c>
      <c r="AH446" s="52"/>
      <c r="AI446" s="58"/>
      <c r="AJ446" s="59"/>
      <c r="AK446" s="57"/>
      <c r="AL446" s="57" t="s">
        <v>46</v>
      </c>
      <c r="AM446" s="62" t="s">
        <v>47</v>
      </c>
      <c r="AN446" s="63"/>
    </row>
    <row r="447" spans="21:40" ht="12.75" customHeight="1" x14ac:dyDescent="0.2">
      <c r="U447" s="65"/>
      <c r="V447" s="375"/>
      <c r="W447" s="360"/>
      <c r="X447" s="360"/>
      <c r="Y447" s="65"/>
      <c r="Z447" s="360"/>
      <c r="AA447" s="360"/>
      <c r="AB447" s="46"/>
      <c r="AC447" s="68"/>
      <c r="AD447" s="69"/>
      <c r="AE447" s="70"/>
      <c r="AF447" s="76"/>
      <c r="AG447" s="77"/>
      <c r="AH447" s="65"/>
      <c r="AI447" s="68"/>
      <c r="AJ447" s="69"/>
      <c r="AK447" s="70"/>
      <c r="AL447" s="71"/>
      <c r="AM447" s="72"/>
      <c r="AN447" s="73"/>
    </row>
    <row r="448" spans="21:40" ht="12.75" customHeight="1" x14ac:dyDescent="0.2">
      <c r="U448" s="376"/>
      <c r="V448" s="375"/>
      <c r="W448" s="79"/>
      <c r="X448" s="360"/>
      <c r="Y448" s="65"/>
      <c r="Z448" s="360"/>
      <c r="AA448" s="360"/>
      <c r="AB448" s="46"/>
      <c r="AC448" s="78" t="s">
        <v>50</v>
      </c>
      <c r="AD448" s="59">
        <v>15</v>
      </c>
      <c r="AE448" s="65"/>
      <c r="AF448" s="60">
        <f>I2Ext!$H$35+30*(100-I2Ext!$H$35)/30</f>
        <v>100</v>
      </c>
      <c r="AG448" s="61">
        <f t="shared" ref="AG448:AG459" si="42">AF449+0.1</f>
        <v>94.1</v>
      </c>
      <c r="AH448" s="65"/>
      <c r="AI448" s="78" t="s">
        <v>50</v>
      </c>
      <c r="AJ448" s="59">
        <v>15</v>
      </c>
      <c r="AK448" s="65"/>
      <c r="AL448" s="60">
        <f>I2Ext!$H$30</f>
        <v>40</v>
      </c>
      <c r="AM448" s="353">
        <f>AL449+0.5</f>
        <v>38</v>
      </c>
      <c r="AN448" s="63">
        <f t="shared" ref="AN448:AN462" si="43">IF(AM448&gt;AL448,"ALARM",AL448-AL449)</f>
        <v>2.5</v>
      </c>
    </row>
    <row r="449" spans="21:40" ht="12.75" customHeight="1" x14ac:dyDescent="0.2">
      <c r="U449" s="376"/>
      <c r="V449" s="375"/>
      <c r="W449" s="360"/>
      <c r="X449" s="360"/>
      <c r="Y449" s="65"/>
      <c r="Z449" s="360"/>
      <c r="AA449" s="360"/>
      <c r="AB449" s="46"/>
      <c r="AC449" s="58">
        <v>1</v>
      </c>
      <c r="AD449" s="59">
        <v>14</v>
      </c>
      <c r="AE449" s="65"/>
      <c r="AF449" s="60">
        <f>I2Ext!$H$35+27*(100-I2Ext!$H$35)/30</f>
        <v>94</v>
      </c>
      <c r="AG449" s="61">
        <f t="shared" si="42"/>
        <v>88.1</v>
      </c>
      <c r="AH449" s="65"/>
      <c r="AI449" s="58">
        <v>1</v>
      </c>
      <c r="AJ449" s="59">
        <v>14</v>
      </c>
      <c r="AK449" s="65"/>
      <c r="AL449" s="60">
        <f>ROUNDDOWN(I2Ext!$H$30*AF449/500,1)*5</f>
        <v>37.5</v>
      </c>
      <c r="AM449" s="353">
        <f t="shared" ref="AM449:AM461" si="44">AL450+0.5</f>
        <v>35.5</v>
      </c>
      <c r="AN449" s="63">
        <f t="shared" si="43"/>
        <v>2.5</v>
      </c>
    </row>
    <row r="450" spans="21:40" ht="12.75" customHeight="1" x14ac:dyDescent="0.2">
      <c r="U450" s="376"/>
      <c r="V450" s="375"/>
      <c r="W450" s="360"/>
      <c r="X450" s="360"/>
      <c r="Y450" s="65"/>
      <c r="Z450" s="360"/>
      <c r="AA450" s="360"/>
      <c r="AB450" s="46"/>
      <c r="AC450" s="81" t="s">
        <v>22</v>
      </c>
      <c r="AD450" s="69">
        <v>13</v>
      </c>
      <c r="AE450" s="70"/>
      <c r="AF450" s="82">
        <f>I2Ext!$H$35+24*(100-I2Ext!$H$35)/30</f>
        <v>88</v>
      </c>
      <c r="AG450" s="83">
        <f t="shared" si="42"/>
        <v>82.1</v>
      </c>
      <c r="AH450" s="65"/>
      <c r="AI450" s="81" t="s">
        <v>22</v>
      </c>
      <c r="AJ450" s="69">
        <v>13</v>
      </c>
      <c r="AK450" s="70"/>
      <c r="AL450" s="60">
        <f>ROUNDDOWN(I2Ext!$H$30*AF450/500,1)*5</f>
        <v>35</v>
      </c>
      <c r="AM450" s="353">
        <f t="shared" si="44"/>
        <v>33</v>
      </c>
      <c r="AN450" s="73">
        <f t="shared" si="43"/>
        <v>2.5</v>
      </c>
    </row>
    <row r="451" spans="21:40" ht="12.75" customHeight="1" x14ac:dyDescent="0.2">
      <c r="U451" s="376"/>
      <c r="V451" s="375"/>
      <c r="W451" s="360"/>
      <c r="X451" s="360"/>
      <c r="Y451" s="65"/>
      <c r="Z451" s="360"/>
      <c r="AA451" s="360"/>
      <c r="AB451" s="46"/>
      <c r="AC451" s="78" t="s">
        <v>50</v>
      </c>
      <c r="AD451" s="59">
        <v>12</v>
      </c>
      <c r="AE451" s="65"/>
      <c r="AF451" s="60">
        <f>I2Ext!$H$35+21*(100-I2Ext!$H$35)/30</f>
        <v>82</v>
      </c>
      <c r="AG451" s="61">
        <f t="shared" si="42"/>
        <v>76.099999999999994</v>
      </c>
      <c r="AH451" s="65"/>
      <c r="AI451" s="78" t="s">
        <v>50</v>
      </c>
      <c r="AJ451" s="59">
        <v>12</v>
      </c>
      <c r="AK451" s="65"/>
      <c r="AL451" s="60">
        <f>ROUNDDOWN(I2Ext!$H$30*AF451/500,1)*5</f>
        <v>32.5</v>
      </c>
      <c r="AM451" s="353">
        <f t="shared" si="44"/>
        <v>30.5</v>
      </c>
      <c r="AN451" s="63">
        <f t="shared" si="43"/>
        <v>2.5</v>
      </c>
    </row>
    <row r="452" spans="21:40" ht="12.75" customHeight="1" x14ac:dyDescent="0.2">
      <c r="U452" s="376"/>
      <c r="V452" s="375"/>
      <c r="W452" s="360"/>
      <c r="X452" s="360"/>
      <c r="Y452" s="65"/>
      <c r="Z452" s="360"/>
      <c r="AA452" s="360"/>
      <c r="AB452" s="46"/>
      <c r="AC452" s="58">
        <v>2</v>
      </c>
      <c r="AD452" s="59">
        <v>11</v>
      </c>
      <c r="AE452" s="65"/>
      <c r="AF452" s="60">
        <f>I2Ext!$H$35+18*(100-I2Ext!$H$35)/30</f>
        <v>76</v>
      </c>
      <c r="AG452" s="61">
        <f t="shared" si="42"/>
        <v>70.099999999999994</v>
      </c>
      <c r="AH452" s="65"/>
      <c r="AI452" s="58">
        <v>2</v>
      </c>
      <c r="AJ452" s="59">
        <v>11</v>
      </c>
      <c r="AK452" s="65"/>
      <c r="AL452" s="60">
        <f>ROUNDDOWN(I2Ext!$H$30*AF452/500,1)*5</f>
        <v>30</v>
      </c>
      <c r="AM452" s="353">
        <f t="shared" si="44"/>
        <v>28.5</v>
      </c>
      <c r="AN452" s="63">
        <f t="shared" si="43"/>
        <v>2</v>
      </c>
    </row>
    <row r="453" spans="21:40" ht="12.75" customHeight="1" x14ac:dyDescent="0.2">
      <c r="U453" s="376"/>
      <c r="V453" s="375"/>
      <c r="W453" s="360"/>
      <c r="X453" s="360"/>
      <c r="Y453" s="65"/>
      <c r="Z453" s="360"/>
      <c r="AA453" s="360"/>
      <c r="AB453" s="46"/>
      <c r="AC453" s="81" t="s">
        <v>22</v>
      </c>
      <c r="AD453" s="69">
        <v>10</v>
      </c>
      <c r="AE453" s="70"/>
      <c r="AF453" s="82">
        <f>I2Ext!$H$35+15*(100-I2Ext!$H$35)/30</f>
        <v>70</v>
      </c>
      <c r="AG453" s="83">
        <f t="shared" si="42"/>
        <v>64.099999999999994</v>
      </c>
      <c r="AH453" s="65"/>
      <c r="AI453" s="81" t="s">
        <v>22</v>
      </c>
      <c r="AJ453" s="69">
        <v>10</v>
      </c>
      <c r="AK453" s="70"/>
      <c r="AL453" s="60">
        <f>ROUNDDOWN(I2Ext!$H$30*AF453/500,1)*5</f>
        <v>28</v>
      </c>
      <c r="AM453" s="353">
        <f t="shared" si="44"/>
        <v>26</v>
      </c>
      <c r="AN453" s="73">
        <f t="shared" si="43"/>
        <v>2.5</v>
      </c>
    </row>
    <row r="454" spans="21:40" ht="12.75" customHeight="1" x14ac:dyDescent="0.2">
      <c r="U454" s="376"/>
      <c r="V454" s="375"/>
      <c r="W454" s="360"/>
      <c r="X454" s="360"/>
      <c r="Y454" s="65"/>
      <c r="Z454" s="360"/>
      <c r="AA454" s="360"/>
      <c r="AB454" s="46"/>
      <c r="AC454" s="78" t="s">
        <v>50</v>
      </c>
      <c r="AD454" s="59">
        <v>9</v>
      </c>
      <c r="AE454" s="65"/>
      <c r="AF454" s="60">
        <f>I2Ext!$H$35+12*(100-I2Ext!$H$35)/30</f>
        <v>64</v>
      </c>
      <c r="AG454" s="61">
        <f t="shared" si="42"/>
        <v>60.1</v>
      </c>
      <c r="AH454" s="65"/>
      <c r="AI454" s="78" t="s">
        <v>50</v>
      </c>
      <c r="AJ454" s="59">
        <v>9</v>
      </c>
      <c r="AK454" s="65"/>
      <c r="AL454" s="60">
        <f>ROUNDDOWN(I2Ext!$H$30*AF454/500,1)*5</f>
        <v>25.5</v>
      </c>
      <c r="AM454" s="353">
        <f t="shared" si="44"/>
        <v>24.5</v>
      </c>
      <c r="AN454" s="63">
        <f t="shared" si="43"/>
        <v>1.5</v>
      </c>
    </row>
    <row r="455" spans="21:40" ht="12.75" customHeight="1" x14ac:dyDescent="0.2">
      <c r="U455" s="376"/>
      <c r="V455" s="375"/>
      <c r="W455" s="360"/>
      <c r="X455" s="360"/>
      <c r="Y455" s="65"/>
      <c r="Z455" s="360"/>
      <c r="AA455" s="360"/>
      <c r="AB455" s="46"/>
      <c r="AC455" s="58">
        <v>3</v>
      </c>
      <c r="AD455" s="59">
        <v>8</v>
      </c>
      <c r="AE455" s="65"/>
      <c r="AF455" s="60">
        <f>I2Ext!$H$35+10*(100-I2Ext!$H$35)/30</f>
        <v>60</v>
      </c>
      <c r="AG455" s="61">
        <f t="shared" si="42"/>
        <v>56.1</v>
      </c>
      <c r="AH455" s="65"/>
      <c r="AI455" s="58">
        <v>3</v>
      </c>
      <c r="AJ455" s="59">
        <v>8</v>
      </c>
      <c r="AK455" s="65"/>
      <c r="AL455" s="60">
        <f>ROUNDDOWN(I2Ext!$H$30*AF455/500,1)*5</f>
        <v>24</v>
      </c>
      <c r="AM455" s="353">
        <f t="shared" si="44"/>
        <v>22.5</v>
      </c>
      <c r="AN455" s="63">
        <f t="shared" si="43"/>
        <v>2</v>
      </c>
    </row>
    <row r="456" spans="21:40" ht="12.75" customHeight="1" x14ac:dyDescent="0.2">
      <c r="U456" s="376"/>
      <c r="V456" s="375"/>
      <c r="W456" s="360"/>
      <c r="X456" s="360"/>
      <c r="Y456" s="65"/>
      <c r="Z456" s="360"/>
      <c r="AA456" s="360"/>
      <c r="AB456" s="46"/>
      <c r="AC456" s="81" t="s">
        <v>22</v>
      </c>
      <c r="AD456" s="69">
        <v>7</v>
      </c>
      <c r="AE456" s="70"/>
      <c r="AF456" s="82">
        <f>I2Ext!$H$35+8*(100-I2Ext!$H$35)/30</f>
        <v>56</v>
      </c>
      <c r="AG456" s="83">
        <f t="shared" si="42"/>
        <v>52.1</v>
      </c>
      <c r="AH456" s="65"/>
      <c r="AI456" s="81" t="s">
        <v>22</v>
      </c>
      <c r="AJ456" s="69">
        <v>7</v>
      </c>
      <c r="AK456" s="70"/>
      <c r="AL456" s="60">
        <f>ROUNDDOWN(I2Ext!$H$30*AF456/500,1)*5</f>
        <v>22</v>
      </c>
      <c r="AM456" s="353">
        <f t="shared" si="44"/>
        <v>21</v>
      </c>
      <c r="AN456" s="73">
        <f t="shared" si="43"/>
        <v>1.5</v>
      </c>
    </row>
    <row r="457" spans="21:40" ht="12.75" customHeight="1" x14ac:dyDescent="0.2">
      <c r="U457" s="376"/>
      <c r="V457" s="375"/>
      <c r="W457" s="360"/>
      <c r="X457" s="360"/>
      <c r="Y457" s="65"/>
      <c r="Z457" s="360"/>
      <c r="AA457" s="360"/>
      <c r="AB457" s="46"/>
      <c r="AC457" s="78" t="s">
        <v>50</v>
      </c>
      <c r="AD457" s="59">
        <v>6</v>
      </c>
      <c r="AE457" s="65"/>
      <c r="AF457" s="60">
        <f>I2Ext!$H$35+6*(100-I2Ext!$H$35)/30</f>
        <v>52</v>
      </c>
      <c r="AG457" s="61">
        <f t="shared" si="42"/>
        <v>48.1</v>
      </c>
      <c r="AH457" s="65"/>
      <c r="AI457" s="78" t="s">
        <v>50</v>
      </c>
      <c r="AJ457" s="59">
        <v>6</v>
      </c>
      <c r="AK457" s="65"/>
      <c r="AL457" s="60">
        <f>ROUNDDOWN(I2Ext!$H$30*AF457/500,1)*5</f>
        <v>20.5</v>
      </c>
      <c r="AM457" s="353">
        <f t="shared" si="44"/>
        <v>19.5</v>
      </c>
      <c r="AN457" s="63">
        <f t="shared" si="43"/>
        <v>1.5</v>
      </c>
    </row>
    <row r="458" spans="21:40" ht="12.75" customHeight="1" x14ac:dyDescent="0.2">
      <c r="U458" s="376"/>
      <c r="V458" s="375"/>
      <c r="W458" s="360"/>
      <c r="X458" s="360"/>
      <c r="Y458" s="65"/>
      <c r="Z458" s="360"/>
      <c r="AA458" s="360"/>
      <c r="AB458" s="46"/>
      <c r="AC458" s="58">
        <v>4</v>
      </c>
      <c r="AD458" s="59">
        <v>5</v>
      </c>
      <c r="AE458" s="65"/>
      <c r="AF458" s="60">
        <f>I2Ext!$H$35+4*(100-I2Ext!$H$35)/30</f>
        <v>48</v>
      </c>
      <c r="AG458" s="61">
        <f t="shared" si="42"/>
        <v>44.1</v>
      </c>
      <c r="AH458" s="65"/>
      <c r="AI458" s="58">
        <v>4</v>
      </c>
      <c r="AJ458" s="59">
        <v>5</v>
      </c>
      <c r="AK458" s="65"/>
      <c r="AL458" s="60">
        <f>ROUNDDOWN(I2Ext!$H$30*AF458/500,1)*5</f>
        <v>19</v>
      </c>
      <c r="AM458" s="353">
        <f t="shared" si="44"/>
        <v>18</v>
      </c>
      <c r="AN458" s="63">
        <f t="shared" si="43"/>
        <v>1.5</v>
      </c>
    </row>
    <row r="459" spans="21:40" ht="12.75" customHeight="1" x14ac:dyDescent="0.2">
      <c r="U459" s="376"/>
      <c r="V459" s="375"/>
      <c r="W459" s="360"/>
      <c r="X459" s="360"/>
      <c r="Y459" s="65"/>
      <c r="Z459" s="360"/>
      <c r="AA459" s="360"/>
      <c r="AB459" s="46"/>
      <c r="AC459" s="81" t="s">
        <v>22</v>
      </c>
      <c r="AD459" s="69">
        <v>4</v>
      </c>
      <c r="AE459" s="70"/>
      <c r="AF459" s="82">
        <f>I2Ext!$H$35+2*(100-I2Ext!$H$35)/30</f>
        <v>44</v>
      </c>
      <c r="AG459" s="83">
        <f t="shared" si="42"/>
        <v>40.1</v>
      </c>
      <c r="AH459" s="65"/>
      <c r="AI459" s="81" t="s">
        <v>22</v>
      </c>
      <c r="AJ459" s="69">
        <v>4</v>
      </c>
      <c r="AK459" s="70"/>
      <c r="AL459" s="60">
        <f>ROUNDDOWN(I2Ext!$H$30*AF459/500,1)*5</f>
        <v>17.5</v>
      </c>
      <c r="AM459" s="353">
        <f t="shared" si="44"/>
        <v>16.5</v>
      </c>
      <c r="AN459" s="73">
        <f t="shared" si="43"/>
        <v>1.5</v>
      </c>
    </row>
    <row r="460" spans="21:40" ht="12.75" customHeight="1" x14ac:dyDescent="0.2">
      <c r="U460" s="376"/>
      <c r="V460" s="375"/>
      <c r="W460" s="360"/>
      <c r="X460" s="360"/>
      <c r="Y460" s="65"/>
      <c r="Z460" s="360"/>
      <c r="AA460" s="360"/>
      <c r="AB460" s="46"/>
      <c r="AC460" s="78" t="s">
        <v>50</v>
      </c>
      <c r="AD460" s="59">
        <v>3</v>
      </c>
      <c r="AE460" s="65"/>
      <c r="AF460" s="60">
        <f>I2Ext!$H$35</f>
        <v>40</v>
      </c>
      <c r="AG460" s="61">
        <f>AF461+0.01</f>
        <v>33.343333333333334</v>
      </c>
      <c r="AH460" s="65"/>
      <c r="AI460" s="78" t="s">
        <v>50</v>
      </c>
      <c r="AJ460" s="59">
        <v>3</v>
      </c>
      <c r="AK460" s="65"/>
      <c r="AL460" s="60">
        <f>ROUNDDOWN(I2Ext!$H$30*AF460/500,1)*5</f>
        <v>16</v>
      </c>
      <c r="AM460" s="353">
        <f t="shared" si="44"/>
        <v>13.5</v>
      </c>
      <c r="AN460" s="63">
        <f t="shared" si="43"/>
        <v>3</v>
      </c>
    </row>
    <row r="461" spans="21:40" ht="12.75" customHeight="1" x14ac:dyDescent="0.2">
      <c r="U461" s="376"/>
      <c r="V461" s="375"/>
      <c r="W461" s="360"/>
      <c r="X461" s="360"/>
      <c r="Y461" s="65"/>
      <c r="Z461" s="360"/>
      <c r="AA461" s="360"/>
      <c r="AB461" s="46"/>
      <c r="AC461" s="58">
        <v>5</v>
      </c>
      <c r="AD461" s="59">
        <v>2</v>
      </c>
      <c r="AE461" s="65"/>
      <c r="AF461" s="60">
        <f>AG462+2*(AF460-AG462)/3</f>
        <v>33.333333333333336</v>
      </c>
      <c r="AG461" s="61">
        <f>AF462+0.01</f>
        <v>26.676666666666669</v>
      </c>
      <c r="AH461" s="65"/>
      <c r="AI461" s="58">
        <v>5</v>
      </c>
      <c r="AJ461" s="59">
        <v>2</v>
      </c>
      <c r="AK461" s="65"/>
      <c r="AL461" s="60">
        <f>ROUNDDOWN(I2Ext!$H$30*AF461/500,1)*5</f>
        <v>13</v>
      </c>
      <c r="AM461" s="353">
        <f t="shared" si="44"/>
        <v>11</v>
      </c>
      <c r="AN461" s="63">
        <f t="shared" si="43"/>
        <v>2.5</v>
      </c>
    </row>
    <row r="462" spans="21:40" ht="12.75" customHeight="1" x14ac:dyDescent="0.2">
      <c r="U462" s="376"/>
      <c r="V462" s="375"/>
      <c r="W462" s="360"/>
      <c r="X462" s="375"/>
      <c r="Y462" s="65"/>
      <c r="Z462" s="360"/>
      <c r="AA462" s="360"/>
      <c r="AB462" s="46"/>
      <c r="AC462" s="81" t="s">
        <v>22</v>
      </c>
      <c r="AD462" s="69">
        <v>1</v>
      </c>
      <c r="AE462" s="70"/>
      <c r="AF462" s="82">
        <f>AG462+(AF460-AG462)/3</f>
        <v>26.666666666666668</v>
      </c>
      <c r="AG462" s="83">
        <f>I2Ext!$H$34</f>
        <v>20</v>
      </c>
      <c r="AH462" s="65"/>
      <c r="AI462" s="81" t="s">
        <v>22</v>
      </c>
      <c r="AJ462" s="69">
        <v>1</v>
      </c>
      <c r="AK462" s="70"/>
      <c r="AL462" s="60">
        <f>ROUNDDOWN(I2Ext!$H$30*AF462/500,1)*5</f>
        <v>10.5</v>
      </c>
      <c r="AM462" s="361">
        <f>ROUNDUP(I2Ext!$H$30*(I2Ext!$H$34/500),1)*5</f>
        <v>8</v>
      </c>
      <c r="AN462" s="73">
        <f t="shared" si="43"/>
        <v>3</v>
      </c>
    </row>
    <row r="463" spans="21:40" ht="12.75" customHeight="1" thickBot="1" x14ac:dyDescent="0.25">
      <c r="U463" s="375"/>
      <c r="V463" s="375"/>
      <c r="W463" s="360"/>
      <c r="X463" s="360"/>
      <c r="Y463" s="65"/>
      <c r="Z463" s="360"/>
      <c r="AA463" s="360"/>
      <c r="AB463" s="46"/>
      <c r="AC463" s="89">
        <v>6</v>
      </c>
      <c r="AD463" s="90">
        <v>0</v>
      </c>
      <c r="AE463" s="91"/>
      <c r="AF463" s="96">
        <f>I2Ext!$H$34-0.1</f>
        <v>19.899999999999999</v>
      </c>
      <c r="AG463" s="97">
        <v>0</v>
      </c>
      <c r="AH463" s="65"/>
      <c r="AI463" s="89">
        <v>6</v>
      </c>
      <c r="AJ463" s="90">
        <v>0</v>
      </c>
      <c r="AK463" s="91"/>
      <c r="AL463" s="96">
        <f>AM462-0.5</f>
        <v>7.5</v>
      </c>
      <c r="AM463" s="362">
        <v>0</v>
      </c>
      <c r="AN463" s="94">
        <f>IF(AM463&gt;AM462,"ALARM",AL463)</f>
        <v>7.5</v>
      </c>
    </row>
    <row r="464" spans="21:40" ht="12.75" customHeight="1" x14ac:dyDescent="0.2"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21:40" ht="12.75" customHeight="1" x14ac:dyDescent="0.2"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21:40" ht="12.75" customHeight="1" x14ac:dyDescent="0.2"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21:40" ht="12.75" customHeight="1" x14ac:dyDescent="0.2"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21:40" ht="12.75" customHeight="1" x14ac:dyDescent="0.2"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21:40" ht="12.75" customHeight="1" x14ac:dyDescent="0.2"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21:40" ht="12.75" customHeight="1" x14ac:dyDescent="0.2"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21:40" ht="12.75" customHeight="1" x14ac:dyDescent="0.2"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21:40" ht="12.75" customHeight="1" x14ac:dyDescent="0.2"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21:40" ht="12.75" customHeight="1" x14ac:dyDescent="0.2"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21:40" ht="12.75" customHeight="1" x14ac:dyDescent="0.2"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21:40" ht="12.75" customHeight="1" x14ac:dyDescent="0.2"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21:40" ht="12.75" customHeight="1" x14ac:dyDescent="0.2"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21:40" ht="12.75" customHeight="1" x14ac:dyDescent="0.2"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21:40" ht="12.75" customHeight="1" x14ac:dyDescent="0.2"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21:40" ht="12.75" customHeight="1" x14ac:dyDescent="0.2"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21:40" ht="12.75" customHeight="1" x14ac:dyDescent="0.2"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21:40" ht="12.75" customHeight="1" x14ac:dyDescent="0.2"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21:40" ht="12.75" customHeight="1" x14ac:dyDescent="0.2"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21:40" ht="12.75" customHeight="1" x14ac:dyDescent="0.2"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21:40" ht="12.75" customHeight="1" x14ac:dyDescent="0.2"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21:40" ht="12.75" customHeight="1" x14ac:dyDescent="0.2"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21:40" ht="12.75" customHeight="1" x14ac:dyDescent="0.2"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21:40" ht="12.75" customHeight="1" x14ac:dyDescent="0.2"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21:40" ht="12.75" customHeight="1" x14ac:dyDescent="0.2"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501" spans="20:40" ht="12.75" customHeight="1" thickBot="1" x14ac:dyDescent="0.25"/>
    <row r="502" spans="20:40" ht="12.75" customHeight="1" x14ac:dyDescent="0.2">
      <c r="T502" s="177" t="s">
        <v>73</v>
      </c>
      <c r="U502" s="47"/>
      <c r="V502" s="48"/>
      <c r="W502" s="455" t="s">
        <v>39</v>
      </c>
      <c r="X502" s="456"/>
      <c r="Y502" s="465" t="s">
        <v>32</v>
      </c>
      <c r="Z502" s="463" t="s">
        <v>40</v>
      </c>
      <c r="AA502" s="464"/>
      <c r="AB502" s="46"/>
      <c r="AC502" s="49" t="s">
        <v>17</v>
      </c>
      <c r="AD502" s="50" t="s">
        <v>32</v>
      </c>
      <c r="AE502" s="51"/>
      <c r="AF502" s="461" t="s">
        <v>41</v>
      </c>
      <c r="AG502" s="462"/>
      <c r="AH502" s="52"/>
      <c r="AI502" s="49" t="s">
        <v>17</v>
      </c>
      <c r="AJ502" s="50" t="s">
        <v>32</v>
      </c>
      <c r="AK502" s="53"/>
      <c r="AL502" s="452" t="s">
        <v>42</v>
      </c>
      <c r="AM502" s="453"/>
      <c r="AN502" s="54" t="s">
        <v>43</v>
      </c>
    </row>
    <row r="503" spans="20:40" ht="12.75" customHeight="1" x14ac:dyDescent="0.2">
      <c r="U503" s="55" t="s">
        <v>44</v>
      </c>
      <c r="V503" s="41" t="s">
        <v>43</v>
      </c>
      <c r="W503" s="457" t="s">
        <v>42</v>
      </c>
      <c r="X503" s="458"/>
      <c r="Y503" s="466"/>
      <c r="Z503" s="459" t="s">
        <v>45</v>
      </c>
      <c r="AA503" s="460"/>
      <c r="AB503" s="46"/>
      <c r="AC503" s="58"/>
      <c r="AD503" s="59"/>
      <c r="AE503" s="57"/>
      <c r="AF503" s="60" t="s">
        <v>46</v>
      </c>
      <c r="AG503" s="61" t="s">
        <v>47</v>
      </c>
      <c r="AH503" s="52"/>
      <c r="AI503" s="58"/>
      <c r="AJ503" s="59"/>
      <c r="AK503" s="57"/>
      <c r="AL503" s="57" t="s">
        <v>46</v>
      </c>
      <c r="AM503" s="62" t="s">
        <v>47</v>
      </c>
      <c r="AN503" s="63"/>
    </row>
    <row r="504" spans="20:40" ht="12.75" customHeight="1" x14ac:dyDescent="0.2">
      <c r="U504" s="64" t="s">
        <v>48</v>
      </c>
      <c r="V504" s="41" t="s">
        <v>39</v>
      </c>
      <c r="W504" s="56" t="s">
        <v>46</v>
      </c>
      <c r="X504" s="57" t="s">
        <v>47</v>
      </c>
      <c r="Y504" s="466"/>
      <c r="Z504" s="459" t="s">
        <v>49</v>
      </c>
      <c r="AA504" s="460"/>
      <c r="AB504" s="65"/>
      <c r="AC504" s="58"/>
      <c r="AD504" s="59"/>
      <c r="AE504" s="65"/>
      <c r="AF504" s="66"/>
      <c r="AG504" s="67"/>
      <c r="AH504" s="65"/>
      <c r="AI504" s="68"/>
      <c r="AJ504" s="69"/>
      <c r="AK504" s="70"/>
      <c r="AL504" s="71"/>
      <c r="AM504" s="72"/>
      <c r="AN504" s="73"/>
    </row>
    <row r="505" spans="20:40" ht="12.75" customHeight="1" x14ac:dyDescent="0.2">
      <c r="U505" s="74"/>
      <c r="V505" s="42"/>
      <c r="W505" s="75"/>
      <c r="X505" s="71"/>
      <c r="Y505" s="467"/>
      <c r="Z505" s="115"/>
      <c r="AA505" s="63"/>
      <c r="AB505" s="65"/>
      <c r="AC505" s="68"/>
      <c r="AD505" s="69"/>
      <c r="AE505" s="70"/>
      <c r="AF505" s="76"/>
      <c r="AG505" s="77"/>
      <c r="AH505" s="65"/>
      <c r="AI505" s="78" t="s">
        <v>50</v>
      </c>
      <c r="AJ505" s="59">
        <v>15</v>
      </c>
      <c r="AK505" s="65"/>
      <c r="AL505" s="60">
        <f>I3Ext!$H$30</f>
        <v>40</v>
      </c>
      <c r="AM505" s="353">
        <f>AL506+0.5</f>
        <v>38.5</v>
      </c>
      <c r="AN505" s="63">
        <f t="shared" ref="AN505:AN519" si="45">IF(AM505&gt;AL505,"ALARM",AL505-AL506)</f>
        <v>2</v>
      </c>
    </row>
    <row r="506" spans="20:40" ht="12.75" customHeight="1" x14ac:dyDescent="0.2">
      <c r="U506" s="108">
        <f>+I3Ext!A43</f>
        <v>0</v>
      </c>
      <c r="V506" s="110">
        <f>IF(I3Ext!$H$32="M",AN505+U506,AN548+U506)</f>
        <v>2</v>
      </c>
      <c r="W506" s="380">
        <f>I3Ext!$H$30</f>
        <v>40</v>
      </c>
      <c r="X506" s="353">
        <f>W507+0.5</f>
        <v>38.5</v>
      </c>
      <c r="Y506" s="56">
        <v>15</v>
      </c>
      <c r="Z506" s="117" t="str">
        <f>IF(ABS(IF(I3Ext!$H$32="M",AL505-W506,AL548-W506))&gt;1,"ALARM"," ")</f>
        <v xml:space="preserve"> </v>
      </c>
      <c r="AA506" s="114" t="str">
        <f>IF(ABS(IF(I3Ext!$H$32="M",AM505-X506,AM548-X506))&gt;1,"ALARM"," ")</f>
        <v xml:space="preserve"> </v>
      </c>
      <c r="AB506" s="65"/>
      <c r="AC506" s="78" t="s">
        <v>50</v>
      </c>
      <c r="AD506" s="59">
        <v>15</v>
      </c>
      <c r="AE506" s="65"/>
      <c r="AF506" s="60">
        <f>I3Ext!$H$35+12*(100-I3Ext!$H$35)/12</f>
        <v>100</v>
      </c>
      <c r="AG506" s="61">
        <f t="shared" ref="AG506:AG517" si="46">AF507+0.1</f>
        <v>95.1</v>
      </c>
      <c r="AH506" s="65"/>
      <c r="AI506" s="58">
        <v>1</v>
      </c>
      <c r="AJ506" s="59">
        <v>14</v>
      </c>
      <c r="AK506" s="65"/>
      <c r="AL506" s="60">
        <f>ROUNDDOWN(I3Ext!$H$30*AF507/500,1)*5</f>
        <v>38</v>
      </c>
      <c r="AM506" s="353">
        <f t="shared" ref="AM506:AM518" si="47">AL507+0.5</f>
        <v>36.5</v>
      </c>
      <c r="AN506" s="63">
        <f t="shared" si="45"/>
        <v>2</v>
      </c>
    </row>
    <row r="507" spans="20:40" ht="12.75" customHeight="1" x14ac:dyDescent="0.2">
      <c r="U507" s="108">
        <f>+I3Ext!A44</f>
        <v>0</v>
      </c>
      <c r="V507" s="111">
        <f>IF(I3Ext!$H$32="M",AN506+U507,AN549+U507)</f>
        <v>2</v>
      </c>
      <c r="W507" s="380">
        <f t="shared" ref="W507:W521" si="48">W506-V506</f>
        <v>38</v>
      </c>
      <c r="X507" s="353">
        <f t="shared" ref="X507:X520" si="49">W508+0.5</f>
        <v>36.5</v>
      </c>
      <c r="Y507" s="56">
        <v>14</v>
      </c>
      <c r="Z507" s="115" t="str">
        <f>IF(ABS(IF(I3Ext!$H$32="M",AL506-W507,AL549-W507))&gt;1,"ALARM"," ")</f>
        <v xml:space="preserve"> </v>
      </c>
      <c r="AA507" s="63" t="str">
        <f>IF(ABS(IF(I3Ext!$H$32="M",AM506-X507,AM549-X507))&gt;1,"ALARM"," ")</f>
        <v xml:space="preserve"> </v>
      </c>
      <c r="AB507" s="65"/>
      <c r="AC507" s="58">
        <v>1</v>
      </c>
      <c r="AD507" s="59">
        <v>14</v>
      </c>
      <c r="AE507" s="65"/>
      <c r="AF507" s="60">
        <f>I3Ext!$H$35+11*(100-I3Ext!$H$35)/12</f>
        <v>95</v>
      </c>
      <c r="AG507" s="61">
        <f t="shared" si="46"/>
        <v>90.1</v>
      </c>
      <c r="AH507" s="65"/>
      <c r="AI507" s="81" t="s">
        <v>22</v>
      </c>
      <c r="AJ507" s="69">
        <v>13</v>
      </c>
      <c r="AK507" s="70"/>
      <c r="AL507" s="60">
        <f>ROUNDDOWN(I3Ext!$H$30*AF508/500,1)*5</f>
        <v>36</v>
      </c>
      <c r="AM507" s="353">
        <f t="shared" si="47"/>
        <v>34.5</v>
      </c>
      <c r="AN507" s="73">
        <f t="shared" si="45"/>
        <v>2</v>
      </c>
    </row>
    <row r="508" spans="20:40" ht="12.75" customHeight="1" x14ac:dyDescent="0.2">
      <c r="U508" s="108">
        <f>+I3Ext!A45</f>
        <v>0</v>
      </c>
      <c r="V508" s="111">
        <f>IF(I3Ext!$H$32="M",AN507+U508,AN550+U508)</f>
        <v>2</v>
      </c>
      <c r="W508" s="381">
        <f t="shared" si="48"/>
        <v>36</v>
      </c>
      <c r="X508" s="353">
        <f t="shared" si="49"/>
        <v>34.5</v>
      </c>
      <c r="Y508" s="75">
        <v>13</v>
      </c>
      <c r="Z508" s="118" t="str">
        <f>IF(ABS(IF(I3Ext!$H$32="M",AL507-W508,AL550-W508))&gt;1,"ALARM"," ")</f>
        <v xml:space="preserve"> </v>
      </c>
      <c r="AA508" s="73" t="str">
        <f>IF(ABS(IF(I3Ext!$H$32="M",AM507-X508,AM550-X508))&gt;1,"ALARM"," ")</f>
        <v xml:space="preserve"> </v>
      </c>
      <c r="AB508" s="65"/>
      <c r="AC508" s="81" t="s">
        <v>22</v>
      </c>
      <c r="AD508" s="69">
        <v>13</v>
      </c>
      <c r="AE508" s="70"/>
      <c r="AF508" s="82">
        <f>I3Ext!$H$35+10*(100-I3Ext!$H$35)/12</f>
        <v>90</v>
      </c>
      <c r="AG508" s="83">
        <f t="shared" si="46"/>
        <v>85.1</v>
      </c>
      <c r="AH508" s="65"/>
      <c r="AI508" s="78" t="s">
        <v>50</v>
      </c>
      <c r="AJ508" s="59">
        <v>12</v>
      </c>
      <c r="AK508" s="65"/>
      <c r="AL508" s="60">
        <f>ROUNDDOWN(I3Ext!$H$30*AF509/500,1)*5</f>
        <v>34</v>
      </c>
      <c r="AM508" s="353">
        <f t="shared" si="47"/>
        <v>32.5</v>
      </c>
      <c r="AN508" s="63">
        <f t="shared" si="45"/>
        <v>2</v>
      </c>
    </row>
    <row r="509" spans="20:40" ht="12.75" customHeight="1" x14ac:dyDescent="0.2">
      <c r="U509" s="108">
        <f>+I3Ext!A46</f>
        <v>0</v>
      </c>
      <c r="V509" s="110">
        <f>IF(I3Ext!$H$32="M",AN508+U509,AN551+U509)</f>
        <v>2</v>
      </c>
      <c r="W509" s="380">
        <f t="shared" si="48"/>
        <v>34</v>
      </c>
      <c r="X509" s="353">
        <f t="shared" si="49"/>
        <v>32.5</v>
      </c>
      <c r="Y509" s="56">
        <v>12</v>
      </c>
      <c r="Z509" s="115" t="str">
        <f>IF(ABS(IF(I3Ext!$H$32="M",AL508-W509,AL551-W509))&gt;1,"ALARM"," ")</f>
        <v xml:space="preserve"> </v>
      </c>
      <c r="AA509" s="63" t="str">
        <f>IF(ABS(IF(I3Ext!$H$32="M",AM508-X509,AM551-X509))&gt;1,"ALARM"," ")</f>
        <v xml:space="preserve"> </v>
      </c>
      <c r="AB509" s="65"/>
      <c r="AC509" s="78" t="s">
        <v>50</v>
      </c>
      <c r="AD509" s="59">
        <v>12</v>
      </c>
      <c r="AE509" s="65"/>
      <c r="AF509" s="60">
        <f>I3Ext!$H$35+9*(100-I3Ext!$H$35)/12</f>
        <v>85</v>
      </c>
      <c r="AG509" s="61">
        <f t="shared" si="46"/>
        <v>80.099999999999994</v>
      </c>
      <c r="AH509" s="65"/>
      <c r="AI509" s="58">
        <v>2</v>
      </c>
      <c r="AJ509" s="59">
        <v>11</v>
      </c>
      <c r="AK509" s="65"/>
      <c r="AL509" s="60">
        <f>ROUNDDOWN(I3Ext!$H$30*AF510/500,1)*5</f>
        <v>32</v>
      </c>
      <c r="AM509" s="353">
        <f t="shared" si="47"/>
        <v>30.5</v>
      </c>
      <c r="AN509" s="63">
        <f t="shared" si="45"/>
        <v>2</v>
      </c>
    </row>
    <row r="510" spans="20:40" ht="12.75" customHeight="1" x14ac:dyDescent="0.2">
      <c r="U510" s="108">
        <f>+I3Ext!A47</f>
        <v>0</v>
      </c>
      <c r="V510" s="111">
        <f>IF(I3Ext!$H$32="M",AN509+U510,AN552+U510)</f>
        <v>2</v>
      </c>
      <c r="W510" s="380">
        <f t="shared" si="48"/>
        <v>32</v>
      </c>
      <c r="X510" s="353">
        <f t="shared" si="49"/>
        <v>30.5</v>
      </c>
      <c r="Y510" s="56">
        <v>11</v>
      </c>
      <c r="Z510" s="115" t="str">
        <f>IF(ABS(IF(I3Ext!$H$32="M",AL509-W510,AL552-W510))&gt;1,"ALARM"," ")</f>
        <v xml:space="preserve"> </v>
      </c>
      <c r="AA510" s="63" t="str">
        <f>IF(ABS(IF(I3Ext!$H$32="M",AM509-X510,AM552-X510))&gt;1,"ALARM"," ")</f>
        <v xml:space="preserve"> </v>
      </c>
      <c r="AB510" s="65"/>
      <c r="AC510" s="58">
        <v>2</v>
      </c>
      <c r="AD510" s="59">
        <v>11</v>
      </c>
      <c r="AE510" s="65"/>
      <c r="AF510" s="60">
        <f>I3Ext!$H$35+8*(100-I3Ext!$H$35)/12</f>
        <v>80</v>
      </c>
      <c r="AG510" s="61">
        <f t="shared" si="46"/>
        <v>75.099999999999994</v>
      </c>
      <c r="AH510" s="65"/>
      <c r="AI510" s="81" t="s">
        <v>22</v>
      </c>
      <c r="AJ510" s="69">
        <v>10</v>
      </c>
      <c r="AK510" s="70"/>
      <c r="AL510" s="60">
        <f>ROUNDDOWN(I3Ext!$H$30*AF511/500,1)*5</f>
        <v>30</v>
      </c>
      <c r="AM510" s="353">
        <f t="shared" si="47"/>
        <v>28.5</v>
      </c>
      <c r="AN510" s="73">
        <f t="shared" si="45"/>
        <v>2</v>
      </c>
    </row>
    <row r="511" spans="20:40" ht="12.75" customHeight="1" x14ac:dyDescent="0.2">
      <c r="U511" s="108">
        <f>+I3Ext!A48</f>
        <v>0</v>
      </c>
      <c r="V511" s="113">
        <f>IF(I3Ext!$H$32="M",AN510+U511,AN553+U511)</f>
        <v>2</v>
      </c>
      <c r="W511" s="381">
        <f t="shared" si="48"/>
        <v>30</v>
      </c>
      <c r="X511" s="353">
        <f t="shared" si="49"/>
        <v>28.5</v>
      </c>
      <c r="Y511" s="75">
        <v>10</v>
      </c>
      <c r="Z511" s="115" t="str">
        <f>IF(ABS(IF(I3Ext!$H$32="M",AL510-W511,AL553-W511))&gt;1,"ALARM"," ")</f>
        <v xml:space="preserve"> </v>
      </c>
      <c r="AA511" s="63" t="str">
        <f>IF(ABS(IF(I3Ext!$H$32="M",AM510-X511,AM553-X511))&gt;1,"ALARM"," ")</f>
        <v xml:space="preserve"> </v>
      </c>
      <c r="AB511" s="65"/>
      <c r="AC511" s="81" t="s">
        <v>22</v>
      </c>
      <c r="AD511" s="69">
        <v>10</v>
      </c>
      <c r="AE511" s="70"/>
      <c r="AF511" s="82">
        <f>I3Ext!$H$35+7*(100-I3Ext!$H$35)/12</f>
        <v>75</v>
      </c>
      <c r="AG511" s="83">
        <f t="shared" si="46"/>
        <v>70.099999999999994</v>
      </c>
      <c r="AH511" s="65"/>
      <c r="AI511" s="78" t="s">
        <v>50</v>
      </c>
      <c r="AJ511" s="59">
        <v>9</v>
      </c>
      <c r="AK511" s="65"/>
      <c r="AL511" s="60">
        <f>ROUNDDOWN(I3Ext!$H$30*AF512/500,1)*5</f>
        <v>28</v>
      </c>
      <c r="AM511" s="353">
        <f t="shared" si="47"/>
        <v>26.5</v>
      </c>
      <c r="AN511" s="63">
        <f t="shared" si="45"/>
        <v>2</v>
      </c>
    </row>
    <row r="512" spans="20:40" ht="12.75" customHeight="1" x14ac:dyDescent="0.2">
      <c r="U512" s="108">
        <f>+I3Ext!A49</f>
        <v>0</v>
      </c>
      <c r="V512" s="111">
        <f>IF(I3Ext!$H$32="M",AN511+U512,AN554+U512)</f>
        <v>2</v>
      </c>
      <c r="W512" s="380">
        <f t="shared" si="48"/>
        <v>28</v>
      </c>
      <c r="X512" s="353">
        <f t="shared" si="49"/>
        <v>26.5</v>
      </c>
      <c r="Y512" s="56">
        <v>9</v>
      </c>
      <c r="Z512" s="117" t="str">
        <f>IF(ABS(IF(I3Ext!$H$32="M",AL511-W512,AL554-W512))&gt;1,"ALARM"," ")</f>
        <v xml:space="preserve"> </v>
      </c>
      <c r="AA512" s="114" t="str">
        <f>IF(ABS(IF(I3Ext!$H$32="M",AM511-X512,AM554-X512))&gt;1,"ALARM"," ")</f>
        <v xml:space="preserve"> </v>
      </c>
      <c r="AB512" s="65"/>
      <c r="AC512" s="78" t="s">
        <v>50</v>
      </c>
      <c r="AD512" s="59">
        <v>9</v>
      </c>
      <c r="AE512" s="65"/>
      <c r="AF512" s="60">
        <f>I3Ext!$H$35+6*(100-I3Ext!$H$35)/12</f>
        <v>70</v>
      </c>
      <c r="AG512" s="61">
        <f t="shared" si="46"/>
        <v>65.099999999999994</v>
      </c>
      <c r="AH512" s="65"/>
      <c r="AI512" s="58">
        <v>3</v>
      </c>
      <c r="AJ512" s="59">
        <v>8</v>
      </c>
      <c r="AK512" s="65"/>
      <c r="AL512" s="60">
        <f>ROUNDDOWN(I3Ext!$H$30*AF513/500,1)*5</f>
        <v>26</v>
      </c>
      <c r="AM512" s="353">
        <f t="shared" si="47"/>
        <v>24.5</v>
      </c>
      <c r="AN512" s="63">
        <f t="shared" si="45"/>
        <v>2</v>
      </c>
    </row>
    <row r="513" spans="21:40" ht="12.75" customHeight="1" x14ac:dyDescent="0.2">
      <c r="U513" s="108">
        <f>+I3Ext!A50</f>
        <v>0</v>
      </c>
      <c r="V513" s="111">
        <f>IF(I3Ext!$H$32="M",AN512+U513,AN555+U513)</f>
        <v>2</v>
      </c>
      <c r="W513" s="380">
        <f t="shared" si="48"/>
        <v>26</v>
      </c>
      <c r="X513" s="353">
        <f t="shared" si="49"/>
        <v>24.5</v>
      </c>
      <c r="Y513" s="56">
        <v>8</v>
      </c>
      <c r="Z513" s="115" t="str">
        <f>IF(ABS(IF(I3Ext!$H$32="M",AL512-W513,AL555-W513))&gt;1,"ALARM"," ")</f>
        <v xml:space="preserve"> </v>
      </c>
      <c r="AA513" s="63" t="str">
        <f>IF(ABS(IF(I3Ext!$H$32="M",AM512-X513,AM555-X513))&gt;1,"ALARM"," ")</f>
        <v xml:space="preserve"> </v>
      </c>
      <c r="AB513" s="65"/>
      <c r="AC513" s="58">
        <v>3</v>
      </c>
      <c r="AD513" s="59">
        <v>8</v>
      </c>
      <c r="AE513" s="65"/>
      <c r="AF513" s="60">
        <f>I3Ext!$H$35+5*(100-I3Ext!$H$35)/12</f>
        <v>65</v>
      </c>
      <c r="AG513" s="61">
        <f t="shared" si="46"/>
        <v>60.1</v>
      </c>
      <c r="AH513" s="65"/>
      <c r="AI513" s="81" t="s">
        <v>22</v>
      </c>
      <c r="AJ513" s="69">
        <v>7</v>
      </c>
      <c r="AK513" s="70"/>
      <c r="AL513" s="60">
        <f>ROUNDDOWN(I3Ext!$H$30*AF514/500,1)*5</f>
        <v>24</v>
      </c>
      <c r="AM513" s="353">
        <f t="shared" si="47"/>
        <v>22.5</v>
      </c>
      <c r="AN513" s="73">
        <f t="shared" si="45"/>
        <v>2</v>
      </c>
    </row>
    <row r="514" spans="21:40" ht="12.75" customHeight="1" x14ac:dyDescent="0.2">
      <c r="U514" s="108">
        <f>+I3Ext!A51</f>
        <v>0</v>
      </c>
      <c r="V514" s="111">
        <f>IF(I3Ext!$H$32="M",AN513+U514,AN556+U514)</f>
        <v>2</v>
      </c>
      <c r="W514" s="381">
        <f t="shared" si="48"/>
        <v>24</v>
      </c>
      <c r="X514" s="353">
        <f t="shared" si="49"/>
        <v>22.5</v>
      </c>
      <c r="Y514" s="75">
        <v>7</v>
      </c>
      <c r="Z514" s="118" t="str">
        <f>IF(ABS(IF(I3Ext!$H$32="M",AL513-W514,AL556-W514))&gt;1,"ALARM"," ")</f>
        <v xml:space="preserve"> </v>
      </c>
      <c r="AA514" s="73" t="str">
        <f>IF(ABS(IF(I3Ext!$H$32="M",AM513-X514,AM556-X514))&gt;1,"ALARM"," ")</f>
        <v xml:space="preserve"> </v>
      </c>
      <c r="AB514" s="65"/>
      <c r="AC514" s="81" t="s">
        <v>22</v>
      </c>
      <c r="AD514" s="69">
        <v>7</v>
      </c>
      <c r="AE514" s="70"/>
      <c r="AF514" s="82">
        <f>I3Ext!$H$35+4*(100-I3Ext!$H$35)/12</f>
        <v>60</v>
      </c>
      <c r="AG514" s="83">
        <f t="shared" si="46"/>
        <v>55.1</v>
      </c>
      <c r="AH514" s="65"/>
      <c r="AI514" s="78" t="s">
        <v>50</v>
      </c>
      <c r="AJ514" s="59">
        <v>6</v>
      </c>
      <c r="AK514" s="65"/>
      <c r="AL514" s="60">
        <f>ROUNDDOWN(I3Ext!$H$30*AF515/500,1)*5</f>
        <v>22</v>
      </c>
      <c r="AM514" s="353">
        <f t="shared" si="47"/>
        <v>20.5</v>
      </c>
      <c r="AN514" s="63">
        <f t="shared" si="45"/>
        <v>2</v>
      </c>
    </row>
    <row r="515" spans="21:40" ht="12.75" customHeight="1" x14ac:dyDescent="0.2">
      <c r="U515" s="108">
        <f>+I3Ext!A52</f>
        <v>0</v>
      </c>
      <c r="V515" s="110">
        <f>IF(I3Ext!$H$32="M",AN514+U515,AN557+U515)</f>
        <v>2</v>
      </c>
      <c r="W515" s="380">
        <f t="shared" si="48"/>
        <v>22</v>
      </c>
      <c r="X515" s="353">
        <f t="shared" si="49"/>
        <v>20.5</v>
      </c>
      <c r="Y515" s="56">
        <v>6</v>
      </c>
      <c r="Z515" s="115" t="str">
        <f>IF(ABS(IF(I3Ext!$H$32="M",AL514-W515,AL557-W515))&gt;1,"ALARM"," ")</f>
        <v xml:space="preserve"> </v>
      </c>
      <c r="AA515" s="63" t="str">
        <f>IF(ABS(IF(I3Ext!$H$32="M",AM514-X515,AM557-X515))&gt;1,"ALARM"," ")</f>
        <v xml:space="preserve"> </v>
      </c>
      <c r="AB515" s="65"/>
      <c r="AC515" s="78" t="s">
        <v>50</v>
      </c>
      <c r="AD515" s="59">
        <v>6</v>
      </c>
      <c r="AE515" s="65"/>
      <c r="AF515" s="60">
        <f>I3Ext!$H$35+3*(100-I3Ext!$H$35)/12</f>
        <v>55</v>
      </c>
      <c r="AG515" s="61">
        <f t="shared" si="46"/>
        <v>50.1</v>
      </c>
      <c r="AH515" s="65"/>
      <c r="AI515" s="58">
        <v>4</v>
      </c>
      <c r="AJ515" s="59">
        <v>5</v>
      </c>
      <c r="AK515" s="65"/>
      <c r="AL515" s="60">
        <f>ROUNDDOWN(I3Ext!$H$30*AF516/500,1)*5</f>
        <v>20</v>
      </c>
      <c r="AM515" s="353">
        <f t="shared" si="47"/>
        <v>18.5</v>
      </c>
      <c r="AN515" s="63">
        <f t="shared" si="45"/>
        <v>2</v>
      </c>
    </row>
    <row r="516" spans="21:40" ht="12.75" customHeight="1" x14ac:dyDescent="0.2">
      <c r="U516" s="108">
        <f>+I3Ext!A53</f>
        <v>0</v>
      </c>
      <c r="V516" s="111">
        <f>IF(I3Ext!$H$32="M",AN515+U516,AN558+U516)</f>
        <v>2</v>
      </c>
      <c r="W516" s="380">
        <f t="shared" si="48"/>
        <v>20</v>
      </c>
      <c r="X516" s="353">
        <f t="shared" si="49"/>
        <v>18.5</v>
      </c>
      <c r="Y516" s="56">
        <v>5</v>
      </c>
      <c r="Z516" s="115" t="str">
        <f>IF(ABS(IF(I3Ext!$H$32="M",AL515-W516,AL558-W516))&gt;1,"ALARM"," ")</f>
        <v xml:space="preserve"> </v>
      </c>
      <c r="AA516" s="63" t="str">
        <f>IF(ABS(IF(I3Ext!$H$32="M",AM515-X516,AM558-X516))&gt;1,"ALARM"," ")</f>
        <v xml:space="preserve"> </v>
      </c>
      <c r="AB516" s="65"/>
      <c r="AC516" s="58">
        <v>4</v>
      </c>
      <c r="AD516" s="59">
        <v>5</v>
      </c>
      <c r="AE516" s="65"/>
      <c r="AF516" s="60">
        <f>I3Ext!$H$35+2*(100-I3Ext!$H$35)/12</f>
        <v>50</v>
      </c>
      <c r="AG516" s="61">
        <f t="shared" si="46"/>
        <v>45.1</v>
      </c>
      <c r="AH516" s="65"/>
      <c r="AI516" s="81" t="s">
        <v>22</v>
      </c>
      <c r="AJ516" s="69">
        <v>4</v>
      </c>
      <c r="AK516" s="70"/>
      <c r="AL516" s="60">
        <f>ROUNDDOWN(I3Ext!$H$30*AF517/500,1)*5</f>
        <v>18</v>
      </c>
      <c r="AM516" s="353">
        <f t="shared" si="47"/>
        <v>16.5</v>
      </c>
      <c r="AN516" s="73">
        <f t="shared" si="45"/>
        <v>2</v>
      </c>
    </row>
    <row r="517" spans="21:40" ht="12.75" customHeight="1" x14ac:dyDescent="0.2">
      <c r="U517" s="108">
        <f>+I3Ext!A54</f>
        <v>0</v>
      </c>
      <c r="V517" s="113">
        <f>IF(I3Ext!$H$32="M",AN516+U517,AN559+U517)</f>
        <v>2</v>
      </c>
      <c r="W517" s="381">
        <f t="shared" si="48"/>
        <v>18</v>
      </c>
      <c r="X517" s="353">
        <f t="shared" si="49"/>
        <v>16.5</v>
      </c>
      <c r="Y517" s="75">
        <v>4</v>
      </c>
      <c r="Z517" s="115" t="str">
        <f>IF(ABS(IF(I3Ext!$H$32="M",AL516-W517,AL559-W517))&gt;1,"ALARM"," ")</f>
        <v xml:space="preserve"> </v>
      </c>
      <c r="AA517" s="63" t="str">
        <f>IF(ABS(IF(I3Ext!$H$32="M",AM516-X517,AM559-X517))&gt;1,"ALARM"," ")</f>
        <v xml:space="preserve"> </v>
      </c>
      <c r="AB517" s="65"/>
      <c r="AC517" s="81" t="s">
        <v>22</v>
      </c>
      <c r="AD517" s="69">
        <v>4</v>
      </c>
      <c r="AE517" s="70"/>
      <c r="AF517" s="82">
        <f>I3Ext!$H$35+1*(100-I3Ext!$H$35)/12</f>
        <v>45</v>
      </c>
      <c r="AG517" s="83">
        <f t="shared" si="46"/>
        <v>40.1</v>
      </c>
      <c r="AH517" s="65"/>
      <c r="AI517" s="78" t="s">
        <v>50</v>
      </c>
      <c r="AJ517" s="59">
        <v>3</v>
      </c>
      <c r="AK517" s="65"/>
      <c r="AL517" s="60">
        <f>ROUNDDOWN(I3Ext!$H$30*AF518/500,1)*5</f>
        <v>16</v>
      </c>
      <c r="AM517" s="353">
        <f t="shared" si="47"/>
        <v>13.5</v>
      </c>
      <c r="AN517" s="63">
        <f t="shared" si="45"/>
        <v>3</v>
      </c>
    </row>
    <row r="518" spans="21:40" ht="12.75" customHeight="1" x14ac:dyDescent="0.2">
      <c r="U518" s="108">
        <f>+I3Ext!A55</f>
        <v>0</v>
      </c>
      <c r="V518" s="110">
        <f>IF(I3Ext!$H$32="M",AN517+U518,AN560+U518)</f>
        <v>3</v>
      </c>
      <c r="W518" s="380">
        <f t="shared" si="48"/>
        <v>16</v>
      </c>
      <c r="X518" s="353">
        <f t="shared" si="49"/>
        <v>13.5</v>
      </c>
      <c r="Y518" s="56">
        <v>3</v>
      </c>
      <c r="Z518" s="117" t="str">
        <f>IF(ABS(IF(I3Ext!$H$32="M",AL517-W518,AL560-W518))&gt;1,"ALARM"," ")</f>
        <v xml:space="preserve"> </v>
      </c>
      <c r="AA518" s="114" t="str">
        <f>IF(ABS(IF(I3Ext!$H$32="M",AM517-X518,AM560-X518))&gt;1,"ALARM"," ")</f>
        <v xml:space="preserve"> </v>
      </c>
      <c r="AB518" s="65"/>
      <c r="AC518" s="78" t="s">
        <v>50</v>
      </c>
      <c r="AD518" s="59">
        <v>3</v>
      </c>
      <c r="AE518" s="65"/>
      <c r="AF518" s="60">
        <f>I3Ext!$H$35</f>
        <v>40</v>
      </c>
      <c r="AG518" s="61">
        <f>AF519+0.01</f>
        <v>33.343333333333334</v>
      </c>
      <c r="AH518" s="65"/>
      <c r="AI518" s="58">
        <v>5</v>
      </c>
      <c r="AJ518" s="59">
        <v>2</v>
      </c>
      <c r="AK518" s="65"/>
      <c r="AL518" s="60">
        <f>ROUNDDOWN(I3Ext!$H$30*AF519/500,1)*5</f>
        <v>13</v>
      </c>
      <c r="AM518" s="353">
        <f t="shared" si="47"/>
        <v>11</v>
      </c>
      <c r="AN518" s="63">
        <f t="shared" si="45"/>
        <v>2.5</v>
      </c>
    </row>
    <row r="519" spans="21:40" ht="12.75" customHeight="1" x14ac:dyDescent="0.2">
      <c r="U519" s="108">
        <f>+I3Ext!A56</f>
        <v>0</v>
      </c>
      <c r="V519" s="111">
        <f>IF(I3Ext!$H$32="M",AN518+U519,AN561+U519)</f>
        <v>2.5</v>
      </c>
      <c r="W519" s="380">
        <f t="shared" si="48"/>
        <v>13</v>
      </c>
      <c r="X519" s="353">
        <f t="shared" si="49"/>
        <v>11</v>
      </c>
      <c r="Y519" s="56">
        <v>2</v>
      </c>
      <c r="Z519" s="115" t="str">
        <f>IF(ABS(IF(I3Ext!$H$32="M",AL518-W519,AL561-W519))&gt;1,"ALARM"," ")</f>
        <v xml:space="preserve"> </v>
      </c>
      <c r="AA519" s="63" t="str">
        <f>IF(ABS(IF(I3Ext!$H$32="M",AM518-X519,AM561-X519))&gt;1,"ALARM"," ")</f>
        <v xml:space="preserve"> </v>
      </c>
      <c r="AB519" s="65"/>
      <c r="AC519" s="58">
        <v>5</v>
      </c>
      <c r="AD519" s="59">
        <v>2</v>
      </c>
      <c r="AE519" s="65"/>
      <c r="AF519" s="60">
        <f>AG520+2*(AF518-AG520)/3</f>
        <v>33.333333333333336</v>
      </c>
      <c r="AG519" s="61">
        <f>AF520+0.01</f>
        <v>26.676666666666669</v>
      </c>
      <c r="AH519" s="65"/>
      <c r="AI519" s="81" t="s">
        <v>22</v>
      </c>
      <c r="AJ519" s="69">
        <v>1</v>
      </c>
      <c r="AK519" s="70"/>
      <c r="AL519" s="60">
        <f>ROUNDDOWN(I3Ext!$H$30*AF520/500,1)*5</f>
        <v>10.5</v>
      </c>
      <c r="AM519" s="361">
        <f>ROUNDUP(I3Ext!$H$30*(I3Ext!$H$34/500),1)*5</f>
        <v>8</v>
      </c>
      <c r="AN519" s="73">
        <f t="shared" si="45"/>
        <v>3</v>
      </c>
    </row>
    <row r="520" spans="21:40" ht="12.75" customHeight="1" thickBot="1" x14ac:dyDescent="0.25">
      <c r="U520" s="108">
        <f>+I3Ext!A57</f>
        <v>0</v>
      </c>
      <c r="V520" s="113">
        <f>IF(I3Ext!$H$32="M",AN519+U520,AN562+U520)</f>
        <v>3</v>
      </c>
      <c r="W520" s="381">
        <f t="shared" si="48"/>
        <v>10.5</v>
      </c>
      <c r="X520" s="353">
        <f t="shared" si="49"/>
        <v>8</v>
      </c>
      <c r="Y520" s="75">
        <v>1</v>
      </c>
      <c r="Z520" s="118" t="str">
        <f>IF(ABS(IF(I3Ext!$H$32="M",AL519-W520,AL562-W520))&gt;1,"ALARM"," ")</f>
        <v xml:space="preserve"> </v>
      </c>
      <c r="AA520" s="73" t="str">
        <f>IF(ABS(IF(I3Ext!$H$32="M",AM519-X520,AM562-X520))&gt;1,"ALARM"," ")</f>
        <v xml:space="preserve"> </v>
      </c>
      <c r="AB520" s="65"/>
      <c r="AC520" s="81" t="s">
        <v>22</v>
      </c>
      <c r="AD520" s="69">
        <v>1</v>
      </c>
      <c r="AE520" s="70"/>
      <c r="AF520" s="82">
        <f>AG520+(AF518-AG520)/3</f>
        <v>26.666666666666668</v>
      </c>
      <c r="AG520" s="83">
        <f>I3Ext!$H$34</f>
        <v>20</v>
      </c>
      <c r="AH520" s="65"/>
      <c r="AI520" s="89">
        <v>6</v>
      </c>
      <c r="AJ520" s="90">
        <v>0</v>
      </c>
      <c r="AK520" s="91"/>
      <c r="AL520" s="96">
        <f>AM519-0.5</f>
        <v>7.5</v>
      </c>
      <c r="AM520" s="362">
        <v>0</v>
      </c>
      <c r="AN520" s="94">
        <f>IF(AM520&gt;AM519,"ALARM",AL520)</f>
        <v>7.5</v>
      </c>
    </row>
    <row r="521" spans="21:40" ht="12.75" customHeight="1" thickBot="1" x14ac:dyDescent="0.25">
      <c r="U521" s="43" t="s">
        <v>51</v>
      </c>
      <c r="V521" s="112">
        <f>IF(I3Ext!$H$32="M",+W521,W563)</f>
        <v>7.5</v>
      </c>
      <c r="W521" s="384">
        <f t="shared" si="48"/>
        <v>7.5</v>
      </c>
      <c r="X521" s="362">
        <v>0</v>
      </c>
      <c r="Y521" s="95">
        <v>0</v>
      </c>
      <c r="Z521" s="116" t="str">
        <f>IF(ABS(IF(I3Ext!$H$32="M",AL520-W521,AL563-W521))&gt;1,"ALARM"," ")</f>
        <v xml:space="preserve"> </v>
      </c>
      <c r="AA521" s="94" t="str">
        <f>IF(ABS(IF(I3Ext!$H$32="M",AM520-X521,AM563-X521))&gt;1,"ALARM"," ")</f>
        <v xml:space="preserve"> </v>
      </c>
      <c r="AB521" s="65"/>
      <c r="AC521" s="89">
        <v>6</v>
      </c>
      <c r="AD521" s="90">
        <v>0</v>
      </c>
      <c r="AE521" s="91"/>
      <c r="AF521" s="96">
        <f>I3Ext!$H$34-0.1</f>
        <v>19.899999999999999</v>
      </c>
      <c r="AG521" s="97">
        <v>0</v>
      </c>
      <c r="AH521" s="65"/>
      <c r="AI521" s="65"/>
      <c r="AJ521" s="65"/>
      <c r="AK521" s="65"/>
      <c r="AL521" s="65"/>
      <c r="AM521" s="65"/>
      <c r="AN521" s="65"/>
    </row>
    <row r="522" spans="21:40" ht="12.75" customHeight="1" x14ac:dyDescent="0.2"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21:40" ht="12.75" customHeight="1" x14ac:dyDescent="0.2"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21:40" ht="12.75" customHeight="1" x14ac:dyDescent="0.2">
      <c r="U524" s="46"/>
      <c r="V524" s="359">
        <f t="shared" ref="V524:V539" si="50">+X524</f>
        <v>0</v>
      </c>
      <c r="W524" s="359">
        <f>+W521</f>
        <v>7.5</v>
      </c>
      <c r="X524" s="359">
        <f>+X521</f>
        <v>0</v>
      </c>
      <c r="Y524" s="46">
        <f>+Y521</f>
        <v>0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21:40" ht="12.75" customHeight="1" x14ac:dyDescent="0.2">
      <c r="U525" s="46"/>
      <c r="V525" s="359">
        <f t="shared" si="50"/>
        <v>8</v>
      </c>
      <c r="W525" s="359">
        <f>+W520</f>
        <v>10.5</v>
      </c>
      <c r="X525" s="359">
        <f>+X520</f>
        <v>8</v>
      </c>
      <c r="Y525" s="46">
        <f>+Y520</f>
        <v>1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21:40" ht="12.75" customHeight="1" x14ac:dyDescent="0.2">
      <c r="U526" s="46"/>
      <c r="V526" s="359">
        <f t="shared" si="50"/>
        <v>11</v>
      </c>
      <c r="W526" s="359">
        <f>+W519</f>
        <v>13</v>
      </c>
      <c r="X526" s="359">
        <f>+X519</f>
        <v>11</v>
      </c>
      <c r="Y526" s="46">
        <f>+Y519</f>
        <v>2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21:40" ht="12.75" customHeight="1" x14ac:dyDescent="0.2">
      <c r="U527" s="46"/>
      <c r="V527" s="359">
        <f t="shared" si="50"/>
        <v>13.5</v>
      </c>
      <c r="W527" s="359">
        <f>+W518</f>
        <v>16</v>
      </c>
      <c r="X527" s="359">
        <f>+X518</f>
        <v>13.5</v>
      </c>
      <c r="Y527" s="46">
        <f>+Y518</f>
        <v>3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21:40" ht="12.75" customHeight="1" x14ac:dyDescent="0.2">
      <c r="U528" s="46"/>
      <c r="V528" s="359">
        <f t="shared" si="50"/>
        <v>16.5</v>
      </c>
      <c r="W528" s="359">
        <f>+W517</f>
        <v>18</v>
      </c>
      <c r="X528" s="359">
        <f>+X517</f>
        <v>16.5</v>
      </c>
      <c r="Y528" s="46">
        <f>+Y517</f>
        <v>4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21:40" ht="12.75" customHeight="1" x14ac:dyDescent="0.2">
      <c r="U529" s="46"/>
      <c r="V529" s="359">
        <f t="shared" si="50"/>
        <v>18.5</v>
      </c>
      <c r="W529" s="359">
        <f>+W516</f>
        <v>20</v>
      </c>
      <c r="X529" s="359">
        <f>+X516</f>
        <v>18.5</v>
      </c>
      <c r="Y529" s="46">
        <f>+Y516</f>
        <v>5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21:40" ht="12.75" customHeight="1" x14ac:dyDescent="0.2">
      <c r="U530" s="46"/>
      <c r="V530" s="359">
        <f t="shared" si="50"/>
        <v>20.5</v>
      </c>
      <c r="W530" s="359">
        <f>+W515</f>
        <v>22</v>
      </c>
      <c r="X530" s="359">
        <f>+X515</f>
        <v>20.5</v>
      </c>
      <c r="Y530" s="46">
        <f>+Y515</f>
        <v>6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21:40" ht="12.75" customHeight="1" x14ac:dyDescent="0.2">
      <c r="U531" s="46"/>
      <c r="V531" s="359">
        <f t="shared" si="50"/>
        <v>22.5</v>
      </c>
      <c r="W531" s="359">
        <f>+W514</f>
        <v>24</v>
      </c>
      <c r="X531" s="359">
        <f>+X514</f>
        <v>22.5</v>
      </c>
      <c r="Y531" s="46">
        <f>+Y514</f>
        <v>7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21:40" ht="12.75" customHeight="1" x14ac:dyDescent="0.2">
      <c r="U532" s="46"/>
      <c r="V532" s="359">
        <f t="shared" si="50"/>
        <v>24.5</v>
      </c>
      <c r="W532" s="359">
        <f>+W513</f>
        <v>26</v>
      </c>
      <c r="X532" s="359">
        <f>+X513</f>
        <v>24.5</v>
      </c>
      <c r="Y532" s="46">
        <f>+Y513</f>
        <v>8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21:40" ht="12.75" customHeight="1" x14ac:dyDescent="0.2">
      <c r="U533" s="46"/>
      <c r="V533" s="359">
        <f t="shared" si="50"/>
        <v>26.5</v>
      </c>
      <c r="W533" s="359">
        <f>+W512</f>
        <v>28</v>
      </c>
      <c r="X533" s="359">
        <f>+X512</f>
        <v>26.5</v>
      </c>
      <c r="Y533" s="46">
        <f>+Y512</f>
        <v>9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21:40" ht="12.75" customHeight="1" x14ac:dyDescent="0.2">
      <c r="U534" s="46"/>
      <c r="V534" s="359">
        <f t="shared" si="50"/>
        <v>28.5</v>
      </c>
      <c r="W534" s="359">
        <f>+W511</f>
        <v>30</v>
      </c>
      <c r="X534" s="359">
        <f>+X511</f>
        <v>28.5</v>
      </c>
      <c r="Y534" s="46">
        <f>+Y511</f>
        <v>10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21:40" ht="12.75" customHeight="1" x14ac:dyDescent="0.2">
      <c r="U535" s="46"/>
      <c r="V535" s="359">
        <f t="shared" si="50"/>
        <v>30.5</v>
      </c>
      <c r="W535" s="359">
        <f>+W510</f>
        <v>32</v>
      </c>
      <c r="X535" s="359">
        <f>+X510</f>
        <v>30.5</v>
      </c>
      <c r="Y535" s="46">
        <f>+Y510</f>
        <v>11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21:40" ht="12.75" customHeight="1" x14ac:dyDescent="0.2">
      <c r="U536" s="46"/>
      <c r="V536" s="359">
        <f t="shared" si="50"/>
        <v>32.5</v>
      </c>
      <c r="W536" s="359">
        <f>+W509</f>
        <v>34</v>
      </c>
      <c r="X536" s="359">
        <f>+X509</f>
        <v>32.5</v>
      </c>
      <c r="Y536" s="46">
        <f>+Y509</f>
        <v>12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21:40" ht="12.75" customHeight="1" x14ac:dyDescent="0.2">
      <c r="U537" s="46"/>
      <c r="V537" s="359">
        <f t="shared" si="50"/>
        <v>34.5</v>
      </c>
      <c r="W537" s="359">
        <f>+W508</f>
        <v>36</v>
      </c>
      <c r="X537" s="359">
        <f>+X508</f>
        <v>34.5</v>
      </c>
      <c r="Y537" s="46">
        <f>+Y508</f>
        <v>13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21:40" ht="12.75" customHeight="1" x14ac:dyDescent="0.2">
      <c r="U538" s="46"/>
      <c r="V538" s="359">
        <f t="shared" si="50"/>
        <v>36.5</v>
      </c>
      <c r="W538" s="359">
        <f>+W507</f>
        <v>38</v>
      </c>
      <c r="X538" s="359">
        <f>+X507</f>
        <v>36.5</v>
      </c>
      <c r="Y538" s="46">
        <f>+Y507</f>
        <v>14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21:40" ht="12.75" customHeight="1" x14ac:dyDescent="0.2">
      <c r="U539" s="46"/>
      <c r="V539" s="359">
        <f t="shared" si="50"/>
        <v>38.5</v>
      </c>
      <c r="W539" s="359">
        <f>+W506</f>
        <v>40</v>
      </c>
      <c r="X539" s="359">
        <f>+X506</f>
        <v>38.5</v>
      </c>
      <c r="Y539" s="98">
        <f>+Y506</f>
        <v>15</v>
      </c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21:40" ht="12.75" customHeight="1" x14ac:dyDescent="0.2"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21:40" ht="12.75" customHeight="1" x14ac:dyDescent="0.2"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21:40" ht="12.75" customHeight="1" x14ac:dyDescent="0.2"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21:40" ht="12.75" customHeight="1" x14ac:dyDescent="0.2"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2"/>
      <c r="AI543" s="57"/>
      <c r="AJ543" s="60"/>
      <c r="AK543" s="60"/>
      <c r="AL543" s="52"/>
      <c r="AM543" s="88"/>
      <c r="AN543" s="57"/>
    </row>
    <row r="544" spans="21:40" ht="12.75" customHeight="1" thickBot="1" x14ac:dyDescent="0.25">
      <c r="U544" s="360"/>
      <c r="V544" s="375"/>
      <c r="W544" s="454"/>
      <c r="X544" s="454"/>
      <c r="Y544" s="65"/>
      <c r="Z544" s="454"/>
      <c r="AA544" s="454"/>
      <c r="AB544" s="46"/>
      <c r="AC544" s="65"/>
      <c r="AD544" s="57"/>
      <c r="AE544" s="57"/>
      <c r="AF544" s="60"/>
      <c r="AG544" s="60"/>
      <c r="AH544" s="52"/>
      <c r="AI544" s="65"/>
      <c r="AJ544" s="57"/>
      <c r="AK544" s="65"/>
      <c r="AL544" s="57"/>
      <c r="AM544" s="57"/>
      <c r="AN544" s="57"/>
    </row>
    <row r="545" spans="21:40" ht="12.75" customHeight="1" x14ac:dyDescent="0.2">
      <c r="U545" s="376"/>
      <c r="V545" s="375"/>
      <c r="W545" s="458"/>
      <c r="X545" s="458"/>
      <c r="Y545" s="65"/>
      <c r="Z545" s="454"/>
      <c r="AA545" s="454"/>
      <c r="AB545" s="46"/>
      <c r="AC545" s="49" t="s">
        <v>17</v>
      </c>
      <c r="AD545" s="50" t="s">
        <v>32</v>
      </c>
      <c r="AE545" s="51"/>
      <c r="AF545" s="461" t="s">
        <v>41</v>
      </c>
      <c r="AG545" s="462"/>
      <c r="AH545" s="52"/>
      <c r="AI545" s="49" t="s">
        <v>17</v>
      </c>
      <c r="AJ545" s="50" t="s">
        <v>32</v>
      </c>
      <c r="AK545" s="53"/>
      <c r="AL545" s="452" t="s">
        <v>42</v>
      </c>
      <c r="AM545" s="453"/>
      <c r="AN545" s="54" t="s">
        <v>43</v>
      </c>
    </row>
    <row r="546" spans="21:40" ht="12.75" customHeight="1" x14ac:dyDescent="0.2">
      <c r="U546" s="377"/>
      <c r="V546" s="375"/>
      <c r="W546" s="360"/>
      <c r="X546" s="360"/>
      <c r="Y546" s="65"/>
      <c r="Z546" s="454"/>
      <c r="AA546" s="454"/>
      <c r="AB546" s="46"/>
      <c r="AC546" s="58"/>
      <c r="AD546" s="59"/>
      <c r="AE546" s="57"/>
      <c r="AF546" s="60" t="s">
        <v>46</v>
      </c>
      <c r="AG546" s="61" t="s">
        <v>47</v>
      </c>
      <c r="AH546" s="52"/>
      <c r="AI546" s="58"/>
      <c r="AJ546" s="59"/>
      <c r="AK546" s="57"/>
      <c r="AL546" s="57" t="s">
        <v>46</v>
      </c>
      <c r="AM546" s="62" t="s">
        <v>47</v>
      </c>
      <c r="AN546" s="63"/>
    </row>
    <row r="547" spans="21:40" ht="12.75" customHeight="1" x14ac:dyDescent="0.2">
      <c r="U547" s="65"/>
      <c r="V547" s="375"/>
      <c r="W547" s="360"/>
      <c r="X547" s="360"/>
      <c r="Y547" s="65"/>
      <c r="Z547" s="360"/>
      <c r="AA547" s="360"/>
      <c r="AB547" s="46"/>
      <c r="AC547" s="68"/>
      <c r="AD547" s="69"/>
      <c r="AE547" s="70"/>
      <c r="AF547" s="76"/>
      <c r="AG547" s="77"/>
      <c r="AH547" s="65"/>
      <c r="AI547" s="68"/>
      <c r="AJ547" s="69"/>
      <c r="AK547" s="70"/>
      <c r="AL547" s="71"/>
      <c r="AM547" s="72"/>
      <c r="AN547" s="73"/>
    </row>
    <row r="548" spans="21:40" ht="12.75" customHeight="1" x14ac:dyDescent="0.2">
      <c r="U548" s="376"/>
      <c r="V548" s="375"/>
      <c r="W548" s="79"/>
      <c r="X548" s="360"/>
      <c r="Y548" s="65"/>
      <c r="Z548" s="360"/>
      <c r="AA548" s="360"/>
      <c r="AB548" s="46"/>
      <c r="AC548" s="78" t="s">
        <v>50</v>
      </c>
      <c r="AD548" s="59">
        <v>15</v>
      </c>
      <c r="AE548" s="65"/>
      <c r="AF548" s="60">
        <f>I3Ext!$H$35+30*(100-I3Ext!$H$35)/30</f>
        <v>100</v>
      </c>
      <c r="AG548" s="61">
        <f t="shared" ref="AG548:AG559" si="51">AF549+0.1</f>
        <v>94.1</v>
      </c>
      <c r="AH548" s="65"/>
      <c r="AI548" s="78" t="s">
        <v>50</v>
      </c>
      <c r="AJ548" s="59">
        <v>15</v>
      </c>
      <c r="AK548" s="65"/>
      <c r="AL548" s="60">
        <f>I3Ext!$H$30</f>
        <v>40</v>
      </c>
      <c r="AM548" s="353">
        <f>AL549+0.5</f>
        <v>38</v>
      </c>
      <c r="AN548" s="63">
        <f t="shared" ref="AN548:AN562" si="52">IF(AM548&gt;AL548,"ALARM",AL548-AL549)</f>
        <v>2.5</v>
      </c>
    </row>
    <row r="549" spans="21:40" ht="12.75" customHeight="1" x14ac:dyDescent="0.2">
      <c r="U549" s="376"/>
      <c r="V549" s="375"/>
      <c r="W549" s="360"/>
      <c r="X549" s="360"/>
      <c r="Y549" s="65"/>
      <c r="Z549" s="360"/>
      <c r="AA549" s="360"/>
      <c r="AB549" s="46"/>
      <c r="AC549" s="58">
        <v>1</v>
      </c>
      <c r="AD549" s="59">
        <v>14</v>
      </c>
      <c r="AE549" s="65"/>
      <c r="AF549" s="60">
        <f>I3Ext!$H$35+27*(100-I3Ext!$H$35)/30</f>
        <v>94</v>
      </c>
      <c r="AG549" s="61">
        <f t="shared" si="51"/>
        <v>88.1</v>
      </c>
      <c r="AH549" s="65"/>
      <c r="AI549" s="58">
        <v>1</v>
      </c>
      <c r="AJ549" s="59">
        <v>14</v>
      </c>
      <c r="AK549" s="65"/>
      <c r="AL549" s="60">
        <f>ROUNDDOWN(I3Ext!$H$30*AF549/500,1)*5</f>
        <v>37.5</v>
      </c>
      <c r="AM549" s="353">
        <f t="shared" ref="AM549:AM561" si="53">AL550+0.5</f>
        <v>35.5</v>
      </c>
      <c r="AN549" s="63">
        <f t="shared" si="52"/>
        <v>2.5</v>
      </c>
    </row>
    <row r="550" spans="21:40" ht="12.75" customHeight="1" x14ac:dyDescent="0.2">
      <c r="U550" s="376"/>
      <c r="V550" s="375"/>
      <c r="W550" s="360"/>
      <c r="X550" s="360"/>
      <c r="Y550" s="65"/>
      <c r="Z550" s="360"/>
      <c r="AA550" s="360"/>
      <c r="AB550" s="46"/>
      <c r="AC550" s="81" t="s">
        <v>22</v>
      </c>
      <c r="AD550" s="69">
        <v>13</v>
      </c>
      <c r="AE550" s="70"/>
      <c r="AF550" s="82">
        <f>I3Ext!$H$35+24*(100-I3Ext!$H$35)/30</f>
        <v>88</v>
      </c>
      <c r="AG550" s="83">
        <f t="shared" si="51"/>
        <v>82.1</v>
      </c>
      <c r="AH550" s="65"/>
      <c r="AI550" s="81" t="s">
        <v>22</v>
      </c>
      <c r="AJ550" s="69">
        <v>13</v>
      </c>
      <c r="AK550" s="70"/>
      <c r="AL550" s="60">
        <f>ROUNDDOWN(I3Ext!$H$30*AF550/500,1)*5</f>
        <v>35</v>
      </c>
      <c r="AM550" s="353">
        <f t="shared" si="53"/>
        <v>33</v>
      </c>
      <c r="AN550" s="73">
        <f t="shared" si="52"/>
        <v>2.5</v>
      </c>
    </row>
    <row r="551" spans="21:40" ht="12.75" customHeight="1" x14ac:dyDescent="0.2">
      <c r="U551" s="376"/>
      <c r="V551" s="375"/>
      <c r="W551" s="360"/>
      <c r="X551" s="360"/>
      <c r="Y551" s="65"/>
      <c r="Z551" s="360"/>
      <c r="AA551" s="360"/>
      <c r="AB551" s="46"/>
      <c r="AC551" s="78" t="s">
        <v>50</v>
      </c>
      <c r="AD551" s="59">
        <v>12</v>
      </c>
      <c r="AE551" s="65"/>
      <c r="AF551" s="60">
        <f>I3Ext!$H$35+21*(100-I3Ext!$H$35)/30</f>
        <v>82</v>
      </c>
      <c r="AG551" s="61">
        <f t="shared" si="51"/>
        <v>76.099999999999994</v>
      </c>
      <c r="AH551" s="65"/>
      <c r="AI551" s="78" t="s">
        <v>50</v>
      </c>
      <c r="AJ551" s="59">
        <v>12</v>
      </c>
      <c r="AK551" s="65"/>
      <c r="AL551" s="60">
        <f>ROUNDDOWN(I3Ext!$H$30*AF551/500,1)*5</f>
        <v>32.5</v>
      </c>
      <c r="AM551" s="353">
        <f t="shared" si="53"/>
        <v>30.5</v>
      </c>
      <c r="AN551" s="63">
        <f t="shared" si="52"/>
        <v>2.5</v>
      </c>
    </row>
    <row r="552" spans="21:40" ht="12.75" customHeight="1" x14ac:dyDescent="0.2">
      <c r="U552" s="376"/>
      <c r="V552" s="375"/>
      <c r="W552" s="360"/>
      <c r="X552" s="360"/>
      <c r="Y552" s="65"/>
      <c r="Z552" s="360"/>
      <c r="AA552" s="360"/>
      <c r="AB552" s="46"/>
      <c r="AC552" s="58">
        <v>2</v>
      </c>
      <c r="AD552" s="59">
        <v>11</v>
      </c>
      <c r="AE552" s="65"/>
      <c r="AF552" s="60">
        <f>I3Ext!$H$35+18*(100-I3Ext!$H$35)/30</f>
        <v>76</v>
      </c>
      <c r="AG552" s="61">
        <f t="shared" si="51"/>
        <v>70.099999999999994</v>
      </c>
      <c r="AH552" s="65"/>
      <c r="AI552" s="58">
        <v>2</v>
      </c>
      <c r="AJ552" s="59">
        <v>11</v>
      </c>
      <c r="AK552" s="65"/>
      <c r="AL552" s="60">
        <f>ROUNDDOWN(I3Ext!$H$30*AF552/500,1)*5</f>
        <v>30</v>
      </c>
      <c r="AM552" s="353">
        <f t="shared" si="53"/>
        <v>28.5</v>
      </c>
      <c r="AN552" s="63">
        <f t="shared" si="52"/>
        <v>2</v>
      </c>
    </row>
    <row r="553" spans="21:40" ht="12.75" customHeight="1" x14ac:dyDescent="0.2">
      <c r="U553" s="376"/>
      <c r="V553" s="375"/>
      <c r="W553" s="360"/>
      <c r="X553" s="360"/>
      <c r="Y553" s="65"/>
      <c r="Z553" s="360"/>
      <c r="AA553" s="360"/>
      <c r="AB553" s="46"/>
      <c r="AC553" s="81" t="s">
        <v>22</v>
      </c>
      <c r="AD553" s="69">
        <v>10</v>
      </c>
      <c r="AE553" s="70"/>
      <c r="AF553" s="82">
        <f>I3Ext!$H$35+15*(100-I3Ext!$H$35)/30</f>
        <v>70</v>
      </c>
      <c r="AG553" s="83">
        <f t="shared" si="51"/>
        <v>64.099999999999994</v>
      </c>
      <c r="AH553" s="65"/>
      <c r="AI553" s="81" t="s">
        <v>22</v>
      </c>
      <c r="AJ553" s="69">
        <v>10</v>
      </c>
      <c r="AK553" s="70"/>
      <c r="AL553" s="60">
        <f>ROUNDDOWN(I3Ext!$H$30*AF553/500,1)*5</f>
        <v>28</v>
      </c>
      <c r="AM553" s="353">
        <f t="shared" si="53"/>
        <v>26</v>
      </c>
      <c r="AN553" s="73">
        <f t="shared" si="52"/>
        <v>2.5</v>
      </c>
    </row>
    <row r="554" spans="21:40" ht="12.75" customHeight="1" x14ac:dyDescent="0.2">
      <c r="U554" s="376"/>
      <c r="V554" s="375"/>
      <c r="W554" s="360"/>
      <c r="X554" s="360"/>
      <c r="Y554" s="65"/>
      <c r="Z554" s="360"/>
      <c r="AA554" s="360"/>
      <c r="AB554" s="46"/>
      <c r="AC554" s="78" t="s">
        <v>50</v>
      </c>
      <c r="AD554" s="59">
        <v>9</v>
      </c>
      <c r="AE554" s="65"/>
      <c r="AF554" s="60">
        <f>I3Ext!$H$35+12*(100-I3Ext!$H$35)/30</f>
        <v>64</v>
      </c>
      <c r="AG554" s="61">
        <f t="shared" si="51"/>
        <v>60.1</v>
      </c>
      <c r="AH554" s="65"/>
      <c r="AI554" s="78" t="s">
        <v>50</v>
      </c>
      <c r="AJ554" s="59">
        <v>9</v>
      </c>
      <c r="AK554" s="65"/>
      <c r="AL554" s="60">
        <f>ROUNDDOWN(I3Ext!$H$30*AF554/500,1)*5</f>
        <v>25.5</v>
      </c>
      <c r="AM554" s="353">
        <f t="shared" si="53"/>
        <v>24.5</v>
      </c>
      <c r="AN554" s="63">
        <f t="shared" si="52"/>
        <v>1.5</v>
      </c>
    </row>
    <row r="555" spans="21:40" ht="12.75" customHeight="1" x14ac:dyDescent="0.2">
      <c r="U555" s="376"/>
      <c r="V555" s="375"/>
      <c r="W555" s="360"/>
      <c r="X555" s="360"/>
      <c r="Y555" s="65"/>
      <c r="Z555" s="360"/>
      <c r="AA555" s="360"/>
      <c r="AB555" s="46"/>
      <c r="AC555" s="58">
        <v>3</v>
      </c>
      <c r="AD555" s="59">
        <v>8</v>
      </c>
      <c r="AE555" s="65"/>
      <c r="AF555" s="60">
        <f>I3Ext!$H$35+10*(100-I3Ext!$H$35)/30</f>
        <v>60</v>
      </c>
      <c r="AG555" s="61">
        <f t="shared" si="51"/>
        <v>56.1</v>
      </c>
      <c r="AH555" s="65"/>
      <c r="AI555" s="58">
        <v>3</v>
      </c>
      <c r="AJ555" s="59">
        <v>8</v>
      </c>
      <c r="AK555" s="65"/>
      <c r="AL555" s="60">
        <f>ROUNDDOWN(I3Ext!$H$30*AF555/500,1)*5</f>
        <v>24</v>
      </c>
      <c r="AM555" s="353">
        <f t="shared" si="53"/>
        <v>22.5</v>
      </c>
      <c r="AN555" s="63">
        <f t="shared" si="52"/>
        <v>2</v>
      </c>
    </row>
    <row r="556" spans="21:40" ht="12.75" customHeight="1" x14ac:dyDescent="0.2">
      <c r="U556" s="376"/>
      <c r="V556" s="375"/>
      <c r="W556" s="360"/>
      <c r="X556" s="360"/>
      <c r="Y556" s="65"/>
      <c r="Z556" s="360"/>
      <c r="AA556" s="360"/>
      <c r="AB556" s="46"/>
      <c r="AC556" s="81" t="s">
        <v>22</v>
      </c>
      <c r="AD556" s="69">
        <v>7</v>
      </c>
      <c r="AE556" s="70"/>
      <c r="AF556" s="82">
        <f>I3Ext!$H$35+8*(100-I3Ext!$H$35)/30</f>
        <v>56</v>
      </c>
      <c r="AG556" s="83">
        <f t="shared" si="51"/>
        <v>52.1</v>
      </c>
      <c r="AH556" s="65"/>
      <c r="AI556" s="81" t="s">
        <v>22</v>
      </c>
      <c r="AJ556" s="69">
        <v>7</v>
      </c>
      <c r="AK556" s="70"/>
      <c r="AL556" s="60">
        <f>ROUNDDOWN(I3Ext!$H$30*AF556/500,1)*5</f>
        <v>22</v>
      </c>
      <c r="AM556" s="353">
        <f t="shared" si="53"/>
        <v>21</v>
      </c>
      <c r="AN556" s="73">
        <f t="shared" si="52"/>
        <v>1.5</v>
      </c>
    </row>
    <row r="557" spans="21:40" ht="12.75" customHeight="1" x14ac:dyDescent="0.2">
      <c r="U557" s="376"/>
      <c r="V557" s="375"/>
      <c r="W557" s="360"/>
      <c r="X557" s="360"/>
      <c r="Y557" s="65"/>
      <c r="Z557" s="360"/>
      <c r="AA557" s="360"/>
      <c r="AB557" s="46"/>
      <c r="AC557" s="78" t="s">
        <v>50</v>
      </c>
      <c r="AD557" s="59">
        <v>6</v>
      </c>
      <c r="AE557" s="65"/>
      <c r="AF557" s="60">
        <f>I3Ext!$H$35+6*(100-I3Ext!$H$35)/30</f>
        <v>52</v>
      </c>
      <c r="AG557" s="61">
        <f t="shared" si="51"/>
        <v>48.1</v>
      </c>
      <c r="AH557" s="65"/>
      <c r="AI557" s="78" t="s">
        <v>50</v>
      </c>
      <c r="AJ557" s="59">
        <v>6</v>
      </c>
      <c r="AK557" s="65"/>
      <c r="AL557" s="60">
        <f>ROUNDDOWN(I3Ext!$H$30*AF557/500,1)*5</f>
        <v>20.5</v>
      </c>
      <c r="AM557" s="353">
        <f t="shared" si="53"/>
        <v>19.5</v>
      </c>
      <c r="AN557" s="63">
        <f t="shared" si="52"/>
        <v>1.5</v>
      </c>
    </row>
    <row r="558" spans="21:40" ht="12.75" customHeight="1" x14ac:dyDescent="0.2">
      <c r="U558" s="376"/>
      <c r="V558" s="375"/>
      <c r="W558" s="360"/>
      <c r="X558" s="360"/>
      <c r="Y558" s="65"/>
      <c r="Z558" s="360"/>
      <c r="AA558" s="360"/>
      <c r="AB558" s="46"/>
      <c r="AC558" s="58">
        <v>4</v>
      </c>
      <c r="AD558" s="59">
        <v>5</v>
      </c>
      <c r="AE558" s="65"/>
      <c r="AF558" s="60">
        <f>I3Ext!$H$35+4*(100-I3Ext!$H$35)/30</f>
        <v>48</v>
      </c>
      <c r="AG558" s="61">
        <f t="shared" si="51"/>
        <v>44.1</v>
      </c>
      <c r="AH558" s="65"/>
      <c r="AI558" s="58">
        <v>4</v>
      </c>
      <c r="AJ558" s="59">
        <v>5</v>
      </c>
      <c r="AK558" s="65"/>
      <c r="AL558" s="60">
        <f>ROUNDDOWN(I3Ext!$H$30*AF558/500,1)*5</f>
        <v>19</v>
      </c>
      <c r="AM558" s="353">
        <f t="shared" si="53"/>
        <v>18</v>
      </c>
      <c r="AN558" s="63">
        <f t="shared" si="52"/>
        <v>1.5</v>
      </c>
    </row>
    <row r="559" spans="21:40" ht="12.75" customHeight="1" x14ac:dyDescent="0.2">
      <c r="U559" s="376"/>
      <c r="V559" s="375"/>
      <c r="W559" s="360"/>
      <c r="X559" s="360"/>
      <c r="Y559" s="65"/>
      <c r="Z559" s="360"/>
      <c r="AA559" s="360"/>
      <c r="AB559" s="46"/>
      <c r="AC559" s="81" t="s">
        <v>22</v>
      </c>
      <c r="AD559" s="69">
        <v>4</v>
      </c>
      <c r="AE559" s="70"/>
      <c r="AF559" s="82">
        <f>I3Ext!$H$35+2*(100-I3Ext!$H$35)/30</f>
        <v>44</v>
      </c>
      <c r="AG559" s="83">
        <f t="shared" si="51"/>
        <v>40.1</v>
      </c>
      <c r="AH559" s="65"/>
      <c r="AI559" s="81" t="s">
        <v>22</v>
      </c>
      <c r="AJ559" s="69">
        <v>4</v>
      </c>
      <c r="AK559" s="70"/>
      <c r="AL559" s="60">
        <f>ROUNDDOWN(I3Ext!$H$30*AF559/500,1)*5</f>
        <v>17.5</v>
      </c>
      <c r="AM559" s="353">
        <f t="shared" si="53"/>
        <v>16.5</v>
      </c>
      <c r="AN559" s="73">
        <f t="shared" si="52"/>
        <v>1.5</v>
      </c>
    </row>
    <row r="560" spans="21:40" ht="12.75" customHeight="1" x14ac:dyDescent="0.2">
      <c r="U560" s="376"/>
      <c r="V560" s="375"/>
      <c r="W560" s="360"/>
      <c r="X560" s="360"/>
      <c r="Y560" s="65"/>
      <c r="Z560" s="360"/>
      <c r="AA560" s="360"/>
      <c r="AB560" s="46"/>
      <c r="AC560" s="78" t="s">
        <v>50</v>
      </c>
      <c r="AD560" s="59">
        <v>3</v>
      </c>
      <c r="AE560" s="65"/>
      <c r="AF560" s="60">
        <f>I3Ext!$H$35</f>
        <v>40</v>
      </c>
      <c r="AG560" s="61">
        <f>AF561+0.01</f>
        <v>33.343333333333334</v>
      </c>
      <c r="AH560" s="65"/>
      <c r="AI560" s="78" t="s">
        <v>50</v>
      </c>
      <c r="AJ560" s="59">
        <v>3</v>
      </c>
      <c r="AK560" s="65"/>
      <c r="AL560" s="60">
        <f>ROUNDDOWN(I3Ext!$H$30*AF560/500,1)*5</f>
        <v>16</v>
      </c>
      <c r="AM560" s="353">
        <f t="shared" si="53"/>
        <v>13.5</v>
      </c>
      <c r="AN560" s="63">
        <f t="shared" si="52"/>
        <v>3</v>
      </c>
    </row>
    <row r="561" spans="21:40" ht="12.75" customHeight="1" x14ac:dyDescent="0.2">
      <c r="U561" s="376"/>
      <c r="V561" s="375"/>
      <c r="W561" s="360"/>
      <c r="X561" s="360"/>
      <c r="Y561" s="65"/>
      <c r="Z561" s="360"/>
      <c r="AA561" s="360"/>
      <c r="AB561" s="46"/>
      <c r="AC561" s="58">
        <v>5</v>
      </c>
      <c r="AD561" s="59">
        <v>2</v>
      </c>
      <c r="AE561" s="65"/>
      <c r="AF561" s="60">
        <f>AG562+2*(AF560-AG562)/3</f>
        <v>33.333333333333336</v>
      </c>
      <c r="AG561" s="61">
        <f>AF562+0.01</f>
        <v>26.676666666666669</v>
      </c>
      <c r="AH561" s="65"/>
      <c r="AI561" s="58">
        <v>5</v>
      </c>
      <c r="AJ561" s="59">
        <v>2</v>
      </c>
      <c r="AK561" s="65"/>
      <c r="AL561" s="60">
        <f>ROUNDDOWN(I3Ext!$H$30*AF561/500,1)*5</f>
        <v>13</v>
      </c>
      <c r="AM561" s="353">
        <f t="shared" si="53"/>
        <v>11</v>
      </c>
      <c r="AN561" s="63">
        <f t="shared" si="52"/>
        <v>2.5</v>
      </c>
    </row>
    <row r="562" spans="21:40" ht="12.75" customHeight="1" x14ac:dyDescent="0.2">
      <c r="U562" s="376"/>
      <c r="V562" s="375"/>
      <c r="W562" s="360"/>
      <c r="X562" s="375"/>
      <c r="Y562" s="65"/>
      <c r="Z562" s="360"/>
      <c r="AA562" s="360"/>
      <c r="AB562" s="46"/>
      <c r="AC562" s="81" t="s">
        <v>22</v>
      </c>
      <c r="AD562" s="69">
        <v>1</v>
      </c>
      <c r="AE562" s="70"/>
      <c r="AF562" s="82">
        <f>AG562+(AF560-AG562)/3</f>
        <v>26.666666666666668</v>
      </c>
      <c r="AG562" s="83">
        <f>I3Ext!$H$34</f>
        <v>20</v>
      </c>
      <c r="AH562" s="65"/>
      <c r="AI562" s="81" t="s">
        <v>22</v>
      </c>
      <c r="AJ562" s="69">
        <v>1</v>
      </c>
      <c r="AK562" s="70"/>
      <c r="AL562" s="60">
        <f>ROUNDDOWN(I3Ext!$H$30*AF562/500,1)*5</f>
        <v>10.5</v>
      </c>
      <c r="AM562" s="361">
        <f>ROUNDUP(I3Ext!$H$30*(I3Ext!$H$34/500),1)*5</f>
        <v>8</v>
      </c>
      <c r="AN562" s="73">
        <f t="shared" si="52"/>
        <v>3</v>
      </c>
    </row>
    <row r="563" spans="21:40" ht="12.75" customHeight="1" thickBot="1" x14ac:dyDescent="0.25">
      <c r="U563" s="375"/>
      <c r="V563" s="375"/>
      <c r="W563" s="360"/>
      <c r="X563" s="360"/>
      <c r="Y563" s="65"/>
      <c r="Z563" s="360"/>
      <c r="AA563" s="360"/>
      <c r="AB563" s="46"/>
      <c r="AC563" s="89">
        <v>6</v>
      </c>
      <c r="AD563" s="90">
        <v>0</v>
      </c>
      <c r="AE563" s="91"/>
      <c r="AF563" s="96">
        <f>I3Ext!$H$34-0.1</f>
        <v>19.899999999999999</v>
      </c>
      <c r="AG563" s="97">
        <v>0</v>
      </c>
      <c r="AH563" s="65"/>
      <c r="AI563" s="89">
        <v>6</v>
      </c>
      <c r="AJ563" s="90">
        <v>0</v>
      </c>
      <c r="AK563" s="91"/>
      <c r="AL563" s="96">
        <f>AM562-0.5</f>
        <v>7.5</v>
      </c>
      <c r="AM563" s="362">
        <v>0</v>
      </c>
      <c r="AN563" s="94">
        <f>IF(AM563&gt;AM562,"ALARM",AL563+1)</f>
        <v>8.5</v>
      </c>
    </row>
    <row r="564" spans="21:40" ht="12.75" customHeight="1" x14ac:dyDescent="0.2"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21:40" ht="12.75" customHeight="1" x14ac:dyDescent="0.2"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21:40" ht="12.75" customHeight="1" x14ac:dyDescent="0.2"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601" spans="20:40" ht="12.75" customHeight="1" thickBot="1" x14ac:dyDescent="0.25"/>
    <row r="602" spans="20:40" ht="12.75" customHeight="1" x14ac:dyDescent="0.2">
      <c r="T602" s="177" t="s">
        <v>74</v>
      </c>
      <c r="U602" s="47"/>
      <c r="V602" s="48"/>
      <c r="W602" s="455" t="s">
        <v>39</v>
      </c>
      <c r="X602" s="456"/>
      <c r="Y602" s="465" t="s">
        <v>32</v>
      </c>
      <c r="Z602" s="463" t="s">
        <v>40</v>
      </c>
      <c r="AA602" s="464"/>
      <c r="AB602" s="46"/>
      <c r="AC602" s="49" t="s">
        <v>17</v>
      </c>
      <c r="AD602" s="50" t="s">
        <v>32</v>
      </c>
      <c r="AE602" s="51"/>
      <c r="AF602" s="461" t="s">
        <v>41</v>
      </c>
      <c r="AG602" s="462"/>
      <c r="AH602" s="52"/>
      <c r="AI602" s="49" t="s">
        <v>17</v>
      </c>
      <c r="AJ602" s="50" t="s">
        <v>32</v>
      </c>
      <c r="AK602" s="53"/>
      <c r="AL602" s="452" t="s">
        <v>42</v>
      </c>
      <c r="AM602" s="453"/>
      <c r="AN602" s="54" t="s">
        <v>43</v>
      </c>
    </row>
    <row r="603" spans="20:40" ht="12.75" customHeight="1" x14ac:dyDescent="0.2">
      <c r="U603" s="55" t="s">
        <v>44</v>
      </c>
      <c r="V603" s="41" t="s">
        <v>43</v>
      </c>
      <c r="W603" s="457" t="s">
        <v>42</v>
      </c>
      <c r="X603" s="458"/>
      <c r="Y603" s="466"/>
      <c r="Z603" s="459" t="s">
        <v>45</v>
      </c>
      <c r="AA603" s="460"/>
      <c r="AB603" s="46"/>
      <c r="AC603" s="58"/>
      <c r="AD603" s="59"/>
      <c r="AE603" s="57"/>
      <c r="AF603" s="60" t="s">
        <v>46</v>
      </c>
      <c r="AG603" s="61" t="s">
        <v>47</v>
      </c>
      <c r="AH603" s="52"/>
      <c r="AI603" s="58"/>
      <c r="AJ603" s="59"/>
      <c r="AK603" s="57"/>
      <c r="AL603" s="57" t="s">
        <v>46</v>
      </c>
      <c r="AM603" s="62" t="s">
        <v>47</v>
      </c>
      <c r="AN603" s="63"/>
    </row>
    <row r="604" spans="20:40" ht="12.75" customHeight="1" x14ac:dyDescent="0.2">
      <c r="U604" s="64" t="s">
        <v>48</v>
      </c>
      <c r="V604" s="41" t="s">
        <v>39</v>
      </c>
      <c r="W604" s="56" t="s">
        <v>46</v>
      </c>
      <c r="X604" s="57" t="s">
        <v>47</v>
      </c>
      <c r="Y604" s="466"/>
      <c r="Z604" s="459" t="s">
        <v>49</v>
      </c>
      <c r="AA604" s="460"/>
      <c r="AB604" s="65"/>
      <c r="AC604" s="58"/>
      <c r="AD604" s="59"/>
      <c r="AE604" s="65"/>
      <c r="AF604" s="66"/>
      <c r="AG604" s="67"/>
      <c r="AH604" s="65"/>
      <c r="AI604" s="68"/>
      <c r="AJ604" s="69"/>
      <c r="AK604" s="70"/>
      <c r="AL604" s="71"/>
      <c r="AM604" s="72"/>
      <c r="AN604" s="73"/>
    </row>
    <row r="605" spans="20:40" ht="12.75" customHeight="1" x14ac:dyDescent="0.2">
      <c r="U605" s="74"/>
      <c r="V605" s="42"/>
      <c r="W605" s="75"/>
      <c r="X605" s="71"/>
      <c r="Y605" s="467"/>
      <c r="Z605" s="115"/>
      <c r="AA605" s="63"/>
      <c r="AB605" s="65"/>
      <c r="AC605" s="68"/>
      <c r="AD605" s="69"/>
      <c r="AE605" s="70"/>
      <c r="AF605" s="76"/>
      <c r="AG605" s="77"/>
      <c r="AH605" s="65"/>
      <c r="AI605" s="78" t="s">
        <v>50</v>
      </c>
      <c r="AJ605" s="59">
        <v>15</v>
      </c>
      <c r="AK605" s="65"/>
      <c r="AL605" s="60">
        <f>I4Ext!$H$30</f>
        <v>40</v>
      </c>
      <c r="AM605" s="353">
        <f>AL606+0.5</f>
        <v>38.5</v>
      </c>
      <c r="AN605" s="63">
        <f t="shared" ref="AN605:AN619" si="54">IF(AM605&gt;AL605,"ALARM",AL605-AL606)</f>
        <v>2</v>
      </c>
    </row>
    <row r="606" spans="20:40" ht="12.75" customHeight="1" x14ac:dyDescent="0.2">
      <c r="U606" s="108">
        <f>+I4Ext!A43</f>
        <v>0</v>
      </c>
      <c r="V606" s="110">
        <f>IF(I4Ext!$H$32="M",AN605+U606,AN648+U606)</f>
        <v>2</v>
      </c>
      <c r="W606" s="380">
        <f>I4Ext!$H$30</f>
        <v>40</v>
      </c>
      <c r="X606" s="353">
        <f>W607+0.5</f>
        <v>38.5</v>
      </c>
      <c r="Y606" s="56">
        <v>15</v>
      </c>
      <c r="Z606" s="117" t="str">
        <f>IF(ABS(IF(I4Ext!$H$32="M",AL605-W606,AL648-W606))&gt;1,"ALARM"," ")</f>
        <v xml:space="preserve"> </v>
      </c>
      <c r="AA606" s="114" t="str">
        <f>IF(ABS(IF(I4Ext!$H$32="M",AM605-X606,AM648-X606))&gt;1,"ALARM"," ")</f>
        <v xml:space="preserve"> </v>
      </c>
      <c r="AB606" s="65"/>
      <c r="AC606" s="78" t="s">
        <v>50</v>
      </c>
      <c r="AD606" s="59">
        <v>15</v>
      </c>
      <c r="AE606" s="65"/>
      <c r="AF606" s="60">
        <f>I4Ext!$H$35+12*(100-I4Ext!$H$35)/12</f>
        <v>100</v>
      </c>
      <c r="AG606" s="61">
        <f t="shared" ref="AG606:AG617" si="55">AF607+0.1</f>
        <v>95.1</v>
      </c>
      <c r="AH606" s="65"/>
      <c r="AI606" s="58">
        <v>1</v>
      </c>
      <c r="AJ606" s="59">
        <v>14</v>
      </c>
      <c r="AK606" s="65"/>
      <c r="AL606" s="60">
        <f>ROUNDDOWN(I4Ext!$H$30*AF607/500,1)*5</f>
        <v>38</v>
      </c>
      <c r="AM606" s="353">
        <f t="shared" ref="AM606:AM618" si="56">AL607+0.5</f>
        <v>36.5</v>
      </c>
      <c r="AN606" s="63">
        <f t="shared" si="54"/>
        <v>2</v>
      </c>
    </row>
    <row r="607" spans="20:40" ht="12.75" customHeight="1" x14ac:dyDescent="0.2">
      <c r="U607" s="108">
        <f>+I4Ext!A44</f>
        <v>0</v>
      </c>
      <c r="V607" s="111">
        <f>IF(I4Ext!$H$32="M",AN606+U607,AN649+U607)</f>
        <v>2</v>
      </c>
      <c r="W607" s="380">
        <f t="shared" ref="W607:W621" si="57">W606-V606</f>
        <v>38</v>
      </c>
      <c r="X607" s="353">
        <f t="shared" ref="X607:X620" si="58">W608+0.5</f>
        <v>36.5</v>
      </c>
      <c r="Y607" s="56">
        <v>14</v>
      </c>
      <c r="Z607" s="115" t="str">
        <f>IF(ABS(IF(I4Ext!$H$32="M",AL606-W607,AL649-W607))&gt;1,"ALARM"," ")</f>
        <v xml:space="preserve"> </v>
      </c>
      <c r="AA607" s="63" t="str">
        <f>IF(ABS(IF(I4Ext!$H$32="M",AM606-X607,AM649-X607))&gt;1,"ALARM"," ")</f>
        <v xml:space="preserve"> </v>
      </c>
      <c r="AB607" s="65"/>
      <c r="AC607" s="58">
        <v>1</v>
      </c>
      <c r="AD607" s="59">
        <v>14</v>
      </c>
      <c r="AE607" s="65"/>
      <c r="AF607" s="60">
        <f>I4Ext!$H$35+11*(100-I4Ext!$H$35)/12</f>
        <v>95</v>
      </c>
      <c r="AG607" s="61">
        <f t="shared" si="55"/>
        <v>90.1</v>
      </c>
      <c r="AH607" s="65"/>
      <c r="AI607" s="81" t="s">
        <v>22</v>
      </c>
      <c r="AJ607" s="69">
        <v>13</v>
      </c>
      <c r="AK607" s="70"/>
      <c r="AL607" s="60">
        <f>ROUNDDOWN(I4Ext!$H$30*AF608/500,1)*5</f>
        <v>36</v>
      </c>
      <c r="AM607" s="353">
        <f t="shared" si="56"/>
        <v>34.5</v>
      </c>
      <c r="AN607" s="73">
        <f t="shared" si="54"/>
        <v>2</v>
      </c>
    </row>
    <row r="608" spans="20:40" ht="12.75" customHeight="1" x14ac:dyDescent="0.2">
      <c r="U608" s="108">
        <f>+I4Ext!A45</f>
        <v>0</v>
      </c>
      <c r="V608" s="111">
        <f>IF(I4Ext!$H$32="M",AN607+U608,AN650+U608)</f>
        <v>2</v>
      </c>
      <c r="W608" s="381">
        <f t="shared" si="57"/>
        <v>36</v>
      </c>
      <c r="X608" s="353">
        <f t="shared" si="58"/>
        <v>34.5</v>
      </c>
      <c r="Y608" s="75">
        <v>13</v>
      </c>
      <c r="Z608" s="118" t="str">
        <f>IF(ABS(IF(I4Ext!$H$32="M",AL607-W608,AL650-W608))&gt;1,"ALARM"," ")</f>
        <v xml:space="preserve"> </v>
      </c>
      <c r="AA608" s="73" t="str">
        <f>IF(ABS(IF(I4Ext!$H$32="M",AM607-X608,AM650-X608))&gt;1,"ALARM"," ")</f>
        <v xml:space="preserve"> </v>
      </c>
      <c r="AB608" s="65"/>
      <c r="AC608" s="81" t="s">
        <v>22</v>
      </c>
      <c r="AD608" s="69">
        <v>13</v>
      </c>
      <c r="AE608" s="70"/>
      <c r="AF608" s="82">
        <f>I4Ext!$H$35+10*(100-I4Ext!$H$35)/12</f>
        <v>90</v>
      </c>
      <c r="AG608" s="83">
        <f t="shared" si="55"/>
        <v>85.1</v>
      </c>
      <c r="AH608" s="65"/>
      <c r="AI608" s="78" t="s">
        <v>50</v>
      </c>
      <c r="AJ608" s="59">
        <v>12</v>
      </c>
      <c r="AK608" s="65"/>
      <c r="AL608" s="60">
        <f>ROUNDDOWN(I4Ext!$H$30*AF609/500,1)*5</f>
        <v>34</v>
      </c>
      <c r="AM608" s="353">
        <f t="shared" si="56"/>
        <v>32.5</v>
      </c>
      <c r="AN608" s="63">
        <f t="shared" si="54"/>
        <v>2</v>
      </c>
    </row>
    <row r="609" spans="21:40" ht="12.75" customHeight="1" x14ac:dyDescent="0.2">
      <c r="U609" s="108">
        <f>+I4Ext!A46</f>
        <v>0</v>
      </c>
      <c r="V609" s="110">
        <f>IF(I4Ext!$H$32="M",AN608+U609,AN651+U609)</f>
        <v>2</v>
      </c>
      <c r="W609" s="380">
        <f t="shared" si="57"/>
        <v>34</v>
      </c>
      <c r="X609" s="353">
        <f t="shared" si="58"/>
        <v>32.5</v>
      </c>
      <c r="Y609" s="56">
        <v>12</v>
      </c>
      <c r="Z609" s="115" t="str">
        <f>IF(ABS(IF(I4Ext!$H$32="M",AL608-W609,AL651-W609))&gt;1,"ALARM"," ")</f>
        <v xml:space="preserve"> </v>
      </c>
      <c r="AA609" s="63" t="str">
        <f>IF(ABS(IF(I4Ext!$H$32="M",AM608-X609,AM651-X609))&gt;1,"ALARM"," ")</f>
        <v xml:space="preserve"> </v>
      </c>
      <c r="AB609" s="65"/>
      <c r="AC609" s="78" t="s">
        <v>50</v>
      </c>
      <c r="AD609" s="59">
        <v>12</v>
      </c>
      <c r="AE609" s="65"/>
      <c r="AF609" s="60">
        <f>I4Ext!$H$35+9*(100-I4Ext!$H$35)/12</f>
        <v>85</v>
      </c>
      <c r="AG609" s="61">
        <f t="shared" si="55"/>
        <v>80.099999999999994</v>
      </c>
      <c r="AH609" s="65"/>
      <c r="AI609" s="58">
        <v>2</v>
      </c>
      <c r="AJ609" s="59">
        <v>11</v>
      </c>
      <c r="AK609" s="65"/>
      <c r="AL609" s="60">
        <f>ROUNDDOWN(I4Ext!$H$30*AF610/500,1)*5</f>
        <v>32</v>
      </c>
      <c r="AM609" s="353">
        <f t="shared" si="56"/>
        <v>30.5</v>
      </c>
      <c r="AN609" s="63">
        <f t="shared" si="54"/>
        <v>2</v>
      </c>
    </row>
    <row r="610" spans="21:40" ht="12.75" customHeight="1" x14ac:dyDescent="0.2">
      <c r="U610" s="108">
        <f>+I4Ext!A47</f>
        <v>0</v>
      </c>
      <c r="V610" s="111">
        <f>IF(I4Ext!$H$32="M",AN609+U610,AN652+U610)</f>
        <v>2</v>
      </c>
      <c r="W610" s="380">
        <f t="shared" si="57"/>
        <v>32</v>
      </c>
      <c r="X610" s="353">
        <f t="shared" si="58"/>
        <v>30.5</v>
      </c>
      <c r="Y610" s="56">
        <v>11</v>
      </c>
      <c r="Z610" s="115" t="str">
        <f>IF(ABS(IF(I4Ext!$H$32="M",AL609-W610,AL652-W610))&gt;1,"ALARM"," ")</f>
        <v xml:space="preserve"> </v>
      </c>
      <c r="AA610" s="63" t="str">
        <f>IF(ABS(IF(I4Ext!$H$32="M",AM609-X610,AM652-X610))&gt;1,"ALARM"," ")</f>
        <v xml:space="preserve"> </v>
      </c>
      <c r="AB610" s="65"/>
      <c r="AC610" s="58">
        <v>2</v>
      </c>
      <c r="AD610" s="59">
        <v>11</v>
      </c>
      <c r="AE610" s="65"/>
      <c r="AF610" s="60">
        <f>I4Ext!$H$35+8*(100-I4Ext!$H$35)/12</f>
        <v>80</v>
      </c>
      <c r="AG610" s="61">
        <f t="shared" si="55"/>
        <v>75.099999999999994</v>
      </c>
      <c r="AH610" s="65"/>
      <c r="AI610" s="81" t="s">
        <v>22</v>
      </c>
      <c r="AJ610" s="69">
        <v>10</v>
      </c>
      <c r="AK610" s="70"/>
      <c r="AL610" s="60">
        <f>ROUNDDOWN(I4Ext!$H$30*AF611/500,1)*5</f>
        <v>30</v>
      </c>
      <c r="AM610" s="353">
        <f t="shared" si="56"/>
        <v>28.5</v>
      </c>
      <c r="AN610" s="73">
        <f t="shared" si="54"/>
        <v>2</v>
      </c>
    </row>
    <row r="611" spans="21:40" ht="12.75" customHeight="1" x14ac:dyDescent="0.2">
      <c r="U611" s="108">
        <f>+I4Ext!A48</f>
        <v>0</v>
      </c>
      <c r="V611" s="113">
        <f>IF(I4Ext!$H$32="M",AN610+U611,AN653+U611)</f>
        <v>2</v>
      </c>
      <c r="W611" s="381">
        <f t="shared" si="57"/>
        <v>30</v>
      </c>
      <c r="X611" s="353">
        <f t="shared" si="58"/>
        <v>28.5</v>
      </c>
      <c r="Y611" s="75">
        <v>10</v>
      </c>
      <c r="Z611" s="115" t="str">
        <f>IF(ABS(IF(I4Ext!$H$32="M",AL610-W611,AL653-W611))&gt;1,"ALARM"," ")</f>
        <v xml:space="preserve"> </v>
      </c>
      <c r="AA611" s="63" t="str">
        <f>IF(ABS(IF(I4Ext!$H$32="M",AM610-X611,AM653-X611))&gt;1,"ALARM"," ")</f>
        <v xml:space="preserve"> </v>
      </c>
      <c r="AB611" s="65"/>
      <c r="AC611" s="81" t="s">
        <v>22</v>
      </c>
      <c r="AD611" s="69">
        <v>10</v>
      </c>
      <c r="AE611" s="70"/>
      <c r="AF611" s="82">
        <f>I4Ext!$H$35+7*(100-I4Ext!$H$35)/12</f>
        <v>75</v>
      </c>
      <c r="AG611" s="83">
        <f t="shared" si="55"/>
        <v>70.099999999999994</v>
      </c>
      <c r="AH611" s="65"/>
      <c r="AI611" s="78" t="s">
        <v>50</v>
      </c>
      <c r="AJ611" s="59">
        <v>9</v>
      </c>
      <c r="AK611" s="65"/>
      <c r="AL611" s="60">
        <f>ROUNDDOWN(I4Ext!$H$30*AF612/500,1)*5</f>
        <v>28</v>
      </c>
      <c r="AM611" s="353">
        <f t="shared" si="56"/>
        <v>26.5</v>
      </c>
      <c r="AN611" s="63">
        <f t="shared" si="54"/>
        <v>2</v>
      </c>
    </row>
    <row r="612" spans="21:40" ht="12.75" customHeight="1" x14ac:dyDescent="0.2">
      <c r="U612" s="108">
        <f>+I4Ext!A49</f>
        <v>0</v>
      </c>
      <c r="V612" s="111">
        <f>IF(I4Ext!$H$32="M",AN611+U612,AN654+U612)</f>
        <v>2</v>
      </c>
      <c r="W612" s="380">
        <f t="shared" si="57"/>
        <v>28</v>
      </c>
      <c r="X612" s="353">
        <f t="shared" si="58"/>
        <v>26.5</v>
      </c>
      <c r="Y612" s="56">
        <v>9</v>
      </c>
      <c r="Z612" s="117" t="str">
        <f>IF(ABS(IF(I4Ext!$H$32="M",AL611-W612,AL654-W612))&gt;1,"ALARM"," ")</f>
        <v xml:space="preserve"> </v>
      </c>
      <c r="AA612" s="114" t="str">
        <f>IF(ABS(IF(I4Ext!$H$32="M",AM611-X612,AM654-X612))&gt;1,"ALARM"," ")</f>
        <v xml:space="preserve"> </v>
      </c>
      <c r="AB612" s="65"/>
      <c r="AC612" s="78" t="s">
        <v>50</v>
      </c>
      <c r="AD612" s="59">
        <v>9</v>
      </c>
      <c r="AE612" s="65"/>
      <c r="AF612" s="60">
        <f>I4Ext!$H$35+6*(100-I4Ext!$H$35)/12</f>
        <v>70</v>
      </c>
      <c r="AG612" s="61">
        <f t="shared" si="55"/>
        <v>65.099999999999994</v>
      </c>
      <c r="AH612" s="65"/>
      <c r="AI612" s="58">
        <v>3</v>
      </c>
      <c r="AJ612" s="59">
        <v>8</v>
      </c>
      <c r="AK612" s="65"/>
      <c r="AL612" s="60">
        <f>ROUNDDOWN(I4Ext!$H$30*AF613/500,1)*5</f>
        <v>26</v>
      </c>
      <c r="AM612" s="353">
        <f t="shared" si="56"/>
        <v>24.5</v>
      </c>
      <c r="AN612" s="63">
        <f t="shared" si="54"/>
        <v>2</v>
      </c>
    </row>
    <row r="613" spans="21:40" ht="12.75" customHeight="1" x14ac:dyDescent="0.2">
      <c r="U613" s="108">
        <f>+I4Ext!A50</f>
        <v>0</v>
      </c>
      <c r="V613" s="111">
        <f>IF(I4Ext!$H$32="M",AN612+U613,AN655+U613)</f>
        <v>2</v>
      </c>
      <c r="W613" s="380">
        <f t="shared" si="57"/>
        <v>26</v>
      </c>
      <c r="X613" s="353">
        <f t="shared" si="58"/>
        <v>24.5</v>
      </c>
      <c r="Y613" s="56">
        <v>8</v>
      </c>
      <c r="Z613" s="115" t="str">
        <f>IF(ABS(IF(I4Ext!$H$32="M",AL612-W613,AL655-W613))&gt;1,"ALARM"," ")</f>
        <v xml:space="preserve"> </v>
      </c>
      <c r="AA613" s="63" t="str">
        <f>IF(ABS(IF(I4Ext!$H$32="M",AM612-X613,AM655-X613))&gt;1,"ALARM"," ")</f>
        <v xml:space="preserve"> </v>
      </c>
      <c r="AB613" s="65"/>
      <c r="AC613" s="58">
        <v>3</v>
      </c>
      <c r="AD613" s="59">
        <v>8</v>
      </c>
      <c r="AE613" s="65"/>
      <c r="AF613" s="60">
        <f>I4Ext!$H$35+5*(100-I4Ext!$H$35)/12</f>
        <v>65</v>
      </c>
      <c r="AG613" s="61">
        <f t="shared" si="55"/>
        <v>60.1</v>
      </c>
      <c r="AH613" s="65"/>
      <c r="AI613" s="81" t="s">
        <v>22</v>
      </c>
      <c r="AJ613" s="69">
        <v>7</v>
      </c>
      <c r="AK613" s="70"/>
      <c r="AL613" s="60">
        <f>ROUNDDOWN(I4Ext!$H$30*AF614/500,1)*5</f>
        <v>24</v>
      </c>
      <c r="AM613" s="353">
        <f t="shared" si="56"/>
        <v>22.5</v>
      </c>
      <c r="AN613" s="73">
        <f t="shared" si="54"/>
        <v>2</v>
      </c>
    </row>
    <row r="614" spans="21:40" ht="12.75" customHeight="1" x14ac:dyDescent="0.2">
      <c r="U614" s="108">
        <f>+I4Ext!A51</f>
        <v>0</v>
      </c>
      <c r="V614" s="111">
        <f>IF(I4Ext!$H$32="M",AN613+U614,AN656+U614)</f>
        <v>2</v>
      </c>
      <c r="W614" s="381">
        <f t="shared" si="57"/>
        <v>24</v>
      </c>
      <c r="X614" s="353">
        <f t="shared" si="58"/>
        <v>22.5</v>
      </c>
      <c r="Y614" s="75">
        <v>7</v>
      </c>
      <c r="Z614" s="118" t="str">
        <f>IF(ABS(IF(I4Ext!$H$32="M",AL613-W614,AL656-W614))&gt;1,"ALARM"," ")</f>
        <v xml:space="preserve"> </v>
      </c>
      <c r="AA614" s="73" t="str">
        <f>IF(ABS(IF(I4Ext!$H$32="M",AM613-X614,AM656-X614))&gt;1,"ALARM"," ")</f>
        <v xml:space="preserve"> </v>
      </c>
      <c r="AB614" s="65"/>
      <c r="AC614" s="81" t="s">
        <v>22</v>
      </c>
      <c r="AD614" s="69">
        <v>7</v>
      </c>
      <c r="AE614" s="70"/>
      <c r="AF614" s="82">
        <f>I4Ext!$H$35+4*(100-I4Ext!$H$35)/12</f>
        <v>60</v>
      </c>
      <c r="AG614" s="83">
        <f t="shared" si="55"/>
        <v>55.1</v>
      </c>
      <c r="AH614" s="65"/>
      <c r="AI614" s="78" t="s">
        <v>50</v>
      </c>
      <c r="AJ614" s="59">
        <v>6</v>
      </c>
      <c r="AK614" s="65"/>
      <c r="AL614" s="60">
        <f>ROUNDDOWN(I4Ext!$H$30*AF615/500,1)*5</f>
        <v>22</v>
      </c>
      <c r="AM614" s="353">
        <f t="shared" si="56"/>
        <v>20.5</v>
      </c>
      <c r="AN614" s="63">
        <f t="shared" si="54"/>
        <v>2</v>
      </c>
    </row>
    <row r="615" spans="21:40" ht="12.75" customHeight="1" x14ac:dyDescent="0.2">
      <c r="U615" s="108">
        <f>+I4Ext!A52</f>
        <v>0</v>
      </c>
      <c r="V615" s="110">
        <f>IF(I4Ext!$H$32="M",AN614+U615,AN657+U615)</f>
        <v>2</v>
      </c>
      <c r="W615" s="380">
        <f t="shared" si="57"/>
        <v>22</v>
      </c>
      <c r="X615" s="353">
        <f t="shared" si="58"/>
        <v>20.5</v>
      </c>
      <c r="Y615" s="56">
        <v>6</v>
      </c>
      <c r="Z615" s="115" t="str">
        <f>IF(ABS(IF(I4Ext!$H$32="M",AL614-W615,AL657-W615))&gt;1,"ALARM"," ")</f>
        <v xml:space="preserve"> </v>
      </c>
      <c r="AA615" s="63" t="str">
        <f>IF(ABS(IF(I4Ext!$H$32="M",AM614-X615,AM657-X615))&gt;1,"ALARM"," ")</f>
        <v xml:space="preserve"> </v>
      </c>
      <c r="AB615" s="65"/>
      <c r="AC615" s="78" t="s">
        <v>50</v>
      </c>
      <c r="AD615" s="59">
        <v>6</v>
      </c>
      <c r="AE615" s="65"/>
      <c r="AF615" s="60">
        <f>I4Ext!$H$35+3*(100-I4Ext!$H$35)/12</f>
        <v>55</v>
      </c>
      <c r="AG615" s="61">
        <f t="shared" si="55"/>
        <v>50.1</v>
      </c>
      <c r="AH615" s="65"/>
      <c r="AI615" s="58">
        <v>4</v>
      </c>
      <c r="AJ615" s="59">
        <v>5</v>
      </c>
      <c r="AK615" s="65"/>
      <c r="AL615" s="60">
        <f>ROUNDDOWN(I4Ext!$H$30*AF616/500,1)*5</f>
        <v>20</v>
      </c>
      <c r="AM615" s="353">
        <f t="shared" si="56"/>
        <v>18.5</v>
      </c>
      <c r="AN615" s="63">
        <f t="shared" si="54"/>
        <v>2</v>
      </c>
    </row>
    <row r="616" spans="21:40" ht="12.75" customHeight="1" x14ac:dyDescent="0.2">
      <c r="U616" s="108">
        <f>+I4Ext!A53</f>
        <v>0</v>
      </c>
      <c r="V616" s="111">
        <f>IF(I4Ext!$H$32="M",AN615+U616,AN658+U616)</f>
        <v>2</v>
      </c>
      <c r="W616" s="380">
        <f t="shared" si="57"/>
        <v>20</v>
      </c>
      <c r="X616" s="353">
        <f t="shared" si="58"/>
        <v>18.5</v>
      </c>
      <c r="Y616" s="56">
        <v>5</v>
      </c>
      <c r="Z616" s="115" t="str">
        <f>IF(ABS(IF(I4Ext!$H$32="M",AL615-W616,AL658-W616))&gt;1,"ALARM"," ")</f>
        <v xml:space="preserve"> </v>
      </c>
      <c r="AA616" s="63" t="str">
        <f>IF(ABS(IF(I4Ext!$H$32="M",AM615-X616,AM658-X616))&gt;1,"ALARM"," ")</f>
        <v xml:space="preserve"> </v>
      </c>
      <c r="AB616" s="65"/>
      <c r="AC616" s="58">
        <v>4</v>
      </c>
      <c r="AD616" s="59">
        <v>5</v>
      </c>
      <c r="AE616" s="65"/>
      <c r="AF616" s="60">
        <f>I4Ext!$H$35+2*(100-I4Ext!$H$35)/12</f>
        <v>50</v>
      </c>
      <c r="AG616" s="61">
        <f t="shared" si="55"/>
        <v>45.1</v>
      </c>
      <c r="AH616" s="65"/>
      <c r="AI616" s="81" t="s">
        <v>22</v>
      </c>
      <c r="AJ616" s="69">
        <v>4</v>
      </c>
      <c r="AK616" s="70"/>
      <c r="AL616" s="60">
        <f>ROUNDDOWN(I4Ext!$H$30*AF617/500,1)*5</f>
        <v>18</v>
      </c>
      <c r="AM616" s="353">
        <f t="shared" si="56"/>
        <v>16.5</v>
      </c>
      <c r="AN616" s="73">
        <f t="shared" si="54"/>
        <v>2</v>
      </c>
    </row>
    <row r="617" spans="21:40" ht="12.75" customHeight="1" x14ac:dyDescent="0.2">
      <c r="U617" s="108">
        <f>+I4Ext!A54</f>
        <v>0</v>
      </c>
      <c r="V617" s="113">
        <f>IF(I4Ext!$H$32="M",AN616+U617,AN659+U617)</f>
        <v>2</v>
      </c>
      <c r="W617" s="381">
        <f t="shared" si="57"/>
        <v>18</v>
      </c>
      <c r="X617" s="353">
        <f t="shared" si="58"/>
        <v>16.5</v>
      </c>
      <c r="Y617" s="75">
        <v>4</v>
      </c>
      <c r="Z617" s="115" t="str">
        <f>IF(ABS(IF(I4Ext!$H$32="M",AL616-W617,AL659-W617))&gt;1,"ALARM"," ")</f>
        <v xml:space="preserve"> </v>
      </c>
      <c r="AA617" s="63" t="str">
        <f>IF(ABS(IF(I4Ext!$H$32="M",AM616-X617,AM659-X617))&gt;1,"ALARM"," ")</f>
        <v xml:space="preserve"> </v>
      </c>
      <c r="AB617" s="65"/>
      <c r="AC617" s="81" t="s">
        <v>22</v>
      </c>
      <c r="AD617" s="69">
        <v>4</v>
      </c>
      <c r="AE617" s="70"/>
      <c r="AF617" s="82">
        <f>I4Ext!$H$35+1*(100-I4Ext!$H$35)/12</f>
        <v>45</v>
      </c>
      <c r="AG617" s="83">
        <f t="shared" si="55"/>
        <v>40.1</v>
      </c>
      <c r="AH617" s="65"/>
      <c r="AI617" s="78" t="s">
        <v>50</v>
      </c>
      <c r="AJ617" s="59">
        <v>3</v>
      </c>
      <c r="AK617" s="65"/>
      <c r="AL617" s="60">
        <f>ROUNDDOWN(I4Ext!$H$30*AF618/500,1)*5</f>
        <v>16</v>
      </c>
      <c r="AM617" s="353">
        <f t="shared" si="56"/>
        <v>13.5</v>
      </c>
      <c r="AN617" s="63">
        <f t="shared" si="54"/>
        <v>3</v>
      </c>
    </row>
    <row r="618" spans="21:40" ht="12.75" customHeight="1" x14ac:dyDescent="0.2">
      <c r="U618" s="108">
        <f>+I4Ext!A55</f>
        <v>0</v>
      </c>
      <c r="V618" s="110">
        <f>IF(I4Ext!$H$32="M",AN617+U618,AN660+U618)</f>
        <v>3</v>
      </c>
      <c r="W618" s="380">
        <f t="shared" si="57"/>
        <v>16</v>
      </c>
      <c r="X618" s="353">
        <f t="shared" si="58"/>
        <v>13.5</v>
      </c>
      <c r="Y618" s="56">
        <v>3</v>
      </c>
      <c r="Z618" s="117" t="str">
        <f>IF(ABS(IF(I4Ext!$H$32="M",AL617-W618,AL660-W618))&gt;1,"ALARM"," ")</f>
        <v xml:space="preserve"> </v>
      </c>
      <c r="AA618" s="114" t="str">
        <f>IF(ABS(IF(I4Ext!$H$32="M",AM617-X618,AM660-X618))&gt;1,"ALARM"," ")</f>
        <v xml:space="preserve"> </v>
      </c>
      <c r="AB618" s="65"/>
      <c r="AC618" s="78" t="s">
        <v>50</v>
      </c>
      <c r="AD618" s="59">
        <v>3</v>
      </c>
      <c r="AE618" s="65"/>
      <c r="AF618" s="60">
        <f>I4Ext!$H$35</f>
        <v>40</v>
      </c>
      <c r="AG618" s="61">
        <f>AF619+0.01</f>
        <v>33.343333333333334</v>
      </c>
      <c r="AH618" s="65"/>
      <c r="AI618" s="58">
        <v>5</v>
      </c>
      <c r="AJ618" s="59">
        <v>2</v>
      </c>
      <c r="AK618" s="65"/>
      <c r="AL618" s="60">
        <f>ROUNDDOWN(I4Ext!$H$30*AF619/500,1)*5</f>
        <v>13</v>
      </c>
      <c r="AM618" s="353">
        <f t="shared" si="56"/>
        <v>11</v>
      </c>
      <c r="AN618" s="63">
        <f t="shared" si="54"/>
        <v>2.5</v>
      </c>
    </row>
    <row r="619" spans="21:40" ht="12.75" customHeight="1" x14ac:dyDescent="0.2">
      <c r="U619" s="108">
        <f>+I4Ext!A56</f>
        <v>0</v>
      </c>
      <c r="V619" s="111">
        <f>IF(I4Ext!$H$32="M",AN618+U619,AN661+U619)</f>
        <v>2.5</v>
      </c>
      <c r="W619" s="380">
        <f t="shared" si="57"/>
        <v>13</v>
      </c>
      <c r="X619" s="353">
        <f t="shared" si="58"/>
        <v>11</v>
      </c>
      <c r="Y619" s="56">
        <v>2</v>
      </c>
      <c r="Z619" s="115" t="str">
        <f>IF(ABS(IF(I4Ext!$H$32="M",AL618-W619,AL661-W619))&gt;1,"ALARM"," ")</f>
        <v xml:space="preserve"> </v>
      </c>
      <c r="AA619" s="63" t="str">
        <f>IF(ABS(IF(I4Ext!$H$32="M",AM618-X619,AM661-X619))&gt;1,"ALARM"," ")</f>
        <v xml:space="preserve"> </v>
      </c>
      <c r="AB619" s="65"/>
      <c r="AC619" s="58">
        <v>5</v>
      </c>
      <c r="AD619" s="59">
        <v>2</v>
      </c>
      <c r="AE619" s="65"/>
      <c r="AF619" s="60">
        <f>AG620+2*(AF618-AG620)/3</f>
        <v>33.333333333333336</v>
      </c>
      <c r="AG619" s="61">
        <f>AF620+0.01</f>
        <v>26.676666666666669</v>
      </c>
      <c r="AH619" s="65"/>
      <c r="AI619" s="81" t="s">
        <v>22</v>
      </c>
      <c r="AJ619" s="69">
        <v>1</v>
      </c>
      <c r="AK619" s="70"/>
      <c r="AL619" s="60">
        <f>ROUNDDOWN(I4Ext!$H$30*AF620/500,1)*5</f>
        <v>10.5</v>
      </c>
      <c r="AM619" s="361">
        <f>ROUNDUP(I4Ext!$H$30*(I4Ext!$H$34/500),1)*5</f>
        <v>8</v>
      </c>
      <c r="AN619" s="73">
        <f t="shared" si="54"/>
        <v>3</v>
      </c>
    </row>
    <row r="620" spans="21:40" ht="12.75" customHeight="1" thickBot="1" x14ac:dyDescent="0.25">
      <c r="U620" s="108">
        <f>+I4Ext!A57</f>
        <v>0</v>
      </c>
      <c r="V620" s="113">
        <f>IF(I4Ext!$H$32="M",AN619+U620,AN662+U620)</f>
        <v>3</v>
      </c>
      <c r="W620" s="381">
        <f t="shared" si="57"/>
        <v>10.5</v>
      </c>
      <c r="X620" s="353">
        <f t="shared" si="58"/>
        <v>8</v>
      </c>
      <c r="Y620" s="75">
        <v>1</v>
      </c>
      <c r="Z620" s="118" t="str">
        <f>IF(ABS(IF(I4Ext!$H$32="M",AL619-W620,AL662-W620))&gt;1,"ALARM"," ")</f>
        <v xml:space="preserve"> </v>
      </c>
      <c r="AA620" s="73" t="str">
        <f>IF(ABS(IF(I4Ext!$H$32="M",AM619-X620,AM662-X620))&gt;1,"ALARM"," ")</f>
        <v xml:space="preserve"> </v>
      </c>
      <c r="AB620" s="65"/>
      <c r="AC620" s="81" t="s">
        <v>22</v>
      </c>
      <c r="AD620" s="69">
        <v>1</v>
      </c>
      <c r="AE620" s="70"/>
      <c r="AF620" s="82">
        <f>AG620+(AF618-AG620)/3</f>
        <v>26.666666666666668</v>
      </c>
      <c r="AG620" s="83">
        <f>I4Ext!$H$34</f>
        <v>20</v>
      </c>
      <c r="AH620" s="65"/>
      <c r="AI620" s="89">
        <v>6</v>
      </c>
      <c r="AJ620" s="90">
        <v>0</v>
      </c>
      <c r="AK620" s="91"/>
      <c r="AL620" s="96">
        <f>AM619-0.5</f>
        <v>7.5</v>
      </c>
      <c r="AM620" s="362">
        <v>0</v>
      </c>
      <c r="AN620" s="94">
        <f>IF(AM620&gt;AM619,"ALARM",AL620)</f>
        <v>7.5</v>
      </c>
    </row>
    <row r="621" spans="21:40" ht="12.75" customHeight="1" thickBot="1" x14ac:dyDescent="0.25">
      <c r="U621" s="43" t="s">
        <v>51</v>
      </c>
      <c r="V621" s="112">
        <f>IF(I4Ext!$H$32="M",+W621,W663)</f>
        <v>7.5</v>
      </c>
      <c r="W621" s="384">
        <f t="shared" si="57"/>
        <v>7.5</v>
      </c>
      <c r="X621" s="362">
        <v>0</v>
      </c>
      <c r="Y621" s="95">
        <v>0</v>
      </c>
      <c r="Z621" s="116" t="str">
        <f>IF(ABS(IF(I4Ext!$H$32="M",AL620-W621,AL663-W621))&gt;1,"ALARM"," ")</f>
        <v xml:space="preserve"> </v>
      </c>
      <c r="AA621" s="94" t="str">
        <f>IF(ABS(IF(I4Ext!$H$32="M",AM620-X621,AM663-X621))&gt;1,"ALARM"," ")</f>
        <v xml:space="preserve"> </v>
      </c>
      <c r="AB621" s="65"/>
      <c r="AC621" s="89">
        <v>6</v>
      </c>
      <c r="AD621" s="90">
        <v>0</v>
      </c>
      <c r="AE621" s="91"/>
      <c r="AF621" s="96">
        <f>I4Ext!$H$34-0.1</f>
        <v>19.899999999999999</v>
      </c>
      <c r="AG621" s="97">
        <v>0</v>
      </c>
      <c r="AH621" s="65"/>
      <c r="AI621" s="65"/>
      <c r="AJ621" s="65"/>
      <c r="AK621" s="65"/>
      <c r="AL621" s="65"/>
      <c r="AM621" s="65"/>
      <c r="AN621" s="65"/>
    </row>
    <row r="622" spans="21:40" ht="12.75" customHeight="1" x14ac:dyDescent="0.2"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21:40" ht="12.75" customHeight="1" x14ac:dyDescent="0.2"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21:40" ht="12.75" customHeight="1" x14ac:dyDescent="0.2">
      <c r="U624" s="46"/>
      <c r="V624" s="359">
        <f t="shared" ref="V624:V639" si="59">+X624</f>
        <v>0</v>
      </c>
      <c r="W624" s="359">
        <f>+W621</f>
        <v>7.5</v>
      </c>
      <c r="X624" s="359">
        <f>+X621</f>
        <v>0</v>
      </c>
      <c r="Y624" s="46">
        <f>+Y621</f>
        <v>0</v>
      </c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21:40" ht="12.75" customHeight="1" x14ac:dyDescent="0.2">
      <c r="U625" s="46"/>
      <c r="V625" s="359">
        <f t="shared" si="59"/>
        <v>8</v>
      </c>
      <c r="W625" s="359">
        <f>+W620</f>
        <v>10.5</v>
      </c>
      <c r="X625" s="359">
        <f>+X620</f>
        <v>8</v>
      </c>
      <c r="Y625" s="46">
        <f>+Y620</f>
        <v>1</v>
      </c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21:40" ht="12.75" customHeight="1" x14ac:dyDescent="0.2">
      <c r="U626" s="46"/>
      <c r="V626" s="359">
        <f t="shared" si="59"/>
        <v>11</v>
      </c>
      <c r="W626" s="359">
        <f>+W619</f>
        <v>13</v>
      </c>
      <c r="X626" s="359">
        <f>+X619</f>
        <v>11</v>
      </c>
      <c r="Y626" s="46">
        <f>+Y619</f>
        <v>2</v>
      </c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21:40" ht="12.75" customHeight="1" x14ac:dyDescent="0.2">
      <c r="U627" s="46"/>
      <c r="V627" s="359">
        <f t="shared" si="59"/>
        <v>13.5</v>
      </c>
      <c r="W627" s="359">
        <f>+W618</f>
        <v>16</v>
      </c>
      <c r="X627" s="359">
        <f>+X618</f>
        <v>13.5</v>
      </c>
      <c r="Y627" s="46">
        <f>+Y618</f>
        <v>3</v>
      </c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21:40" ht="12.75" customHeight="1" x14ac:dyDescent="0.2">
      <c r="U628" s="46"/>
      <c r="V628" s="359">
        <f t="shared" si="59"/>
        <v>16.5</v>
      </c>
      <c r="W628" s="359">
        <f>+W617</f>
        <v>18</v>
      </c>
      <c r="X628" s="359">
        <f>+X617</f>
        <v>16.5</v>
      </c>
      <c r="Y628" s="46">
        <f>+Y617</f>
        <v>4</v>
      </c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21:40" ht="12.75" customHeight="1" x14ac:dyDescent="0.2">
      <c r="U629" s="46"/>
      <c r="V629" s="359">
        <f t="shared" si="59"/>
        <v>18.5</v>
      </c>
      <c r="W629" s="359">
        <f>+W616</f>
        <v>20</v>
      </c>
      <c r="X629" s="359">
        <f>+X616</f>
        <v>18.5</v>
      </c>
      <c r="Y629" s="46">
        <f>+Y616</f>
        <v>5</v>
      </c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21:40" ht="12.75" customHeight="1" x14ac:dyDescent="0.2">
      <c r="U630" s="46"/>
      <c r="V630" s="359">
        <f t="shared" si="59"/>
        <v>20.5</v>
      </c>
      <c r="W630" s="359">
        <f>+W615</f>
        <v>22</v>
      </c>
      <c r="X630" s="359">
        <f>+X615</f>
        <v>20.5</v>
      </c>
      <c r="Y630" s="46">
        <f>+Y615</f>
        <v>6</v>
      </c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21:40" ht="12.75" customHeight="1" x14ac:dyDescent="0.2">
      <c r="U631" s="46"/>
      <c r="V631" s="359">
        <f t="shared" si="59"/>
        <v>22.5</v>
      </c>
      <c r="W631" s="359">
        <f>+W614</f>
        <v>24</v>
      </c>
      <c r="X631" s="359">
        <f>+X614</f>
        <v>22.5</v>
      </c>
      <c r="Y631" s="46">
        <f>+Y614</f>
        <v>7</v>
      </c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21:40" ht="12.75" customHeight="1" x14ac:dyDescent="0.2">
      <c r="U632" s="46"/>
      <c r="V632" s="359">
        <f t="shared" si="59"/>
        <v>24.5</v>
      </c>
      <c r="W632" s="359">
        <f>+W613</f>
        <v>26</v>
      </c>
      <c r="X632" s="359">
        <f>+X613</f>
        <v>24.5</v>
      </c>
      <c r="Y632" s="46">
        <f>+Y613</f>
        <v>8</v>
      </c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21:40" ht="12.75" customHeight="1" x14ac:dyDescent="0.2">
      <c r="U633" s="46"/>
      <c r="V633" s="359">
        <f t="shared" si="59"/>
        <v>26.5</v>
      </c>
      <c r="W633" s="359">
        <f>+W612</f>
        <v>28</v>
      </c>
      <c r="X633" s="359">
        <f>+X612</f>
        <v>26.5</v>
      </c>
      <c r="Y633" s="46">
        <f>+Y612</f>
        <v>9</v>
      </c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21:40" ht="12.75" customHeight="1" x14ac:dyDescent="0.2">
      <c r="U634" s="46"/>
      <c r="V634" s="359">
        <f t="shared" si="59"/>
        <v>28.5</v>
      </c>
      <c r="W634" s="359">
        <f>+W611</f>
        <v>30</v>
      </c>
      <c r="X634" s="359">
        <f>+X611</f>
        <v>28.5</v>
      </c>
      <c r="Y634" s="46">
        <f>+Y611</f>
        <v>10</v>
      </c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21:40" ht="12.75" customHeight="1" x14ac:dyDescent="0.2">
      <c r="U635" s="46"/>
      <c r="V635" s="359">
        <f t="shared" si="59"/>
        <v>30.5</v>
      </c>
      <c r="W635" s="359">
        <f>+W610</f>
        <v>32</v>
      </c>
      <c r="X635" s="359">
        <f>+X610</f>
        <v>30.5</v>
      </c>
      <c r="Y635" s="46">
        <f>+Y610</f>
        <v>11</v>
      </c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21:40" ht="12.75" customHeight="1" x14ac:dyDescent="0.2">
      <c r="U636" s="46"/>
      <c r="V636" s="359">
        <f t="shared" si="59"/>
        <v>32.5</v>
      </c>
      <c r="W636" s="359">
        <f>+W609</f>
        <v>34</v>
      </c>
      <c r="X636" s="359">
        <f>+X609</f>
        <v>32.5</v>
      </c>
      <c r="Y636" s="46">
        <f>+Y609</f>
        <v>12</v>
      </c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21:40" ht="12.75" customHeight="1" x14ac:dyDescent="0.2">
      <c r="U637" s="46"/>
      <c r="V637" s="359">
        <f t="shared" si="59"/>
        <v>34.5</v>
      </c>
      <c r="W637" s="359">
        <f>+W608</f>
        <v>36</v>
      </c>
      <c r="X637" s="359">
        <f>+X608</f>
        <v>34.5</v>
      </c>
      <c r="Y637" s="46">
        <f>+Y608</f>
        <v>13</v>
      </c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21:40" ht="12.75" customHeight="1" x14ac:dyDescent="0.2">
      <c r="U638" s="46"/>
      <c r="V638" s="359">
        <f t="shared" si="59"/>
        <v>36.5</v>
      </c>
      <c r="W638" s="359">
        <f>+W607</f>
        <v>38</v>
      </c>
      <c r="X638" s="359">
        <f>+X607</f>
        <v>36.5</v>
      </c>
      <c r="Y638" s="46">
        <f>+Y607</f>
        <v>14</v>
      </c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21:40" ht="12.75" customHeight="1" x14ac:dyDescent="0.2">
      <c r="U639" s="46"/>
      <c r="V639" s="359">
        <f t="shared" si="59"/>
        <v>38.5</v>
      </c>
      <c r="W639" s="359">
        <f>+W606</f>
        <v>40</v>
      </c>
      <c r="X639" s="359">
        <f>+X606</f>
        <v>38.5</v>
      </c>
      <c r="Y639" s="98">
        <f>+Y606</f>
        <v>15</v>
      </c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21:40" ht="12.75" customHeight="1" x14ac:dyDescent="0.2"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21:40" ht="12.75" customHeight="1" x14ac:dyDescent="0.2"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21:40" ht="12.75" customHeight="1" x14ac:dyDescent="0.2"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21:40" ht="12.75" customHeight="1" x14ac:dyDescent="0.2"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52"/>
      <c r="AI643" s="57"/>
      <c r="AJ643" s="60"/>
      <c r="AK643" s="60"/>
      <c r="AL643" s="52"/>
      <c r="AM643" s="88"/>
      <c r="AN643" s="57"/>
    </row>
    <row r="644" spans="21:40" ht="12.75" customHeight="1" thickBot="1" x14ac:dyDescent="0.25">
      <c r="U644" s="360"/>
      <c r="V644" s="375"/>
      <c r="W644" s="454"/>
      <c r="X644" s="454"/>
      <c r="Y644" s="65"/>
      <c r="Z644" s="454"/>
      <c r="AA644" s="454"/>
      <c r="AB644" s="46"/>
      <c r="AC644" s="65"/>
      <c r="AD644" s="57"/>
      <c r="AE644" s="57"/>
      <c r="AF644" s="60"/>
      <c r="AG644" s="60"/>
      <c r="AH644" s="52"/>
      <c r="AI644" s="65"/>
      <c r="AJ644" s="57"/>
      <c r="AK644" s="65"/>
      <c r="AL644" s="57"/>
      <c r="AM644" s="57"/>
      <c r="AN644" s="57"/>
    </row>
    <row r="645" spans="21:40" ht="12.75" customHeight="1" x14ac:dyDescent="0.2">
      <c r="U645" s="376"/>
      <c r="V645" s="375"/>
      <c r="W645" s="458"/>
      <c r="X645" s="458"/>
      <c r="Y645" s="65"/>
      <c r="Z645" s="454"/>
      <c r="AA645" s="454"/>
      <c r="AB645" s="46"/>
      <c r="AC645" s="49" t="s">
        <v>17</v>
      </c>
      <c r="AD645" s="50" t="s">
        <v>32</v>
      </c>
      <c r="AE645" s="51"/>
      <c r="AF645" s="461" t="s">
        <v>41</v>
      </c>
      <c r="AG645" s="462"/>
      <c r="AH645" s="52"/>
      <c r="AI645" s="49" t="s">
        <v>17</v>
      </c>
      <c r="AJ645" s="50" t="s">
        <v>32</v>
      </c>
      <c r="AK645" s="53"/>
      <c r="AL645" s="452" t="s">
        <v>42</v>
      </c>
      <c r="AM645" s="453"/>
      <c r="AN645" s="54" t="s">
        <v>43</v>
      </c>
    </row>
    <row r="646" spans="21:40" ht="12.75" customHeight="1" x14ac:dyDescent="0.2">
      <c r="U646" s="377"/>
      <c r="V646" s="375"/>
      <c r="W646" s="360"/>
      <c r="X646" s="360"/>
      <c r="Y646" s="65"/>
      <c r="Z646" s="454"/>
      <c r="AA646" s="454"/>
      <c r="AB646" s="46"/>
      <c r="AC646" s="58"/>
      <c r="AD646" s="59"/>
      <c r="AE646" s="57"/>
      <c r="AF646" s="60" t="s">
        <v>46</v>
      </c>
      <c r="AG646" s="61" t="s">
        <v>47</v>
      </c>
      <c r="AH646" s="52"/>
      <c r="AI646" s="58"/>
      <c r="AJ646" s="59"/>
      <c r="AK646" s="57"/>
      <c r="AL646" s="57" t="s">
        <v>46</v>
      </c>
      <c r="AM646" s="62" t="s">
        <v>47</v>
      </c>
      <c r="AN646" s="63"/>
    </row>
    <row r="647" spans="21:40" ht="12.75" customHeight="1" x14ac:dyDescent="0.2">
      <c r="U647" s="65"/>
      <c r="V647" s="375"/>
      <c r="W647" s="360"/>
      <c r="X647" s="360"/>
      <c r="Y647" s="65"/>
      <c r="Z647" s="360"/>
      <c r="AA647" s="360"/>
      <c r="AB647" s="46"/>
      <c r="AC647" s="68"/>
      <c r="AD647" s="69"/>
      <c r="AE647" s="70"/>
      <c r="AF647" s="76"/>
      <c r="AG647" s="77"/>
      <c r="AH647" s="65"/>
      <c r="AI647" s="68"/>
      <c r="AJ647" s="69"/>
      <c r="AK647" s="70"/>
      <c r="AL647" s="71"/>
      <c r="AM647" s="72"/>
      <c r="AN647" s="73"/>
    </row>
    <row r="648" spans="21:40" ht="12.75" customHeight="1" x14ac:dyDescent="0.2">
      <c r="U648" s="376"/>
      <c r="V648" s="375"/>
      <c r="W648" s="79"/>
      <c r="X648" s="360"/>
      <c r="Y648" s="65"/>
      <c r="Z648" s="360"/>
      <c r="AA648" s="360"/>
      <c r="AB648" s="46"/>
      <c r="AC648" s="78" t="s">
        <v>50</v>
      </c>
      <c r="AD648" s="59">
        <v>15</v>
      </c>
      <c r="AE648" s="65"/>
      <c r="AF648" s="60">
        <f>I4Ext!$H$35+30*(100-I4Ext!$H$35)/30</f>
        <v>100</v>
      </c>
      <c r="AG648" s="61">
        <f t="shared" ref="AG648:AG659" si="60">AF649+0.1</f>
        <v>94.1</v>
      </c>
      <c r="AH648" s="65"/>
      <c r="AI648" s="78" t="s">
        <v>50</v>
      </c>
      <c r="AJ648" s="59">
        <v>15</v>
      </c>
      <c r="AK648" s="65"/>
      <c r="AL648" s="79">
        <f>I4Ext!$H$30</f>
        <v>40</v>
      </c>
      <c r="AM648" s="62">
        <f>AL649+0.5</f>
        <v>38</v>
      </c>
      <c r="AN648" s="63">
        <f t="shared" ref="AN648:AN662" si="61">IF(AM648&gt;AL648,"ALARM",AL648-AL649)</f>
        <v>2.5</v>
      </c>
    </row>
    <row r="649" spans="21:40" ht="12.75" customHeight="1" x14ac:dyDescent="0.2">
      <c r="U649" s="376"/>
      <c r="V649" s="375"/>
      <c r="W649" s="360"/>
      <c r="X649" s="360"/>
      <c r="Y649" s="65"/>
      <c r="Z649" s="360"/>
      <c r="AA649" s="360"/>
      <c r="AB649" s="46"/>
      <c r="AC649" s="58">
        <v>1</v>
      </c>
      <c r="AD649" s="59">
        <v>14</v>
      </c>
      <c r="AE649" s="65"/>
      <c r="AF649" s="60">
        <f>I4Ext!$H$35+27*(100-I4Ext!$H$35)/30</f>
        <v>94</v>
      </c>
      <c r="AG649" s="61">
        <f t="shared" si="60"/>
        <v>88.1</v>
      </c>
      <c r="AH649" s="65"/>
      <c r="AI649" s="58">
        <v>1</v>
      </c>
      <c r="AJ649" s="59">
        <v>14</v>
      </c>
      <c r="AK649" s="65"/>
      <c r="AL649" s="57">
        <f>ROUNDDOWN(I4Ext!$H$30*AF649/500,1)*5</f>
        <v>37.5</v>
      </c>
      <c r="AM649" s="352">
        <f t="shared" ref="AM649:AM661" si="62">AL650+0.5</f>
        <v>35.5</v>
      </c>
      <c r="AN649" s="63">
        <f t="shared" si="61"/>
        <v>2.5</v>
      </c>
    </row>
    <row r="650" spans="21:40" ht="12.75" customHeight="1" x14ac:dyDescent="0.2">
      <c r="U650" s="376"/>
      <c r="V650" s="375"/>
      <c r="W650" s="360"/>
      <c r="X650" s="360"/>
      <c r="Y650" s="65"/>
      <c r="Z650" s="360"/>
      <c r="AA650" s="360"/>
      <c r="AB650" s="46"/>
      <c r="AC650" s="81" t="s">
        <v>22</v>
      </c>
      <c r="AD650" s="69">
        <v>13</v>
      </c>
      <c r="AE650" s="70"/>
      <c r="AF650" s="82">
        <f>I4Ext!$H$35+24*(100-I4Ext!$H$35)/30</f>
        <v>88</v>
      </c>
      <c r="AG650" s="83">
        <f t="shared" si="60"/>
        <v>82.1</v>
      </c>
      <c r="AH650" s="65"/>
      <c r="AI650" s="81" t="s">
        <v>22</v>
      </c>
      <c r="AJ650" s="69">
        <v>13</v>
      </c>
      <c r="AK650" s="70"/>
      <c r="AL650" s="383">
        <f>ROUNDDOWN(I4Ext!$H$30*AF650/500,1)*5</f>
        <v>35</v>
      </c>
      <c r="AM650" s="352">
        <f t="shared" si="62"/>
        <v>33</v>
      </c>
      <c r="AN650" s="73">
        <f t="shared" si="61"/>
        <v>2.5</v>
      </c>
    </row>
    <row r="651" spans="21:40" ht="12.75" customHeight="1" x14ac:dyDescent="0.2">
      <c r="U651" s="376"/>
      <c r="V651" s="375"/>
      <c r="W651" s="360"/>
      <c r="X651" s="360"/>
      <c r="Y651" s="65"/>
      <c r="Z651" s="360"/>
      <c r="AA651" s="360"/>
      <c r="AB651" s="46"/>
      <c r="AC651" s="78" t="s">
        <v>50</v>
      </c>
      <c r="AD651" s="59">
        <v>12</v>
      </c>
      <c r="AE651" s="65"/>
      <c r="AF651" s="60">
        <f>I4Ext!$H$35+21*(100-I4Ext!$H$35)/30</f>
        <v>82</v>
      </c>
      <c r="AG651" s="61">
        <f t="shared" si="60"/>
        <v>76.099999999999994</v>
      </c>
      <c r="AH651" s="65"/>
      <c r="AI651" s="78" t="s">
        <v>50</v>
      </c>
      <c r="AJ651" s="59">
        <v>12</v>
      </c>
      <c r="AK651" s="65"/>
      <c r="AL651" s="383">
        <f>ROUNDDOWN(I4Ext!$H$30*AF651/500,1)*5</f>
        <v>32.5</v>
      </c>
      <c r="AM651" s="352">
        <f t="shared" si="62"/>
        <v>30.5</v>
      </c>
      <c r="AN651" s="63">
        <f t="shared" si="61"/>
        <v>2.5</v>
      </c>
    </row>
    <row r="652" spans="21:40" ht="12.75" customHeight="1" x14ac:dyDescent="0.2">
      <c r="U652" s="376"/>
      <c r="V652" s="375"/>
      <c r="W652" s="360"/>
      <c r="X652" s="360"/>
      <c r="Y652" s="65"/>
      <c r="Z652" s="360"/>
      <c r="AA652" s="360"/>
      <c r="AB652" s="46"/>
      <c r="AC652" s="58">
        <v>2</v>
      </c>
      <c r="AD652" s="59">
        <v>11</v>
      </c>
      <c r="AE652" s="65"/>
      <c r="AF652" s="60">
        <f>I4Ext!$H$35+18*(100-I4Ext!$H$35)/30</f>
        <v>76</v>
      </c>
      <c r="AG652" s="61">
        <f t="shared" si="60"/>
        <v>70.099999999999994</v>
      </c>
      <c r="AH652" s="65"/>
      <c r="AI652" s="58">
        <v>2</v>
      </c>
      <c r="AJ652" s="59">
        <v>11</v>
      </c>
      <c r="AK652" s="65"/>
      <c r="AL652" s="383">
        <f>ROUNDDOWN(I4Ext!$H$30*AF652/500,1)*5</f>
        <v>30</v>
      </c>
      <c r="AM652" s="352">
        <f t="shared" si="62"/>
        <v>28.5</v>
      </c>
      <c r="AN652" s="63">
        <f t="shared" si="61"/>
        <v>2</v>
      </c>
    </row>
    <row r="653" spans="21:40" ht="12.75" customHeight="1" x14ac:dyDescent="0.2">
      <c r="U653" s="376"/>
      <c r="V653" s="375"/>
      <c r="W653" s="360"/>
      <c r="X653" s="360"/>
      <c r="Y653" s="65"/>
      <c r="Z653" s="360"/>
      <c r="AA653" s="360"/>
      <c r="AB653" s="46"/>
      <c r="AC653" s="81" t="s">
        <v>22</v>
      </c>
      <c r="AD653" s="69">
        <v>10</v>
      </c>
      <c r="AE653" s="70"/>
      <c r="AF653" s="82">
        <f>I4Ext!$H$35+15*(100-I4Ext!$H$35)/30</f>
        <v>70</v>
      </c>
      <c r="AG653" s="83">
        <f t="shared" si="60"/>
        <v>64.099999999999994</v>
      </c>
      <c r="AH653" s="65"/>
      <c r="AI653" s="81" t="s">
        <v>22</v>
      </c>
      <c r="AJ653" s="69">
        <v>10</v>
      </c>
      <c r="AK653" s="70"/>
      <c r="AL653" s="383">
        <f>ROUNDDOWN(I4Ext!$H$30*AF653/500,1)*5</f>
        <v>28</v>
      </c>
      <c r="AM653" s="352">
        <f t="shared" si="62"/>
        <v>26</v>
      </c>
      <c r="AN653" s="73">
        <f t="shared" si="61"/>
        <v>2.5</v>
      </c>
    </row>
    <row r="654" spans="21:40" ht="12.75" customHeight="1" x14ac:dyDescent="0.2">
      <c r="U654" s="376"/>
      <c r="V654" s="375"/>
      <c r="W654" s="360"/>
      <c r="X654" s="360"/>
      <c r="Y654" s="65"/>
      <c r="Z654" s="360"/>
      <c r="AA654" s="360"/>
      <c r="AB654" s="46"/>
      <c r="AC654" s="78" t="s">
        <v>50</v>
      </c>
      <c r="AD654" s="59">
        <v>9</v>
      </c>
      <c r="AE654" s="65"/>
      <c r="AF654" s="60">
        <f>I4Ext!$H$35+12*(100-I4Ext!$H$35)/30</f>
        <v>64</v>
      </c>
      <c r="AG654" s="61">
        <f t="shared" si="60"/>
        <v>60.1</v>
      </c>
      <c r="AH654" s="65"/>
      <c r="AI654" s="78" t="s">
        <v>50</v>
      </c>
      <c r="AJ654" s="59">
        <v>9</v>
      </c>
      <c r="AK654" s="65"/>
      <c r="AL654" s="383">
        <f>ROUNDDOWN(I4Ext!$H$30*AF654/500,1)*5</f>
        <v>25.5</v>
      </c>
      <c r="AM654" s="352">
        <f t="shared" si="62"/>
        <v>24.5</v>
      </c>
      <c r="AN654" s="63">
        <f t="shared" si="61"/>
        <v>1.5</v>
      </c>
    </row>
    <row r="655" spans="21:40" ht="12.75" customHeight="1" x14ac:dyDescent="0.2">
      <c r="U655" s="376"/>
      <c r="V655" s="375"/>
      <c r="W655" s="360"/>
      <c r="X655" s="360"/>
      <c r="Y655" s="65"/>
      <c r="Z655" s="360"/>
      <c r="AA655" s="360"/>
      <c r="AB655" s="46"/>
      <c r="AC655" s="58">
        <v>3</v>
      </c>
      <c r="AD655" s="59">
        <v>8</v>
      </c>
      <c r="AE655" s="65"/>
      <c r="AF655" s="60">
        <f>I4Ext!$H$35+10*(100-I4Ext!$H$35)/30</f>
        <v>60</v>
      </c>
      <c r="AG655" s="61">
        <f t="shared" si="60"/>
        <v>56.1</v>
      </c>
      <c r="AH655" s="65"/>
      <c r="AI655" s="58">
        <v>3</v>
      </c>
      <c r="AJ655" s="59">
        <v>8</v>
      </c>
      <c r="AK655" s="65"/>
      <c r="AL655" s="383">
        <f>ROUNDDOWN(I4Ext!$H$30*AF655/500,1)*5</f>
        <v>24</v>
      </c>
      <c r="AM655" s="352">
        <f t="shared" si="62"/>
        <v>22.5</v>
      </c>
      <c r="AN655" s="63">
        <f t="shared" si="61"/>
        <v>2</v>
      </c>
    </row>
    <row r="656" spans="21:40" ht="12.75" customHeight="1" x14ac:dyDescent="0.2">
      <c r="U656" s="376"/>
      <c r="V656" s="375"/>
      <c r="W656" s="360"/>
      <c r="X656" s="360"/>
      <c r="Y656" s="65"/>
      <c r="Z656" s="360"/>
      <c r="AA656" s="360"/>
      <c r="AB656" s="46"/>
      <c r="AC656" s="81" t="s">
        <v>22</v>
      </c>
      <c r="AD656" s="69">
        <v>7</v>
      </c>
      <c r="AE656" s="70"/>
      <c r="AF656" s="82">
        <f>I4Ext!$H$35+8*(100-I4Ext!$H$35)/30</f>
        <v>56</v>
      </c>
      <c r="AG656" s="83">
        <f t="shared" si="60"/>
        <v>52.1</v>
      </c>
      <c r="AH656" s="65"/>
      <c r="AI656" s="81" t="s">
        <v>22</v>
      </c>
      <c r="AJ656" s="69">
        <v>7</v>
      </c>
      <c r="AK656" s="70"/>
      <c r="AL656" s="383">
        <f>ROUNDDOWN(I4Ext!$H$30*AF656/500,1)*5</f>
        <v>22</v>
      </c>
      <c r="AM656" s="352">
        <f t="shared" si="62"/>
        <v>21</v>
      </c>
      <c r="AN656" s="73">
        <f t="shared" si="61"/>
        <v>1.5</v>
      </c>
    </row>
    <row r="657" spans="21:40" ht="12.75" customHeight="1" x14ac:dyDescent="0.2">
      <c r="U657" s="376"/>
      <c r="V657" s="375"/>
      <c r="W657" s="360"/>
      <c r="X657" s="360"/>
      <c r="Y657" s="65"/>
      <c r="Z657" s="360"/>
      <c r="AA657" s="360"/>
      <c r="AB657" s="46"/>
      <c r="AC657" s="78" t="s">
        <v>50</v>
      </c>
      <c r="AD657" s="59">
        <v>6</v>
      </c>
      <c r="AE657" s="65"/>
      <c r="AF657" s="60">
        <f>I4Ext!$H$35+6*(100-I4Ext!$H$35)/30</f>
        <v>52</v>
      </c>
      <c r="AG657" s="61">
        <f t="shared" si="60"/>
        <v>48.1</v>
      </c>
      <c r="AH657" s="65"/>
      <c r="AI657" s="78" t="s">
        <v>50</v>
      </c>
      <c r="AJ657" s="59">
        <v>6</v>
      </c>
      <c r="AK657" s="65"/>
      <c r="AL657" s="383">
        <f>ROUNDDOWN(I4Ext!$H$30*AF657/500,1)*5</f>
        <v>20.5</v>
      </c>
      <c r="AM657" s="352">
        <f t="shared" si="62"/>
        <v>19.5</v>
      </c>
      <c r="AN657" s="63">
        <f t="shared" si="61"/>
        <v>1.5</v>
      </c>
    </row>
    <row r="658" spans="21:40" ht="12.75" customHeight="1" x14ac:dyDescent="0.2">
      <c r="U658" s="376"/>
      <c r="V658" s="375"/>
      <c r="W658" s="360"/>
      <c r="X658" s="360"/>
      <c r="Y658" s="65"/>
      <c r="Z658" s="360"/>
      <c r="AA658" s="360"/>
      <c r="AB658" s="46"/>
      <c r="AC658" s="58">
        <v>4</v>
      </c>
      <c r="AD658" s="59">
        <v>5</v>
      </c>
      <c r="AE658" s="65"/>
      <c r="AF658" s="60">
        <f>I4Ext!$H$35+4*(100-I4Ext!$H$35)/30</f>
        <v>48</v>
      </c>
      <c r="AG658" s="61">
        <f t="shared" si="60"/>
        <v>44.1</v>
      </c>
      <c r="AH658" s="65"/>
      <c r="AI658" s="58">
        <v>4</v>
      </c>
      <c r="AJ658" s="59">
        <v>5</v>
      </c>
      <c r="AK658" s="65"/>
      <c r="AL658" s="383">
        <f>ROUNDDOWN(I4Ext!$H$30*AF658/500,1)*5</f>
        <v>19</v>
      </c>
      <c r="AM658" s="352">
        <f t="shared" si="62"/>
        <v>18</v>
      </c>
      <c r="AN658" s="63">
        <f t="shared" si="61"/>
        <v>1.5</v>
      </c>
    </row>
    <row r="659" spans="21:40" ht="12.75" customHeight="1" x14ac:dyDescent="0.2">
      <c r="U659" s="376"/>
      <c r="V659" s="375"/>
      <c r="W659" s="360"/>
      <c r="X659" s="360"/>
      <c r="Y659" s="65"/>
      <c r="Z659" s="360"/>
      <c r="AA659" s="360"/>
      <c r="AB659" s="46"/>
      <c r="AC659" s="81" t="s">
        <v>22</v>
      </c>
      <c r="AD659" s="69">
        <v>4</v>
      </c>
      <c r="AE659" s="70"/>
      <c r="AF659" s="82">
        <f>I4Ext!$H$35+2*(100-I4Ext!$H$35)/30</f>
        <v>44</v>
      </c>
      <c r="AG659" s="83">
        <f t="shared" si="60"/>
        <v>40.1</v>
      </c>
      <c r="AH659" s="65"/>
      <c r="AI659" s="81" t="s">
        <v>22</v>
      </c>
      <c r="AJ659" s="69">
        <v>4</v>
      </c>
      <c r="AK659" s="70"/>
      <c r="AL659" s="383">
        <f>ROUNDDOWN(I4Ext!$H$30*AF659/500,1)*5</f>
        <v>17.5</v>
      </c>
      <c r="AM659" s="352">
        <f t="shared" si="62"/>
        <v>16.5</v>
      </c>
      <c r="AN659" s="73">
        <f t="shared" si="61"/>
        <v>1.5</v>
      </c>
    </row>
    <row r="660" spans="21:40" ht="12.75" customHeight="1" x14ac:dyDescent="0.2">
      <c r="U660" s="376"/>
      <c r="V660" s="375"/>
      <c r="W660" s="360"/>
      <c r="X660" s="360"/>
      <c r="Y660" s="65"/>
      <c r="Z660" s="360"/>
      <c r="AA660" s="360"/>
      <c r="AB660" s="46"/>
      <c r="AC660" s="78" t="s">
        <v>50</v>
      </c>
      <c r="AD660" s="59">
        <v>3</v>
      </c>
      <c r="AE660" s="65"/>
      <c r="AF660" s="60">
        <f>I4Ext!$H$35</f>
        <v>40</v>
      </c>
      <c r="AG660" s="61">
        <f>AF661+0.01</f>
        <v>33.343333333333334</v>
      </c>
      <c r="AH660" s="65"/>
      <c r="AI660" s="78" t="s">
        <v>50</v>
      </c>
      <c r="AJ660" s="59">
        <v>3</v>
      </c>
      <c r="AK660" s="65"/>
      <c r="AL660" s="383">
        <f>ROUNDDOWN(I4Ext!$H$30*AF660/500,1)*5</f>
        <v>16</v>
      </c>
      <c r="AM660" s="352">
        <f t="shared" si="62"/>
        <v>13.5</v>
      </c>
      <c r="AN660" s="63">
        <f t="shared" si="61"/>
        <v>3</v>
      </c>
    </row>
    <row r="661" spans="21:40" ht="12.75" customHeight="1" x14ac:dyDescent="0.2">
      <c r="U661" s="376"/>
      <c r="V661" s="375"/>
      <c r="W661" s="360"/>
      <c r="X661" s="360"/>
      <c r="Y661" s="65"/>
      <c r="Z661" s="360"/>
      <c r="AA661" s="360"/>
      <c r="AB661" s="46"/>
      <c r="AC661" s="58">
        <v>5</v>
      </c>
      <c r="AD661" s="59">
        <v>2</v>
      </c>
      <c r="AE661" s="65"/>
      <c r="AF661" s="60">
        <f>AG662+2*(AF660-AG662)/3</f>
        <v>33.333333333333336</v>
      </c>
      <c r="AG661" s="61">
        <f>AF662+0.01</f>
        <v>26.676666666666669</v>
      </c>
      <c r="AH661" s="65"/>
      <c r="AI661" s="58">
        <v>5</v>
      </c>
      <c r="AJ661" s="59">
        <v>2</v>
      </c>
      <c r="AK661" s="65"/>
      <c r="AL661" s="383">
        <f>ROUNDDOWN(I4Ext!$H$30*AF661/500,1)*5</f>
        <v>13</v>
      </c>
      <c r="AM661" s="352">
        <f t="shared" si="62"/>
        <v>11</v>
      </c>
      <c r="AN661" s="63">
        <f t="shared" si="61"/>
        <v>2.5</v>
      </c>
    </row>
    <row r="662" spans="21:40" ht="12.75" customHeight="1" x14ac:dyDescent="0.2">
      <c r="U662" s="376"/>
      <c r="V662" s="375"/>
      <c r="W662" s="360"/>
      <c r="X662" s="375"/>
      <c r="Y662" s="65"/>
      <c r="Z662" s="360"/>
      <c r="AA662" s="360"/>
      <c r="AB662" s="46"/>
      <c r="AC662" s="81" t="s">
        <v>22</v>
      </c>
      <c r="AD662" s="69">
        <v>1</v>
      </c>
      <c r="AE662" s="70"/>
      <c r="AF662" s="82">
        <f>AG662+(AF660-AG662)/3</f>
        <v>26.666666666666668</v>
      </c>
      <c r="AG662" s="83">
        <f>I4Ext!$H$34</f>
        <v>20</v>
      </c>
      <c r="AH662" s="65"/>
      <c r="AI662" s="81" t="s">
        <v>22</v>
      </c>
      <c r="AJ662" s="69">
        <v>1</v>
      </c>
      <c r="AK662" s="70"/>
      <c r="AL662" s="383">
        <f>ROUNDDOWN(I4Ext!$H$30*AF662/500,1)*5</f>
        <v>10.5</v>
      </c>
      <c r="AM662" s="72">
        <f>ROUNDUP(I4Ext!$H$30*(I4Ext!$H$34/500),1)*5</f>
        <v>8</v>
      </c>
      <c r="AN662" s="73">
        <f t="shared" si="61"/>
        <v>3</v>
      </c>
    </row>
    <row r="663" spans="21:40" ht="12.75" customHeight="1" thickBot="1" x14ac:dyDescent="0.25">
      <c r="U663" s="375"/>
      <c r="V663" s="375"/>
      <c r="W663" s="360"/>
      <c r="X663" s="360"/>
      <c r="Y663" s="65"/>
      <c r="Z663" s="360"/>
      <c r="AA663" s="360"/>
      <c r="AB663" s="46"/>
      <c r="AC663" s="89">
        <v>6</v>
      </c>
      <c r="AD663" s="90">
        <v>0</v>
      </c>
      <c r="AE663" s="91"/>
      <c r="AF663" s="96">
        <f>I4Ext!$H$34-0.1</f>
        <v>19.899999999999999</v>
      </c>
      <c r="AG663" s="97">
        <v>0</v>
      </c>
      <c r="AH663" s="65"/>
      <c r="AI663" s="89">
        <v>6</v>
      </c>
      <c r="AJ663" s="90">
        <v>0</v>
      </c>
      <c r="AK663" s="91"/>
      <c r="AL663" s="92">
        <f>AM662-0.5</f>
        <v>7.5</v>
      </c>
      <c r="AM663" s="93">
        <v>0</v>
      </c>
      <c r="AN663" s="94">
        <f>IF(AM663&gt;AM662,"ALARM",AL663)</f>
        <v>7.5</v>
      </c>
    </row>
    <row r="664" spans="21:40" ht="12.75" customHeight="1" x14ac:dyDescent="0.2"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21:40" ht="12.75" customHeight="1" x14ac:dyDescent="0.2"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21:40" ht="12.75" customHeight="1" x14ac:dyDescent="0.2"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21:40" ht="12.75" customHeight="1" x14ac:dyDescent="0.2"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21:40" ht="12.75" customHeight="1" x14ac:dyDescent="0.2"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21:40" ht="12.75" customHeight="1" x14ac:dyDescent="0.2"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21:40" ht="12.75" customHeight="1" x14ac:dyDescent="0.2"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21:40" ht="12.75" customHeight="1" x14ac:dyDescent="0.2"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21:40" ht="12.75" customHeight="1" x14ac:dyDescent="0.2"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21:40" ht="12.75" customHeight="1" x14ac:dyDescent="0.2"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21:40" ht="12.75" customHeight="1" x14ac:dyDescent="0.2"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21:40" ht="12.75" customHeight="1" x14ac:dyDescent="0.2"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21:40" ht="12.75" customHeight="1" x14ac:dyDescent="0.2"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21:40" ht="12.75" customHeight="1" x14ac:dyDescent="0.2"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21:40" ht="12.75" customHeight="1" x14ac:dyDescent="0.2"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21:40" ht="12.75" customHeight="1" x14ac:dyDescent="0.2"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21:40" ht="12.75" customHeight="1" x14ac:dyDescent="0.2"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21:40" ht="12.75" customHeight="1" x14ac:dyDescent="0.2"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21:40" ht="12.75" customHeight="1" x14ac:dyDescent="0.2"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21:40" ht="12.75" customHeight="1" x14ac:dyDescent="0.2"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21:40" ht="12.75" customHeight="1" x14ac:dyDescent="0.2"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21:40" ht="12.75" customHeight="1" x14ac:dyDescent="0.2"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21:40" ht="12.75" customHeight="1" x14ac:dyDescent="0.2"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21:40" ht="12.75" customHeight="1" x14ac:dyDescent="0.2"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21:40" ht="12.75" customHeight="1" x14ac:dyDescent="0.2"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20:41" ht="12.75" customHeight="1" x14ac:dyDescent="0.2"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20:41" ht="12.75" customHeight="1" x14ac:dyDescent="0.2"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20:41" ht="12.75" customHeight="1" x14ac:dyDescent="0.2"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20:41" ht="12.75" customHeight="1" x14ac:dyDescent="0.2"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20:41" ht="12.75" customHeight="1" x14ac:dyDescent="0.2"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20:41" ht="12.75" customHeight="1" x14ac:dyDescent="0.2"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701" spans="20:41" ht="12.75" customHeight="1" thickBot="1" x14ac:dyDescent="0.25"/>
    <row r="702" spans="20:41" ht="12.75" customHeight="1" x14ac:dyDescent="0.2">
      <c r="T702" s="177" t="s">
        <v>75</v>
      </c>
      <c r="U702" s="47"/>
      <c r="V702" s="48"/>
      <c r="W702" s="455" t="s">
        <v>39</v>
      </c>
      <c r="X702" s="456"/>
      <c r="Y702" s="465" t="s">
        <v>32</v>
      </c>
      <c r="Z702" s="463" t="s">
        <v>40</v>
      </c>
      <c r="AA702" s="464"/>
      <c r="AB702" s="46"/>
      <c r="AC702" s="49" t="s">
        <v>17</v>
      </c>
      <c r="AD702" s="50" t="s">
        <v>32</v>
      </c>
      <c r="AE702" s="51"/>
      <c r="AF702" s="461" t="s">
        <v>41</v>
      </c>
      <c r="AG702" s="462"/>
      <c r="AH702" s="52"/>
      <c r="AI702" s="49" t="s">
        <v>17</v>
      </c>
      <c r="AJ702" s="50" t="s">
        <v>32</v>
      </c>
      <c r="AK702" s="53"/>
      <c r="AL702" s="452" t="s">
        <v>42</v>
      </c>
      <c r="AM702" s="453"/>
      <c r="AN702" s="54" t="s">
        <v>43</v>
      </c>
      <c r="AO702" s="46"/>
    </row>
    <row r="703" spans="20:41" ht="12.75" customHeight="1" x14ac:dyDescent="0.2">
      <c r="U703" s="55" t="s">
        <v>44</v>
      </c>
      <c r="V703" s="41" t="s">
        <v>43</v>
      </c>
      <c r="W703" s="457" t="s">
        <v>42</v>
      </c>
      <c r="X703" s="458"/>
      <c r="Y703" s="466"/>
      <c r="Z703" s="459" t="s">
        <v>45</v>
      </c>
      <c r="AA703" s="460"/>
      <c r="AB703" s="46"/>
      <c r="AC703" s="58"/>
      <c r="AD703" s="59"/>
      <c r="AE703" s="57"/>
      <c r="AF703" s="60" t="s">
        <v>46</v>
      </c>
      <c r="AG703" s="61" t="s">
        <v>47</v>
      </c>
      <c r="AH703" s="52"/>
      <c r="AI703" s="58"/>
      <c r="AJ703" s="59"/>
      <c r="AK703" s="57"/>
      <c r="AL703" s="57" t="s">
        <v>46</v>
      </c>
      <c r="AM703" s="62" t="s">
        <v>47</v>
      </c>
      <c r="AN703" s="63"/>
      <c r="AO703" s="46"/>
    </row>
    <row r="704" spans="20:41" ht="12.75" customHeight="1" x14ac:dyDescent="0.2">
      <c r="U704" s="64" t="s">
        <v>48</v>
      </c>
      <c r="V704" s="41" t="s">
        <v>39</v>
      </c>
      <c r="W704" s="56" t="s">
        <v>46</v>
      </c>
      <c r="X704" s="57" t="s">
        <v>47</v>
      </c>
      <c r="Y704" s="466"/>
      <c r="Z704" s="459" t="s">
        <v>49</v>
      </c>
      <c r="AA704" s="460"/>
      <c r="AB704" s="65"/>
      <c r="AC704" s="58"/>
      <c r="AD704" s="59"/>
      <c r="AE704" s="65"/>
      <c r="AF704" s="66"/>
      <c r="AG704" s="67"/>
      <c r="AH704" s="65"/>
      <c r="AI704" s="68"/>
      <c r="AJ704" s="69"/>
      <c r="AK704" s="70"/>
      <c r="AL704" s="71"/>
      <c r="AM704" s="72"/>
      <c r="AN704" s="73"/>
      <c r="AO704" s="65"/>
    </row>
    <row r="705" spans="21:42" ht="12.75" customHeight="1" x14ac:dyDescent="0.2">
      <c r="U705" s="74"/>
      <c r="V705" s="42"/>
      <c r="W705" s="75"/>
      <c r="X705" s="71"/>
      <c r="Y705" s="467"/>
      <c r="Z705" s="115"/>
      <c r="AA705" s="63"/>
      <c r="AB705" s="65"/>
      <c r="AC705" s="68"/>
      <c r="AD705" s="69"/>
      <c r="AE705" s="70"/>
      <c r="AF705" s="76"/>
      <c r="AG705" s="77"/>
      <c r="AH705" s="65"/>
      <c r="AI705" s="78" t="s">
        <v>50</v>
      </c>
      <c r="AJ705" s="59">
        <v>15</v>
      </c>
      <c r="AK705" s="65"/>
      <c r="AL705" s="60">
        <f>II1SA!$H$30</f>
        <v>40</v>
      </c>
      <c r="AM705" s="353">
        <f>AL706+0.5</f>
        <v>38.5</v>
      </c>
      <c r="AN705" s="63">
        <f t="shared" ref="AN705:AN719" si="63">IF(AM705&gt;AL705,"ALARM",AL705-AL706)</f>
        <v>2</v>
      </c>
      <c r="AO705" s="65"/>
      <c r="AP705" s="386"/>
    </row>
    <row r="706" spans="21:42" ht="12.75" customHeight="1" x14ac:dyDescent="0.2">
      <c r="U706" s="108">
        <f>+II1SA!A43</f>
        <v>0</v>
      </c>
      <c r="V706" s="110">
        <f>IF(II1SA!$H$32="M",AN705+U706,AN748+U706)</f>
        <v>2</v>
      </c>
      <c r="W706" s="380">
        <f>II1SA!$H$30</f>
        <v>40</v>
      </c>
      <c r="X706" s="353">
        <f>W707+0.5</f>
        <v>38.5</v>
      </c>
      <c r="Y706" s="56">
        <v>15</v>
      </c>
      <c r="Z706" s="117" t="str">
        <f>IF(ABS(IF(II1SA!$H$32="M",AL705-W706,AL748-W706))&gt;1,"ALARM"," ")</f>
        <v xml:space="preserve"> </v>
      </c>
      <c r="AA706" s="114" t="str">
        <f>IF(ABS(IF(II1SA!$H$32="M",AM705-X706,AM748-X706))&gt;1,"ALARM"," ")</f>
        <v xml:space="preserve"> </v>
      </c>
      <c r="AB706" s="65"/>
      <c r="AC706" s="78" t="s">
        <v>50</v>
      </c>
      <c r="AD706" s="59">
        <v>15</v>
      </c>
      <c r="AE706" s="65"/>
      <c r="AF706" s="60">
        <f>II1SA!$H$35+12*(100-II1SA!$H$35)/12</f>
        <v>100</v>
      </c>
      <c r="AG706" s="61">
        <f t="shared" ref="AG706:AG717" si="64">AF707+0.1</f>
        <v>95.1</v>
      </c>
      <c r="AH706" s="65"/>
      <c r="AI706" s="58">
        <v>1</v>
      </c>
      <c r="AJ706" s="59">
        <v>14</v>
      </c>
      <c r="AK706" s="65"/>
      <c r="AL706" s="60">
        <f>ROUNDDOWN(II1SA!$H$30*AF707/500,1)*5</f>
        <v>38</v>
      </c>
      <c r="AM706" s="353">
        <f t="shared" ref="AM706:AM718" si="65">AL707+0.5</f>
        <v>36.5</v>
      </c>
      <c r="AN706" s="63">
        <f t="shared" si="63"/>
        <v>2</v>
      </c>
      <c r="AO706" s="65"/>
      <c r="AP706" s="386"/>
    </row>
    <row r="707" spans="21:42" ht="12.75" customHeight="1" x14ac:dyDescent="0.2">
      <c r="U707" s="108">
        <f>+II1SA!A44</f>
        <v>0</v>
      </c>
      <c r="V707" s="111">
        <f>IF(II1SA!$H$32="M",AN706+U707,AN749+U707)</f>
        <v>2</v>
      </c>
      <c r="W707" s="380">
        <f t="shared" ref="W707:W721" si="66">W706-V706</f>
        <v>38</v>
      </c>
      <c r="X707" s="353">
        <f t="shared" ref="X707:X720" si="67">W708+0.5</f>
        <v>36.5</v>
      </c>
      <c r="Y707" s="56">
        <v>14</v>
      </c>
      <c r="Z707" s="115" t="str">
        <f>IF(ABS(IF(II1SA!$H$32="M",AL706-W707,AL749-W707))&gt;1,"ALARM"," ")</f>
        <v xml:space="preserve"> </v>
      </c>
      <c r="AA707" s="63" t="str">
        <f>IF(ABS(IF(II1SA!$H$32="M",AM706-X707,AM749-X707))&gt;1,"ALARM"," ")</f>
        <v xml:space="preserve"> </v>
      </c>
      <c r="AB707" s="65"/>
      <c r="AC707" s="58">
        <v>1</v>
      </c>
      <c r="AD707" s="59">
        <v>14</v>
      </c>
      <c r="AE707" s="65"/>
      <c r="AF707" s="60">
        <f>II1SA!$H$35+11*(100-II1SA!$H$35)/12</f>
        <v>95</v>
      </c>
      <c r="AG707" s="61">
        <f t="shared" si="64"/>
        <v>90.1</v>
      </c>
      <c r="AH707" s="65"/>
      <c r="AI707" s="81" t="s">
        <v>22</v>
      </c>
      <c r="AJ707" s="69">
        <v>13</v>
      </c>
      <c r="AK707" s="70"/>
      <c r="AL707" s="60">
        <f>ROUNDDOWN(II1SA!$H$30*AF708/500,1)*5</f>
        <v>36</v>
      </c>
      <c r="AM707" s="353">
        <f t="shared" si="65"/>
        <v>34.5</v>
      </c>
      <c r="AN707" s="73">
        <f t="shared" si="63"/>
        <v>2</v>
      </c>
      <c r="AO707" s="65"/>
      <c r="AP707" s="386"/>
    </row>
    <row r="708" spans="21:42" ht="12.75" customHeight="1" x14ac:dyDescent="0.2">
      <c r="U708" s="108">
        <f>+II1SA!A45</f>
        <v>0</v>
      </c>
      <c r="V708" s="111">
        <f>IF(II1SA!$H$32="M",AN707+U708,AN750+U708)</f>
        <v>2</v>
      </c>
      <c r="W708" s="381">
        <f t="shared" si="66"/>
        <v>36</v>
      </c>
      <c r="X708" s="353">
        <f t="shared" si="67"/>
        <v>34.5</v>
      </c>
      <c r="Y708" s="75">
        <v>13</v>
      </c>
      <c r="Z708" s="118" t="str">
        <f>IF(ABS(IF(II1SA!$H$32="M",AL707-W708,AL750-W708))&gt;1,"ALARM"," ")</f>
        <v xml:space="preserve"> </v>
      </c>
      <c r="AA708" s="73" t="str">
        <f>IF(ABS(IF(II1SA!$H$32="M",AM707-X708,AM750-X708))&gt;1,"ALARM"," ")</f>
        <v xml:space="preserve"> </v>
      </c>
      <c r="AB708" s="65"/>
      <c r="AC708" s="81" t="s">
        <v>22</v>
      </c>
      <c r="AD708" s="69">
        <v>13</v>
      </c>
      <c r="AE708" s="70"/>
      <c r="AF708" s="82">
        <f>II1SA!$H$35+10*(100-II1SA!$H$35)/12</f>
        <v>90</v>
      </c>
      <c r="AG708" s="83">
        <f t="shared" si="64"/>
        <v>85.1</v>
      </c>
      <c r="AH708" s="65"/>
      <c r="AI708" s="78" t="s">
        <v>50</v>
      </c>
      <c r="AJ708" s="59">
        <v>12</v>
      </c>
      <c r="AK708" s="65"/>
      <c r="AL708" s="60">
        <f>ROUNDDOWN(II1SA!$H$30*AF709/500,1)*5</f>
        <v>34</v>
      </c>
      <c r="AM708" s="353">
        <f t="shared" si="65"/>
        <v>32.5</v>
      </c>
      <c r="AN708" s="63">
        <f t="shared" si="63"/>
        <v>2</v>
      </c>
      <c r="AO708" s="65"/>
      <c r="AP708" s="386"/>
    </row>
    <row r="709" spans="21:42" ht="12.75" customHeight="1" x14ac:dyDescent="0.2">
      <c r="U709" s="108">
        <f>+II1SA!A46</f>
        <v>0</v>
      </c>
      <c r="V709" s="110">
        <f>IF(II1SA!$H$32="M",AN708+U709,AN751+U709)</f>
        <v>2</v>
      </c>
      <c r="W709" s="380">
        <f t="shared" si="66"/>
        <v>34</v>
      </c>
      <c r="X709" s="353">
        <f t="shared" si="67"/>
        <v>32.5</v>
      </c>
      <c r="Y709" s="56">
        <v>12</v>
      </c>
      <c r="Z709" s="115" t="str">
        <f>IF(ABS(IF(II1SA!$H$32="M",AL708-W709,AL751-W709))&gt;1,"ALARM"," ")</f>
        <v xml:space="preserve"> </v>
      </c>
      <c r="AA709" s="63" t="str">
        <f>IF(ABS(IF(II1SA!$H$32="M",AM708-X709,AM751-X709))&gt;1,"ALARM"," ")</f>
        <v xml:space="preserve"> </v>
      </c>
      <c r="AB709" s="65"/>
      <c r="AC709" s="78" t="s">
        <v>50</v>
      </c>
      <c r="AD709" s="59">
        <v>12</v>
      </c>
      <c r="AE709" s="65"/>
      <c r="AF709" s="60">
        <f>II1SA!$H$35+9*(100-II1SA!$H$35)/12</f>
        <v>85</v>
      </c>
      <c r="AG709" s="61">
        <f t="shared" si="64"/>
        <v>80.099999999999994</v>
      </c>
      <c r="AH709" s="65"/>
      <c r="AI709" s="58">
        <v>2</v>
      </c>
      <c r="AJ709" s="59">
        <v>11</v>
      </c>
      <c r="AK709" s="65"/>
      <c r="AL709" s="60">
        <f>ROUNDDOWN(II1SA!$H$30*AF710/500,1)*5</f>
        <v>32</v>
      </c>
      <c r="AM709" s="353">
        <f t="shared" si="65"/>
        <v>30.5</v>
      </c>
      <c r="AN709" s="63">
        <f t="shared" si="63"/>
        <v>2</v>
      </c>
      <c r="AO709" s="65"/>
      <c r="AP709" s="386"/>
    </row>
    <row r="710" spans="21:42" ht="12.75" customHeight="1" x14ac:dyDescent="0.2">
      <c r="U710" s="108">
        <f>+II1SA!A47</f>
        <v>0</v>
      </c>
      <c r="V710" s="111">
        <f>IF(II1SA!$H$32="M",AN709+U710,AN752+U710)</f>
        <v>2</v>
      </c>
      <c r="W710" s="380">
        <f t="shared" si="66"/>
        <v>32</v>
      </c>
      <c r="X710" s="353">
        <f t="shared" si="67"/>
        <v>30.5</v>
      </c>
      <c r="Y710" s="56">
        <v>11</v>
      </c>
      <c r="Z710" s="115" t="str">
        <f>IF(ABS(IF(II1SA!$H$32="M",AL709-W710,AL752-W710))&gt;1,"ALARM"," ")</f>
        <v xml:space="preserve"> </v>
      </c>
      <c r="AA710" s="63" t="str">
        <f>IF(ABS(IF(II1SA!$H$32="M",AM709-X710,AM752-X710))&gt;1,"ALARM"," ")</f>
        <v xml:space="preserve"> </v>
      </c>
      <c r="AB710" s="65"/>
      <c r="AC710" s="58">
        <v>2</v>
      </c>
      <c r="AD710" s="59">
        <v>11</v>
      </c>
      <c r="AE710" s="65"/>
      <c r="AF710" s="60">
        <f>II1SA!$H$35+8*(100-II1SA!$H$35)/12</f>
        <v>80</v>
      </c>
      <c r="AG710" s="61">
        <f t="shared" si="64"/>
        <v>75.099999999999994</v>
      </c>
      <c r="AH710" s="65"/>
      <c r="AI710" s="81" t="s">
        <v>22</v>
      </c>
      <c r="AJ710" s="69">
        <v>10</v>
      </c>
      <c r="AK710" s="70"/>
      <c r="AL710" s="60">
        <f>ROUNDDOWN(II1SA!$H$30*AF711/500,1)*5</f>
        <v>30</v>
      </c>
      <c r="AM710" s="353">
        <f t="shared" si="65"/>
        <v>28.5</v>
      </c>
      <c r="AN710" s="73">
        <f t="shared" si="63"/>
        <v>2</v>
      </c>
      <c r="AO710" s="65"/>
      <c r="AP710" s="386"/>
    </row>
    <row r="711" spans="21:42" ht="12.75" customHeight="1" x14ac:dyDescent="0.2">
      <c r="U711" s="108">
        <f>+II1SA!A48</f>
        <v>0</v>
      </c>
      <c r="V711" s="113">
        <f>IF(II1SA!$H$32="M",AN710+U711,AN753+U711)</f>
        <v>2</v>
      </c>
      <c r="W711" s="381">
        <f t="shared" si="66"/>
        <v>30</v>
      </c>
      <c r="X711" s="353">
        <f t="shared" si="67"/>
        <v>28.5</v>
      </c>
      <c r="Y711" s="75">
        <v>10</v>
      </c>
      <c r="Z711" s="115" t="str">
        <f>IF(ABS(IF(II1SA!$H$32="M",AL710-W711,AL753-W711))&gt;1,"ALARM"," ")</f>
        <v xml:space="preserve"> </v>
      </c>
      <c r="AA711" s="63" t="str">
        <f>IF(ABS(IF(II1SA!$H$32="M",AM710-X711,AM753-X711))&gt;1,"ALARM"," ")</f>
        <v xml:space="preserve"> </v>
      </c>
      <c r="AB711" s="65"/>
      <c r="AC711" s="81" t="s">
        <v>22</v>
      </c>
      <c r="AD711" s="69">
        <v>10</v>
      </c>
      <c r="AE711" s="70"/>
      <c r="AF711" s="82">
        <f>II1SA!$H$35+7*(100-II1SA!$H$35)/12</f>
        <v>75</v>
      </c>
      <c r="AG711" s="83">
        <f t="shared" si="64"/>
        <v>70.099999999999994</v>
      </c>
      <c r="AH711" s="65"/>
      <c r="AI711" s="78" t="s">
        <v>50</v>
      </c>
      <c r="AJ711" s="59">
        <v>9</v>
      </c>
      <c r="AK711" s="65"/>
      <c r="AL711" s="60">
        <f>ROUNDDOWN(II1SA!$H$30*AF712/500,1)*5</f>
        <v>28</v>
      </c>
      <c r="AM711" s="353">
        <f t="shared" si="65"/>
        <v>26.5</v>
      </c>
      <c r="AN711" s="63">
        <f t="shared" si="63"/>
        <v>2</v>
      </c>
      <c r="AO711" s="65"/>
      <c r="AP711" s="386"/>
    </row>
    <row r="712" spans="21:42" ht="12.75" customHeight="1" x14ac:dyDescent="0.2">
      <c r="U712" s="108">
        <f>+II1SA!A49</f>
        <v>0</v>
      </c>
      <c r="V712" s="111">
        <f>IF(II1SA!$H$32="M",AN711+U712,AN754+U712)</f>
        <v>2</v>
      </c>
      <c r="W712" s="380">
        <f t="shared" si="66"/>
        <v>28</v>
      </c>
      <c r="X712" s="353">
        <f t="shared" si="67"/>
        <v>26.5</v>
      </c>
      <c r="Y712" s="56">
        <v>9</v>
      </c>
      <c r="Z712" s="117" t="str">
        <f>IF(ABS(IF(II1SA!$H$32="M",AL711-W712,AL754-W712))&gt;1,"ALARM"," ")</f>
        <v xml:space="preserve"> </v>
      </c>
      <c r="AA712" s="114" t="str">
        <f>IF(ABS(IF(II1SA!$H$32="M",AM711-X712,AM754-X712))&gt;1,"ALARM"," ")</f>
        <v xml:space="preserve"> </v>
      </c>
      <c r="AB712" s="65"/>
      <c r="AC712" s="78" t="s">
        <v>50</v>
      </c>
      <c r="AD712" s="59">
        <v>9</v>
      </c>
      <c r="AE712" s="65"/>
      <c r="AF712" s="60">
        <f>II1SA!$H$35+6*(100-II1SA!$H$35)/12</f>
        <v>70</v>
      </c>
      <c r="AG712" s="61">
        <f t="shared" si="64"/>
        <v>65.099999999999994</v>
      </c>
      <c r="AH712" s="65"/>
      <c r="AI712" s="58">
        <v>3</v>
      </c>
      <c r="AJ712" s="59">
        <v>8</v>
      </c>
      <c r="AK712" s="65"/>
      <c r="AL712" s="60">
        <f>ROUNDDOWN(II1SA!$H$30*AF713/500,1)*5</f>
        <v>26</v>
      </c>
      <c r="AM712" s="353">
        <f t="shared" si="65"/>
        <v>24.5</v>
      </c>
      <c r="AN712" s="63">
        <f t="shared" si="63"/>
        <v>2</v>
      </c>
      <c r="AO712" s="65"/>
      <c r="AP712" s="386"/>
    </row>
    <row r="713" spans="21:42" ht="12.75" customHeight="1" x14ac:dyDescent="0.2">
      <c r="U713" s="108">
        <f>+II1SA!A50</f>
        <v>0</v>
      </c>
      <c r="V713" s="111">
        <f>IF(II1SA!$H$32="M",AN712+U713,AN755+U713)</f>
        <v>2</v>
      </c>
      <c r="W713" s="380">
        <f t="shared" si="66"/>
        <v>26</v>
      </c>
      <c r="X713" s="353">
        <f t="shared" si="67"/>
        <v>24.5</v>
      </c>
      <c r="Y713" s="56">
        <v>8</v>
      </c>
      <c r="Z713" s="115" t="str">
        <f>IF(ABS(IF(II1SA!$H$32="M",AL712-W713,AL755-W713))&gt;1,"ALARM"," ")</f>
        <v xml:space="preserve"> </v>
      </c>
      <c r="AA713" s="63" t="str">
        <f>IF(ABS(IF(II1SA!$H$32="M",AM712-X713,AM755-X713))&gt;1,"ALARM"," ")</f>
        <v xml:space="preserve"> </v>
      </c>
      <c r="AB713" s="65"/>
      <c r="AC713" s="58">
        <v>3</v>
      </c>
      <c r="AD713" s="59">
        <v>8</v>
      </c>
      <c r="AE713" s="65"/>
      <c r="AF713" s="60">
        <f>II1SA!$H$35+5*(100-II1SA!$H$35)/12</f>
        <v>65</v>
      </c>
      <c r="AG713" s="61">
        <f t="shared" si="64"/>
        <v>60.1</v>
      </c>
      <c r="AH713" s="65"/>
      <c r="AI713" s="81" t="s">
        <v>22</v>
      </c>
      <c r="AJ713" s="69">
        <v>7</v>
      </c>
      <c r="AK713" s="70"/>
      <c r="AL713" s="60">
        <f>ROUNDDOWN(II1SA!$H$30*AF714/500,1)*5</f>
        <v>24</v>
      </c>
      <c r="AM713" s="353">
        <f t="shared" si="65"/>
        <v>22.5</v>
      </c>
      <c r="AN713" s="73">
        <f t="shared" si="63"/>
        <v>2</v>
      </c>
      <c r="AO713" s="65"/>
      <c r="AP713" s="386"/>
    </row>
    <row r="714" spans="21:42" ht="12.75" customHeight="1" x14ac:dyDescent="0.2">
      <c r="U714" s="108">
        <f>+II1SA!A51</f>
        <v>0</v>
      </c>
      <c r="V714" s="111">
        <f>IF(II1SA!$H$32="M",AN713+U714,AN756+U714)</f>
        <v>2</v>
      </c>
      <c r="W714" s="381">
        <f t="shared" si="66"/>
        <v>24</v>
      </c>
      <c r="X714" s="353">
        <f t="shared" si="67"/>
        <v>22.5</v>
      </c>
      <c r="Y714" s="75">
        <v>7</v>
      </c>
      <c r="Z714" s="118" t="str">
        <f>IF(ABS(IF(II1SA!$H$32="M",AL713-W714,AL756-W714))&gt;1,"ALARM"," ")</f>
        <v xml:space="preserve"> </v>
      </c>
      <c r="AA714" s="73" t="str">
        <f>IF(ABS(IF(II1SA!$H$32="M",AM713-X714,AM756-X714))&gt;1,"ALARM"," ")</f>
        <v xml:space="preserve"> </v>
      </c>
      <c r="AB714" s="65"/>
      <c r="AC714" s="81" t="s">
        <v>22</v>
      </c>
      <c r="AD714" s="69">
        <v>7</v>
      </c>
      <c r="AE714" s="70"/>
      <c r="AF714" s="82">
        <f>II1SA!$H$35+4*(100-II1SA!$H$35)/12</f>
        <v>60</v>
      </c>
      <c r="AG714" s="83">
        <f t="shared" si="64"/>
        <v>55.1</v>
      </c>
      <c r="AH714" s="65"/>
      <c r="AI714" s="78" t="s">
        <v>50</v>
      </c>
      <c r="AJ714" s="59">
        <v>6</v>
      </c>
      <c r="AK714" s="65"/>
      <c r="AL714" s="60">
        <f>ROUNDDOWN(II1SA!$H$30*AF715/500,1)*5</f>
        <v>22</v>
      </c>
      <c r="AM714" s="353">
        <f t="shared" si="65"/>
        <v>20.5</v>
      </c>
      <c r="AN714" s="63">
        <f t="shared" si="63"/>
        <v>2</v>
      </c>
      <c r="AO714" s="65"/>
      <c r="AP714" s="386"/>
    </row>
    <row r="715" spans="21:42" ht="12.75" customHeight="1" x14ac:dyDescent="0.2">
      <c r="U715" s="108">
        <f>+II1SA!A52</f>
        <v>0</v>
      </c>
      <c r="V715" s="110">
        <f>IF(II1SA!$H$32="M",AN714+U715,AN757+U715)</f>
        <v>2</v>
      </c>
      <c r="W715" s="380">
        <f t="shared" si="66"/>
        <v>22</v>
      </c>
      <c r="X715" s="353">
        <f t="shared" si="67"/>
        <v>20.5</v>
      </c>
      <c r="Y715" s="56">
        <v>6</v>
      </c>
      <c r="Z715" s="115" t="str">
        <f>IF(ABS(IF(II1SA!$H$32="M",AL714-W715,AL757-W715))&gt;1,"ALARM"," ")</f>
        <v xml:space="preserve"> </v>
      </c>
      <c r="AA715" s="63" t="str">
        <f>IF(ABS(IF(II1SA!$H$32="M",AM714-X715,AM757-X715))&gt;1,"ALARM"," ")</f>
        <v xml:space="preserve"> </v>
      </c>
      <c r="AB715" s="65"/>
      <c r="AC715" s="78" t="s">
        <v>50</v>
      </c>
      <c r="AD715" s="59">
        <v>6</v>
      </c>
      <c r="AE715" s="65"/>
      <c r="AF715" s="60">
        <f>II1SA!$H$35+3*(100-II1SA!$H$35)/12</f>
        <v>55</v>
      </c>
      <c r="AG715" s="61">
        <f t="shared" si="64"/>
        <v>50.1</v>
      </c>
      <c r="AH715" s="65"/>
      <c r="AI715" s="58">
        <v>4</v>
      </c>
      <c r="AJ715" s="59">
        <v>5</v>
      </c>
      <c r="AK715" s="65"/>
      <c r="AL715" s="60">
        <f>ROUNDDOWN(II1SA!$H$30*AF716/500,1)*5</f>
        <v>20</v>
      </c>
      <c r="AM715" s="353">
        <f t="shared" si="65"/>
        <v>18.5</v>
      </c>
      <c r="AN715" s="63">
        <f t="shared" si="63"/>
        <v>2</v>
      </c>
      <c r="AO715" s="65"/>
      <c r="AP715" s="386"/>
    </row>
    <row r="716" spans="21:42" ht="12.75" customHeight="1" x14ac:dyDescent="0.2">
      <c r="U716" s="108">
        <f>+II1SA!A53</f>
        <v>0</v>
      </c>
      <c r="V716" s="111">
        <f>IF(II1SA!$H$32="M",AN715+U716,AN758+U716)</f>
        <v>2</v>
      </c>
      <c r="W716" s="380">
        <f t="shared" si="66"/>
        <v>20</v>
      </c>
      <c r="X716" s="353">
        <f t="shared" si="67"/>
        <v>18.5</v>
      </c>
      <c r="Y716" s="56">
        <v>5</v>
      </c>
      <c r="Z716" s="115" t="str">
        <f>IF(ABS(IF(II1SA!$H$32="M",AL715-W716,AL758-W716))&gt;1,"ALARM"," ")</f>
        <v xml:space="preserve"> </v>
      </c>
      <c r="AA716" s="63" t="str">
        <f>IF(ABS(IF(II1SA!$H$32="M",AM715-X716,AM758-X716))&gt;1,"ALARM"," ")</f>
        <v xml:space="preserve"> </v>
      </c>
      <c r="AB716" s="65"/>
      <c r="AC716" s="58">
        <v>4</v>
      </c>
      <c r="AD716" s="59">
        <v>5</v>
      </c>
      <c r="AE716" s="65"/>
      <c r="AF716" s="60">
        <f>II1SA!$H$35+2*(100-II1SA!$H$35)/12</f>
        <v>50</v>
      </c>
      <c r="AG716" s="61">
        <f t="shared" si="64"/>
        <v>45.1</v>
      </c>
      <c r="AH716" s="65"/>
      <c r="AI716" s="81" t="s">
        <v>22</v>
      </c>
      <c r="AJ716" s="69">
        <v>4</v>
      </c>
      <c r="AK716" s="70"/>
      <c r="AL716" s="60">
        <f>ROUNDDOWN(II1SA!$H$30*AF717/500,1)*5</f>
        <v>18</v>
      </c>
      <c r="AM716" s="353">
        <f t="shared" si="65"/>
        <v>16.5</v>
      </c>
      <c r="AN716" s="73">
        <f t="shared" si="63"/>
        <v>2</v>
      </c>
      <c r="AO716" s="65"/>
      <c r="AP716" s="386"/>
    </row>
    <row r="717" spans="21:42" ht="12.75" customHeight="1" x14ac:dyDescent="0.2">
      <c r="U717" s="108">
        <f>+II1SA!A54</f>
        <v>0</v>
      </c>
      <c r="V717" s="113">
        <f>IF(II1SA!$H$32="M",AN716+U717,AN759+U717)</f>
        <v>2</v>
      </c>
      <c r="W717" s="381">
        <f t="shared" si="66"/>
        <v>18</v>
      </c>
      <c r="X717" s="353">
        <f t="shared" si="67"/>
        <v>16.5</v>
      </c>
      <c r="Y717" s="75">
        <v>4</v>
      </c>
      <c r="Z717" s="115" t="str">
        <f>IF(ABS(IF(II1SA!$H$32="M",AL716-W717,AL759-W717))&gt;1,"ALARM"," ")</f>
        <v xml:space="preserve"> </v>
      </c>
      <c r="AA717" s="63" t="str">
        <f>IF(ABS(IF(II1SA!$H$32="M",AM716-X717,AM759-X717))&gt;1,"ALARM"," ")</f>
        <v xml:space="preserve"> </v>
      </c>
      <c r="AB717" s="65"/>
      <c r="AC717" s="81" t="s">
        <v>22</v>
      </c>
      <c r="AD717" s="69">
        <v>4</v>
      </c>
      <c r="AE717" s="70"/>
      <c r="AF717" s="82">
        <f>II1SA!$H$35+1*(100-II1SA!$H$35)/12</f>
        <v>45</v>
      </c>
      <c r="AG717" s="83">
        <f t="shared" si="64"/>
        <v>40.1</v>
      </c>
      <c r="AH717" s="65"/>
      <c r="AI717" s="78" t="s">
        <v>50</v>
      </c>
      <c r="AJ717" s="59">
        <v>3</v>
      </c>
      <c r="AK717" s="65"/>
      <c r="AL717" s="60">
        <f>ROUNDDOWN(II1SA!$H$30*AF718/500,1)*5</f>
        <v>16</v>
      </c>
      <c r="AM717" s="353">
        <f t="shared" si="65"/>
        <v>13.5</v>
      </c>
      <c r="AN717" s="63">
        <f t="shared" si="63"/>
        <v>3</v>
      </c>
      <c r="AO717" s="65"/>
      <c r="AP717" s="386"/>
    </row>
    <row r="718" spans="21:42" ht="12.75" customHeight="1" x14ac:dyDescent="0.2">
      <c r="U718" s="108">
        <f>+II1SA!A55</f>
        <v>0</v>
      </c>
      <c r="V718" s="110">
        <f>IF(II1SA!$H$32="M",AN717+U718,AN760+U718)</f>
        <v>3</v>
      </c>
      <c r="W718" s="380">
        <f t="shared" si="66"/>
        <v>16</v>
      </c>
      <c r="X718" s="353">
        <f t="shared" si="67"/>
        <v>13.5</v>
      </c>
      <c r="Y718" s="56">
        <v>3</v>
      </c>
      <c r="Z718" s="117" t="str">
        <f>IF(ABS(IF(II1SA!$H$32="M",AL717-W718,AL760-W718))&gt;1,"ALARM"," ")</f>
        <v xml:space="preserve"> </v>
      </c>
      <c r="AA718" s="114" t="str">
        <f>IF(ABS(IF(II1SA!$H$32="M",AM717-X718,AM760-X718))&gt;1,"ALARM"," ")</f>
        <v xml:space="preserve"> </v>
      </c>
      <c r="AB718" s="65"/>
      <c r="AC718" s="78" t="s">
        <v>50</v>
      </c>
      <c r="AD718" s="59">
        <v>3</v>
      </c>
      <c r="AE718" s="65"/>
      <c r="AF718" s="60">
        <f>II1SA!$H$35</f>
        <v>40</v>
      </c>
      <c r="AG718" s="61">
        <f>AF719+0.01</f>
        <v>33.343333333333334</v>
      </c>
      <c r="AH718" s="65"/>
      <c r="AI718" s="58">
        <v>5</v>
      </c>
      <c r="AJ718" s="59">
        <v>2</v>
      </c>
      <c r="AK718" s="65"/>
      <c r="AL718" s="60">
        <f>ROUNDDOWN(II1SA!$H$30*AF719/500,1)*5</f>
        <v>13</v>
      </c>
      <c r="AM718" s="353">
        <f t="shared" si="65"/>
        <v>11</v>
      </c>
      <c r="AN718" s="63">
        <f t="shared" si="63"/>
        <v>2.5</v>
      </c>
      <c r="AO718" s="65"/>
      <c r="AP718" s="386"/>
    </row>
    <row r="719" spans="21:42" ht="12.75" customHeight="1" x14ac:dyDescent="0.2">
      <c r="U719" s="108">
        <f>+II1SA!A56</f>
        <v>0</v>
      </c>
      <c r="V719" s="111">
        <f>IF(II1SA!$H$32="M",AN718+U719,AN761+U719)</f>
        <v>2.5</v>
      </c>
      <c r="W719" s="380">
        <f t="shared" si="66"/>
        <v>13</v>
      </c>
      <c r="X719" s="353">
        <f t="shared" si="67"/>
        <v>11</v>
      </c>
      <c r="Y719" s="56">
        <v>2</v>
      </c>
      <c r="Z719" s="115" t="str">
        <f>IF(ABS(IF(II1SA!$H$32="M",AL718-W719,AL761-W719))&gt;1,"ALARM"," ")</f>
        <v xml:space="preserve"> </v>
      </c>
      <c r="AA719" s="63" t="str">
        <f>IF(ABS(IF(II1SA!$H$32="M",AM718-X719,AM761-X719))&gt;1,"ALARM"," ")</f>
        <v xml:space="preserve"> </v>
      </c>
      <c r="AB719" s="65"/>
      <c r="AC719" s="58">
        <v>5</v>
      </c>
      <c r="AD719" s="59">
        <v>2</v>
      </c>
      <c r="AE719" s="65"/>
      <c r="AF719" s="60">
        <f>AG720+2*(AF718-AG720)/3</f>
        <v>33.333333333333336</v>
      </c>
      <c r="AG719" s="61">
        <f>AF720+0.01</f>
        <v>26.676666666666669</v>
      </c>
      <c r="AH719" s="65"/>
      <c r="AI719" s="81" t="s">
        <v>22</v>
      </c>
      <c r="AJ719" s="69">
        <v>1</v>
      </c>
      <c r="AK719" s="70"/>
      <c r="AL719" s="60">
        <f>ROUNDDOWN(II1SA!$H$30*AF720/500,1)*5</f>
        <v>10.5</v>
      </c>
      <c r="AM719" s="361">
        <f>ROUNDUP(II1SA!$H$30*(II1SA!$H$34/500),1)*5</f>
        <v>8</v>
      </c>
      <c r="AN719" s="73">
        <f t="shared" si="63"/>
        <v>3</v>
      </c>
      <c r="AO719" s="65"/>
    </row>
    <row r="720" spans="21:42" ht="12.75" customHeight="1" thickBot="1" x14ac:dyDescent="0.25">
      <c r="U720" s="108">
        <f>+II1SA!A57</f>
        <v>0</v>
      </c>
      <c r="V720" s="113">
        <f>IF(II1SA!$H$32="M",AN719+U720,AN762+U720)</f>
        <v>3</v>
      </c>
      <c r="W720" s="381">
        <f t="shared" si="66"/>
        <v>10.5</v>
      </c>
      <c r="X720" s="353">
        <f t="shared" si="67"/>
        <v>8</v>
      </c>
      <c r="Y720" s="75">
        <v>1</v>
      </c>
      <c r="Z720" s="118" t="str">
        <f>IF(ABS(IF(II1SA!$H$32="M",AL719-W720,AL762-W720))&gt;1,"ALARM"," ")</f>
        <v xml:space="preserve"> </v>
      </c>
      <c r="AA720" s="73" t="str">
        <f>IF(ABS(IF(II1SA!$H$32="M",AM719-X720,AM762-X720))&gt;1,"ALARM"," ")</f>
        <v xml:space="preserve"> </v>
      </c>
      <c r="AB720" s="65"/>
      <c r="AC720" s="81" t="s">
        <v>22</v>
      </c>
      <c r="AD720" s="69">
        <v>1</v>
      </c>
      <c r="AE720" s="70"/>
      <c r="AF720" s="82">
        <f>AG720+(AF718-AG720)/3</f>
        <v>26.666666666666668</v>
      </c>
      <c r="AG720" s="83">
        <f>II1SA!$H$34</f>
        <v>20</v>
      </c>
      <c r="AH720" s="65"/>
      <c r="AI720" s="89">
        <v>6</v>
      </c>
      <c r="AJ720" s="90">
        <v>0</v>
      </c>
      <c r="AK720" s="91"/>
      <c r="AL720" s="96">
        <f>AM719-0.5</f>
        <v>7.5</v>
      </c>
      <c r="AM720" s="362">
        <v>0</v>
      </c>
      <c r="AN720" s="94">
        <f>IF(AM720&gt;AM719,"ALARM",AL720)</f>
        <v>7.5</v>
      </c>
      <c r="AO720" s="65"/>
    </row>
    <row r="721" spans="21:41" ht="12.75" customHeight="1" thickBot="1" x14ac:dyDescent="0.25">
      <c r="U721" s="43" t="s">
        <v>51</v>
      </c>
      <c r="V721" s="112">
        <f>IF(II1SA!$H$32="M",+W721,W763)</f>
        <v>7.5</v>
      </c>
      <c r="W721" s="384">
        <f t="shared" si="66"/>
        <v>7.5</v>
      </c>
      <c r="X721" s="362">
        <v>0</v>
      </c>
      <c r="Y721" s="95">
        <v>0</v>
      </c>
      <c r="Z721" s="116" t="str">
        <f>IF(ABS(IF(II1SA!$H$32="M",AL720-W721,AL763-W721))&gt;1,"ALARM"," ")</f>
        <v xml:space="preserve"> </v>
      </c>
      <c r="AA721" s="94" t="str">
        <f>IF(ABS(IF(II1SA!$H$32="M",AM720-X721,AM763-X721))&gt;1,"ALARM"," ")</f>
        <v xml:space="preserve"> </v>
      </c>
      <c r="AB721" s="65"/>
      <c r="AC721" s="89">
        <v>6</v>
      </c>
      <c r="AD721" s="90">
        <v>0</v>
      </c>
      <c r="AE721" s="91"/>
      <c r="AF721" s="96">
        <f>II1SA!$H$34-0.1</f>
        <v>19.899999999999999</v>
      </c>
      <c r="AG721" s="97">
        <v>0</v>
      </c>
      <c r="AH721" s="65"/>
      <c r="AI721" s="65"/>
      <c r="AJ721" s="65"/>
      <c r="AK721" s="65"/>
      <c r="AL721" s="65"/>
      <c r="AM721" s="65"/>
      <c r="AN721" s="65"/>
      <c r="AO721" s="65"/>
    </row>
    <row r="722" spans="21:41" ht="12.75" customHeight="1" x14ac:dyDescent="0.2"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</row>
    <row r="723" spans="21:41" ht="12.75" customHeight="1" x14ac:dyDescent="0.2"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</row>
    <row r="724" spans="21:41" ht="12.75" customHeight="1" x14ac:dyDescent="0.2">
      <c r="U724" s="46"/>
      <c r="V724" s="359">
        <f t="shared" ref="V724:V739" si="68">+X724</f>
        <v>0</v>
      </c>
      <c r="W724" s="359">
        <f>+W721</f>
        <v>7.5</v>
      </c>
      <c r="X724" s="359">
        <f>+X721</f>
        <v>0</v>
      </c>
      <c r="Y724" s="46">
        <f>+Y721</f>
        <v>0</v>
      </c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</row>
    <row r="725" spans="21:41" ht="12.75" customHeight="1" x14ac:dyDescent="0.2">
      <c r="U725" s="46"/>
      <c r="V725" s="359">
        <f t="shared" si="68"/>
        <v>8</v>
      </c>
      <c r="W725" s="359">
        <f>+W720</f>
        <v>10.5</v>
      </c>
      <c r="X725" s="359">
        <f>+X720</f>
        <v>8</v>
      </c>
      <c r="Y725" s="46">
        <f>+Y720</f>
        <v>1</v>
      </c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</row>
    <row r="726" spans="21:41" ht="12.75" customHeight="1" x14ac:dyDescent="0.2">
      <c r="U726" s="46"/>
      <c r="V726" s="359">
        <f t="shared" si="68"/>
        <v>11</v>
      </c>
      <c r="W726" s="359">
        <f>+W719</f>
        <v>13</v>
      </c>
      <c r="X726" s="359">
        <f>+X719</f>
        <v>11</v>
      </c>
      <c r="Y726" s="46">
        <f>+Y719</f>
        <v>2</v>
      </c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</row>
    <row r="727" spans="21:41" ht="12.75" customHeight="1" x14ac:dyDescent="0.2">
      <c r="U727" s="46"/>
      <c r="V727" s="359">
        <f t="shared" si="68"/>
        <v>13.5</v>
      </c>
      <c r="W727" s="359">
        <f>+W718</f>
        <v>16</v>
      </c>
      <c r="X727" s="359">
        <f>+X718</f>
        <v>13.5</v>
      </c>
      <c r="Y727" s="46">
        <f>+Y718</f>
        <v>3</v>
      </c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</row>
    <row r="728" spans="21:41" ht="12.75" customHeight="1" x14ac:dyDescent="0.2">
      <c r="U728" s="46"/>
      <c r="V728" s="359">
        <f t="shared" si="68"/>
        <v>16.5</v>
      </c>
      <c r="W728" s="359">
        <f>+W717</f>
        <v>18</v>
      </c>
      <c r="X728" s="359">
        <f>+X717</f>
        <v>16.5</v>
      </c>
      <c r="Y728" s="46">
        <f>+Y717</f>
        <v>4</v>
      </c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</row>
    <row r="729" spans="21:41" ht="12.75" customHeight="1" x14ac:dyDescent="0.2">
      <c r="U729" s="46"/>
      <c r="V729" s="359">
        <f t="shared" si="68"/>
        <v>18.5</v>
      </c>
      <c r="W729" s="359">
        <f>+W716</f>
        <v>20</v>
      </c>
      <c r="X729" s="359">
        <f>+X716</f>
        <v>18.5</v>
      </c>
      <c r="Y729" s="46">
        <f>+Y716</f>
        <v>5</v>
      </c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</row>
    <row r="730" spans="21:41" ht="12.75" customHeight="1" x14ac:dyDescent="0.2">
      <c r="U730" s="46"/>
      <c r="V730" s="359">
        <f t="shared" si="68"/>
        <v>20.5</v>
      </c>
      <c r="W730" s="359">
        <f>+W715</f>
        <v>22</v>
      </c>
      <c r="X730" s="359">
        <f>+X715</f>
        <v>20.5</v>
      </c>
      <c r="Y730" s="46">
        <f>+Y715</f>
        <v>6</v>
      </c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</row>
    <row r="731" spans="21:41" ht="12.75" customHeight="1" x14ac:dyDescent="0.2">
      <c r="U731" s="46"/>
      <c r="V731" s="359">
        <f t="shared" si="68"/>
        <v>22.5</v>
      </c>
      <c r="W731" s="359">
        <f>+W714</f>
        <v>24</v>
      </c>
      <c r="X731" s="359">
        <f>+X714</f>
        <v>22.5</v>
      </c>
      <c r="Y731" s="46">
        <f>+Y714</f>
        <v>7</v>
      </c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</row>
    <row r="732" spans="21:41" ht="12.75" customHeight="1" x14ac:dyDescent="0.2">
      <c r="U732" s="46"/>
      <c r="V732" s="359">
        <f t="shared" si="68"/>
        <v>24.5</v>
      </c>
      <c r="W732" s="359">
        <f>+W713</f>
        <v>26</v>
      </c>
      <c r="X732" s="359">
        <f>+X713</f>
        <v>24.5</v>
      </c>
      <c r="Y732" s="46">
        <f>+Y713</f>
        <v>8</v>
      </c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</row>
    <row r="733" spans="21:41" ht="12.75" customHeight="1" x14ac:dyDescent="0.2">
      <c r="U733" s="46"/>
      <c r="V733" s="359">
        <f t="shared" si="68"/>
        <v>26.5</v>
      </c>
      <c r="W733" s="359">
        <f>+W712</f>
        <v>28</v>
      </c>
      <c r="X733" s="359">
        <f>+X712</f>
        <v>26.5</v>
      </c>
      <c r="Y733" s="46">
        <f>+Y712</f>
        <v>9</v>
      </c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</row>
    <row r="734" spans="21:41" ht="12.75" customHeight="1" x14ac:dyDescent="0.2">
      <c r="U734" s="46"/>
      <c r="V734" s="359">
        <f t="shared" si="68"/>
        <v>28.5</v>
      </c>
      <c r="W734" s="359">
        <f>+W711</f>
        <v>30</v>
      </c>
      <c r="X734" s="359">
        <f>+X711</f>
        <v>28.5</v>
      </c>
      <c r="Y734" s="46">
        <f>+Y711</f>
        <v>10</v>
      </c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</row>
    <row r="735" spans="21:41" ht="12.75" customHeight="1" x14ac:dyDescent="0.2">
      <c r="U735" s="46"/>
      <c r="V735" s="359">
        <f t="shared" si="68"/>
        <v>30.5</v>
      </c>
      <c r="W735" s="359">
        <f>+W710</f>
        <v>32</v>
      </c>
      <c r="X735" s="359">
        <f>+X710</f>
        <v>30.5</v>
      </c>
      <c r="Y735" s="46">
        <f>+Y710</f>
        <v>11</v>
      </c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</row>
    <row r="736" spans="21:41" ht="12.75" customHeight="1" x14ac:dyDescent="0.2">
      <c r="U736" s="46"/>
      <c r="V736" s="359">
        <f t="shared" si="68"/>
        <v>32.5</v>
      </c>
      <c r="W736" s="359">
        <f>+W709</f>
        <v>34</v>
      </c>
      <c r="X736" s="359">
        <f>+X709</f>
        <v>32.5</v>
      </c>
      <c r="Y736" s="46">
        <f>+Y709</f>
        <v>12</v>
      </c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</row>
    <row r="737" spans="21:41" ht="12.75" customHeight="1" x14ac:dyDescent="0.2">
      <c r="U737" s="46"/>
      <c r="V737" s="359">
        <f t="shared" si="68"/>
        <v>34.5</v>
      </c>
      <c r="W737" s="359">
        <f>+W708</f>
        <v>36</v>
      </c>
      <c r="X737" s="359">
        <f>+X708</f>
        <v>34.5</v>
      </c>
      <c r="Y737" s="46">
        <f>+Y708</f>
        <v>13</v>
      </c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</row>
    <row r="738" spans="21:41" ht="12.75" customHeight="1" x14ac:dyDescent="0.2">
      <c r="U738" s="46"/>
      <c r="V738" s="359">
        <f t="shared" si="68"/>
        <v>36.5</v>
      </c>
      <c r="W738" s="359">
        <f>+W707</f>
        <v>38</v>
      </c>
      <c r="X738" s="359">
        <f>+X707</f>
        <v>36.5</v>
      </c>
      <c r="Y738" s="46">
        <f>+Y707</f>
        <v>14</v>
      </c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</row>
    <row r="739" spans="21:41" ht="12.75" customHeight="1" x14ac:dyDescent="0.2">
      <c r="U739" s="46"/>
      <c r="V739" s="359">
        <f t="shared" si="68"/>
        <v>38.5</v>
      </c>
      <c r="W739" s="359">
        <f>+W706</f>
        <v>40</v>
      </c>
      <c r="X739" s="359">
        <f>+X706</f>
        <v>38.5</v>
      </c>
      <c r="Y739" s="98">
        <f>+Y706</f>
        <v>15</v>
      </c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</row>
    <row r="740" spans="21:41" ht="12.75" customHeight="1" x14ac:dyDescent="0.2"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</row>
    <row r="741" spans="21:41" ht="12.75" customHeight="1" x14ac:dyDescent="0.2"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</row>
    <row r="742" spans="21:41" ht="12.75" customHeight="1" x14ac:dyDescent="0.2"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</row>
    <row r="743" spans="21:41" ht="12.75" customHeight="1" x14ac:dyDescent="0.2"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52"/>
      <c r="AI743" s="57"/>
      <c r="AJ743" s="60"/>
      <c r="AK743" s="60"/>
      <c r="AL743" s="52"/>
      <c r="AM743" s="88"/>
      <c r="AN743" s="57"/>
      <c r="AO743" s="65"/>
    </row>
    <row r="744" spans="21:41" ht="12.75" customHeight="1" thickBot="1" x14ac:dyDescent="0.25">
      <c r="U744" s="360"/>
      <c r="V744" s="375"/>
      <c r="W744" s="454"/>
      <c r="X744" s="454"/>
      <c r="Y744" s="65"/>
      <c r="Z744" s="454"/>
      <c r="AA744" s="454"/>
      <c r="AB744" s="46"/>
      <c r="AC744" s="65"/>
      <c r="AD744" s="57"/>
      <c r="AE744" s="57"/>
      <c r="AF744" s="60"/>
      <c r="AG744" s="60"/>
      <c r="AH744" s="52"/>
      <c r="AI744" s="65"/>
      <c r="AJ744" s="57"/>
      <c r="AK744" s="65"/>
      <c r="AL744" s="57"/>
      <c r="AM744" s="57"/>
      <c r="AN744" s="57"/>
      <c r="AO744" s="57"/>
    </row>
    <row r="745" spans="21:41" ht="12.75" customHeight="1" x14ac:dyDescent="0.2">
      <c r="U745" s="376"/>
      <c r="V745" s="375"/>
      <c r="W745" s="458"/>
      <c r="X745" s="458"/>
      <c r="Y745" s="65"/>
      <c r="Z745" s="454"/>
      <c r="AA745" s="454"/>
      <c r="AB745" s="46"/>
      <c r="AC745" s="49" t="s">
        <v>17</v>
      </c>
      <c r="AD745" s="50" t="s">
        <v>32</v>
      </c>
      <c r="AE745" s="51"/>
      <c r="AF745" s="461" t="s">
        <v>41</v>
      </c>
      <c r="AG745" s="462"/>
      <c r="AH745" s="52"/>
      <c r="AI745" s="49" t="s">
        <v>17</v>
      </c>
      <c r="AJ745" s="50" t="s">
        <v>32</v>
      </c>
      <c r="AK745" s="53"/>
      <c r="AL745" s="452" t="s">
        <v>42</v>
      </c>
      <c r="AM745" s="453"/>
      <c r="AN745" s="54" t="s">
        <v>43</v>
      </c>
      <c r="AO745" s="52"/>
    </row>
    <row r="746" spans="21:41" ht="12.75" customHeight="1" x14ac:dyDescent="0.2">
      <c r="U746" s="377"/>
      <c r="V746" s="375"/>
      <c r="W746" s="360"/>
      <c r="X746" s="360"/>
      <c r="Y746" s="65"/>
      <c r="Z746" s="454"/>
      <c r="AA746" s="454"/>
      <c r="AB746" s="46"/>
      <c r="AC746" s="58"/>
      <c r="AD746" s="59"/>
      <c r="AE746" s="57"/>
      <c r="AF746" s="60" t="s">
        <v>46</v>
      </c>
      <c r="AG746" s="61" t="s">
        <v>47</v>
      </c>
      <c r="AH746" s="52"/>
      <c r="AI746" s="58"/>
      <c r="AJ746" s="59"/>
      <c r="AK746" s="57"/>
      <c r="AL746" s="57" t="s">
        <v>46</v>
      </c>
      <c r="AM746" s="62" t="s">
        <v>47</v>
      </c>
      <c r="AN746" s="63"/>
      <c r="AO746" s="52"/>
    </row>
    <row r="747" spans="21:41" ht="12.75" customHeight="1" x14ac:dyDescent="0.2">
      <c r="U747" s="65"/>
      <c r="V747" s="375"/>
      <c r="W747" s="360"/>
      <c r="X747" s="360"/>
      <c r="Y747" s="65"/>
      <c r="Z747" s="360"/>
      <c r="AA747" s="360"/>
      <c r="AB747" s="46"/>
      <c r="AC747" s="68"/>
      <c r="AD747" s="69"/>
      <c r="AE747" s="70"/>
      <c r="AF747" s="76"/>
      <c r="AG747" s="77"/>
      <c r="AH747" s="65"/>
      <c r="AI747" s="68"/>
      <c r="AJ747" s="69"/>
      <c r="AK747" s="70"/>
      <c r="AL747" s="71"/>
      <c r="AM747" s="72"/>
      <c r="AN747" s="73"/>
      <c r="AO747" s="65"/>
    </row>
    <row r="748" spans="21:41" ht="12.75" customHeight="1" x14ac:dyDescent="0.2">
      <c r="U748" s="376"/>
      <c r="V748" s="375"/>
      <c r="W748" s="79"/>
      <c r="X748" s="360"/>
      <c r="Y748" s="65"/>
      <c r="Z748" s="360"/>
      <c r="AA748" s="360"/>
      <c r="AB748" s="46"/>
      <c r="AC748" s="78" t="s">
        <v>50</v>
      </c>
      <c r="AD748" s="59">
        <v>15</v>
      </c>
      <c r="AE748" s="65"/>
      <c r="AF748" s="60">
        <f>II1SA!$H$35+30*(100-II1SA!$H$35)/30</f>
        <v>100</v>
      </c>
      <c r="AG748" s="61">
        <f t="shared" ref="AG748:AG759" si="69">AF749+0.1</f>
        <v>94.1</v>
      </c>
      <c r="AH748" s="65"/>
      <c r="AI748" s="78" t="s">
        <v>50</v>
      </c>
      <c r="AJ748" s="59">
        <v>15</v>
      </c>
      <c r="AK748" s="65"/>
      <c r="AL748" s="60">
        <f>II1SA!$H$30</f>
        <v>40</v>
      </c>
      <c r="AM748" s="353">
        <f>AL749+0.5</f>
        <v>38</v>
      </c>
      <c r="AN748" s="63">
        <f t="shared" ref="AN748:AN762" si="70">IF(AM748&gt;AL748,"ALARM",AL748-AL749)</f>
        <v>2.5</v>
      </c>
      <c r="AO748" s="65"/>
    </row>
    <row r="749" spans="21:41" ht="12.75" customHeight="1" x14ac:dyDescent="0.2">
      <c r="U749" s="376"/>
      <c r="V749" s="375"/>
      <c r="W749" s="360"/>
      <c r="X749" s="360"/>
      <c r="Y749" s="65"/>
      <c r="Z749" s="360"/>
      <c r="AA749" s="360"/>
      <c r="AB749" s="46"/>
      <c r="AC749" s="58">
        <v>1</v>
      </c>
      <c r="AD749" s="59">
        <v>14</v>
      </c>
      <c r="AE749" s="65"/>
      <c r="AF749" s="60">
        <f>II1SA!$H$35+27*(100-II1SA!$H$35)/30</f>
        <v>94</v>
      </c>
      <c r="AG749" s="61">
        <f t="shared" si="69"/>
        <v>88.1</v>
      </c>
      <c r="AH749" s="65"/>
      <c r="AI749" s="58">
        <v>1</v>
      </c>
      <c r="AJ749" s="59">
        <v>14</v>
      </c>
      <c r="AK749" s="65"/>
      <c r="AL749" s="60">
        <f>ROUNDDOWN(II1SA!$H$30*AF749/500,1)*5</f>
        <v>37.5</v>
      </c>
      <c r="AM749" s="353">
        <f t="shared" ref="AM749:AM761" si="71">AL750+0.5</f>
        <v>35.5</v>
      </c>
      <c r="AN749" s="63">
        <f t="shared" si="70"/>
        <v>2.5</v>
      </c>
      <c r="AO749" s="65"/>
    </row>
    <row r="750" spans="21:41" ht="12.75" customHeight="1" x14ac:dyDescent="0.2">
      <c r="U750" s="376"/>
      <c r="V750" s="375"/>
      <c r="W750" s="360"/>
      <c r="X750" s="360"/>
      <c r="Y750" s="65"/>
      <c r="Z750" s="360"/>
      <c r="AA750" s="360"/>
      <c r="AB750" s="46"/>
      <c r="AC750" s="81" t="s">
        <v>22</v>
      </c>
      <c r="AD750" s="69">
        <v>13</v>
      </c>
      <c r="AE750" s="70"/>
      <c r="AF750" s="82">
        <f>II1SA!$H$35+24*(100-II1SA!$H$35)/30</f>
        <v>88</v>
      </c>
      <c r="AG750" s="83">
        <f t="shared" si="69"/>
        <v>82.1</v>
      </c>
      <c r="AH750" s="65"/>
      <c r="AI750" s="81" t="s">
        <v>22</v>
      </c>
      <c r="AJ750" s="69">
        <v>13</v>
      </c>
      <c r="AK750" s="70"/>
      <c r="AL750" s="60">
        <f>ROUNDDOWN(II1SA!$H$30*AF750/500,1)*5</f>
        <v>35</v>
      </c>
      <c r="AM750" s="353">
        <f t="shared" si="71"/>
        <v>33</v>
      </c>
      <c r="AN750" s="73">
        <f t="shared" si="70"/>
        <v>2.5</v>
      </c>
      <c r="AO750" s="65"/>
    </row>
    <row r="751" spans="21:41" ht="12.75" customHeight="1" x14ac:dyDescent="0.2">
      <c r="U751" s="376"/>
      <c r="V751" s="375"/>
      <c r="W751" s="360"/>
      <c r="X751" s="360"/>
      <c r="Y751" s="65"/>
      <c r="Z751" s="360"/>
      <c r="AA751" s="360"/>
      <c r="AB751" s="46"/>
      <c r="AC751" s="78" t="s">
        <v>50</v>
      </c>
      <c r="AD751" s="59">
        <v>12</v>
      </c>
      <c r="AE751" s="65"/>
      <c r="AF751" s="60">
        <f>II1SA!$H$35+21*(100-II1SA!$H$35)/30</f>
        <v>82</v>
      </c>
      <c r="AG751" s="61">
        <f t="shared" si="69"/>
        <v>76.099999999999994</v>
      </c>
      <c r="AH751" s="65"/>
      <c r="AI751" s="78" t="s">
        <v>50</v>
      </c>
      <c r="AJ751" s="59">
        <v>12</v>
      </c>
      <c r="AK751" s="65"/>
      <c r="AL751" s="60">
        <f>ROUNDDOWN(II1SA!$H$30*AF751/500,1)*5</f>
        <v>32.5</v>
      </c>
      <c r="AM751" s="353">
        <f t="shared" si="71"/>
        <v>30.5</v>
      </c>
      <c r="AN751" s="63">
        <f t="shared" si="70"/>
        <v>2.5</v>
      </c>
      <c r="AO751" s="65"/>
    </row>
    <row r="752" spans="21:41" ht="12.75" customHeight="1" x14ac:dyDescent="0.2">
      <c r="U752" s="376"/>
      <c r="V752" s="375"/>
      <c r="W752" s="360"/>
      <c r="X752" s="360"/>
      <c r="Y752" s="65"/>
      <c r="Z752" s="360"/>
      <c r="AA752" s="360"/>
      <c r="AB752" s="46"/>
      <c r="AC752" s="58">
        <v>2</v>
      </c>
      <c r="AD752" s="59">
        <v>11</v>
      </c>
      <c r="AE752" s="65"/>
      <c r="AF752" s="60">
        <f>II1SA!$H$35+18*(100-II1SA!$H$35)/30</f>
        <v>76</v>
      </c>
      <c r="AG752" s="61">
        <f t="shared" si="69"/>
        <v>70.099999999999994</v>
      </c>
      <c r="AH752" s="65"/>
      <c r="AI752" s="58">
        <v>2</v>
      </c>
      <c r="AJ752" s="59">
        <v>11</v>
      </c>
      <c r="AK752" s="65"/>
      <c r="AL752" s="60">
        <f>ROUNDDOWN(II1SA!$H$30*AF752/500,1)*5</f>
        <v>30</v>
      </c>
      <c r="AM752" s="353">
        <f t="shared" si="71"/>
        <v>28.5</v>
      </c>
      <c r="AN752" s="63">
        <f t="shared" si="70"/>
        <v>2</v>
      </c>
      <c r="AO752" s="65"/>
    </row>
    <row r="753" spans="21:41" ht="12.75" customHeight="1" x14ac:dyDescent="0.2">
      <c r="U753" s="376"/>
      <c r="V753" s="375"/>
      <c r="W753" s="360"/>
      <c r="X753" s="360"/>
      <c r="Y753" s="65"/>
      <c r="Z753" s="360"/>
      <c r="AA753" s="360"/>
      <c r="AB753" s="46"/>
      <c r="AC753" s="81" t="s">
        <v>22</v>
      </c>
      <c r="AD753" s="69">
        <v>10</v>
      </c>
      <c r="AE753" s="70"/>
      <c r="AF753" s="82">
        <f>II1SA!$H$35+15*(100-II1SA!$H$35)/30</f>
        <v>70</v>
      </c>
      <c r="AG753" s="83">
        <f t="shared" si="69"/>
        <v>64.099999999999994</v>
      </c>
      <c r="AH753" s="65"/>
      <c r="AI753" s="81" t="s">
        <v>22</v>
      </c>
      <c r="AJ753" s="69">
        <v>10</v>
      </c>
      <c r="AK753" s="70"/>
      <c r="AL753" s="60">
        <f>ROUNDDOWN(II1SA!$H$30*AF753/500,1)*5</f>
        <v>28</v>
      </c>
      <c r="AM753" s="353">
        <f t="shared" si="71"/>
        <v>26</v>
      </c>
      <c r="AN753" s="73">
        <f t="shared" si="70"/>
        <v>2.5</v>
      </c>
      <c r="AO753" s="65"/>
    </row>
    <row r="754" spans="21:41" ht="12.75" customHeight="1" x14ac:dyDescent="0.2">
      <c r="U754" s="376"/>
      <c r="V754" s="375"/>
      <c r="W754" s="360"/>
      <c r="X754" s="360"/>
      <c r="Y754" s="65"/>
      <c r="Z754" s="360"/>
      <c r="AA754" s="360"/>
      <c r="AB754" s="46"/>
      <c r="AC754" s="78" t="s">
        <v>50</v>
      </c>
      <c r="AD754" s="59">
        <v>9</v>
      </c>
      <c r="AE754" s="65"/>
      <c r="AF754" s="60">
        <f>II1SA!$H$35+12*(100-II1SA!$H$35)/30</f>
        <v>64</v>
      </c>
      <c r="AG754" s="61">
        <f t="shared" si="69"/>
        <v>60.1</v>
      </c>
      <c r="AH754" s="65"/>
      <c r="AI754" s="78" t="s">
        <v>50</v>
      </c>
      <c r="AJ754" s="59">
        <v>9</v>
      </c>
      <c r="AK754" s="65"/>
      <c r="AL754" s="60">
        <f>ROUNDDOWN(II1SA!$H$30*AF754/500,1)*5</f>
        <v>25.5</v>
      </c>
      <c r="AM754" s="353">
        <f t="shared" si="71"/>
        <v>24.5</v>
      </c>
      <c r="AN754" s="63">
        <f t="shared" si="70"/>
        <v>1.5</v>
      </c>
      <c r="AO754" s="65"/>
    </row>
    <row r="755" spans="21:41" ht="12.75" customHeight="1" x14ac:dyDescent="0.2">
      <c r="U755" s="376"/>
      <c r="V755" s="375"/>
      <c r="W755" s="360"/>
      <c r="X755" s="360"/>
      <c r="Y755" s="65"/>
      <c r="Z755" s="360"/>
      <c r="AA755" s="360"/>
      <c r="AB755" s="46"/>
      <c r="AC755" s="58">
        <v>3</v>
      </c>
      <c r="AD755" s="59">
        <v>8</v>
      </c>
      <c r="AE755" s="65"/>
      <c r="AF755" s="60">
        <f>II1SA!$H$35+10*(100-II1SA!$H$35)/30</f>
        <v>60</v>
      </c>
      <c r="AG755" s="61">
        <f t="shared" si="69"/>
        <v>56.1</v>
      </c>
      <c r="AH755" s="65"/>
      <c r="AI755" s="58">
        <v>3</v>
      </c>
      <c r="AJ755" s="59">
        <v>8</v>
      </c>
      <c r="AK755" s="65"/>
      <c r="AL755" s="60">
        <f>ROUNDDOWN(II1SA!$H$30*AF755/500,1)*5</f>
        <v>24</v>
      </c>
      <c r="AM755" s="353">
        <f t="shared" si="71"/>
        <v>22.5</v>
      </c>
      <c r="AN755" s="63">
        <f t="shared" si="70"/>
        <v>2</v>
      </c>
      <c r="AO755" s="65"/>
    </row>
    <row r="756" spans="21:41" ht="12.75" customHeight="1" x14ac:dyDescent="0.2">
      <c r="U756" s="376"/>
      <c r="V756" s="375"/>
      <c r="W756" s="360"/>
      <c r="X756" s="360"/>
      <c r="Y756" s="65"/>
      <c r="Z756" s="360"/>
      <c r="AA756" s="360"/>
      <c r="AB756" s="46"/>
      <c r="AC756" s="81" t="s">
        <v>22</v>
      </c>
      <c r="AD756" s="69">
        <v>7</v>
      </c>
      <c r="AE756" s="70"/>
      <c r="AF756" s="82">
        <f>II1SA!$H$35+8*(100-II1SA!$H$35)/30</f>
        <v>56</v>
      </c>
      <c r="AG756" s="83">
        <f t="shared" si="69"/>
        <v>52.1</v>
      </c>
      <c r="AH756" s="65"/>
      <c r="AI756" s="81" t="s">
        <v>22</v>
      </c>
      <c r="AJ756" s="69">
        <v>7</v>
      </c>
      <c r="AK756" s="70"/>
      <c r="AL756" s="60">
        <f>ROUNDDOWN(II1SA!$H$30*AF756/500,1)*5</f>
        <v>22</v>
      </c>
      <c r="AM756" s="353">
        <f t="shared" si="71"/>
        <v>21</v>
      </c>
      <c r="AN756" s="73">
        <f t="shared" si="70"/>
        <v>1.5</v>
      </c>
      <c r="AO756" s="65"/>
    </row>
    <row r="757" spans="21:41" ht="12.75" customHeight="1" x14ac:dyDescent="0.2">
      <c r="U757" s="376"/>
      <c r="V757" s="375"/>
      <c r="W757" s="360"/>
      <c r="X757" s="360"/>
      <c r="Y757" s="65"/>
      <c r="Z757" s="360"/>
      <c r="AA757" s="360"/>
      <c r="AB757" s="46"/>
      <c r="AC757" s="78" t="s">
        <v>50</v>
      </c>
      <c r="AD757" s="59">
        <v>6</v>
      </c>
      <c r="AE757" s="65"/>
      <c r="AF757" s="60">
        <f>II1SA!$H$35+6*(100-II1SA!$H$35)/30</f>
        <v>52</v>
      </c>
      <c r="AG757" s="61">
        <f t="shared" si="69"/>
        <v>48.1</v>
      </c>
      <c r="AH757" s="65"/>
      <c r="AI757" s="78" t="s">
        <v>50</v>
      </c>
      <c r="AJ757" s="59">
        <v>6</v>
      </c>
      <c r="AK757" s="65"/>
      <c r="AL757" s="60">
        <f>ROUNDDOWN(II1SA!$H$30*AF757/500,1)*5</f>
        <v>20.5</v>
      </c>
      <c r="AM757" s="353">
        <f t="shared" si="71"/>
        <v>19.5</v>
      </c>
      <c r="AN757" s="63">
        <f t="shared" si="70"/>
        <v>1.5</v>
      </c>
      <c r="AO757" s="65"/>
    </row>
    <row r="758" spans="21:41" ht="12.75" customHeight="1" x14ac:dyDescent="0.2">
      <c r="U758" s="376"/>
      <c r="V758" s="375"/>
      <c r="W758" s="360"/>
      <c r="X758" s="360"/>
      <c r="Y758" s="65"/>
      <c r="Z758" s="360"/>
      <c r="AA758" s="360"/>
      <c r="AB758" s="46"/>
      <c r="AC758" s="58">
        <v>4</v>
      </c>
      <c r="AD758" s="59">
        <v>5</v>
      </c>
      <c r="AE758" s="65"/>
      <c r="AF758" s="60">
        <f>II1SA!$H$35+4*(100-II1SA!$H$35)/30</f>
        <v>48</v>
      </c>
      <c r="AG758" s="61">
        <f t="shared" si="69"/>
        <v>44.1</v>
      </c>
      <c r="AH758" s="65"/>
      <c r="AI758" s="58">
        <v>4</v>
      </c>
      <c r="AJ758" s="59">
        <v>5</v>
      </c>
      <c r="AK758" s="65"/>
      <c r="AL758" s="60">
        <f>ROUNDDOWN(II1SA!$H$30*AF758/500,1)*5</f>
        <v>19</v>
      </c>
      <c r="AM758" s="353">
        <f t="shared" si="71"/>
        <v>18</v>
      </c>
      <c r="AN758" s="63">
        <f t="shared" si="70"/>
        <v>1.5</v>
      </c>
      <c r="AO758" s="65"/>
    </row>
    <row r="759" spans="21:41" ht="12.75" customHeight="1" x14ac:dyDescent="0.2">
      <c r="U759" s="376"/>
      <c r="V759" s="375"/>
      <c r="W759" s="360"/>
      <c r="X759" s="360"/>
      <c r="Y759" s="65"/>
      <c r="Z759" s="360"/>
      <c r="AA759" s="360"/>
      <c r="AB759" s="46"/>
      <c r="AC759" s="81" t="s">
        <v>22</v>
      </c>
      <c r="AD759" s="69">
        <v>4</v>
      </c>
      <c r="AE759" s="70"/>
      <c r="AF759" s="82">
        <f>II1SA!$H$35+2*(100-II1SA!$H$35)/30</f>
        <v>44</v>
      </c>
      <c r="AG759" s="83">
        <f t="shared" si="69"/>
        <v>40.1</v>
      </c>
      <c r="AH759" s="65"/>
      <c r="AI759" s="81" t="s">
        <v>22</v>
      </c>
      <c r="AJ759" s="69">
        <v>4</v>
      </c>
      <c r="AK759" s="70"/>
      <c r="AL759" s="60">
        <f>ROUNDDOWN(II1SA!$H$30*AF759/500,1)*5</f>
        <v>17.5</v>
      </c>
      <c r="AM759" s="353">
        <f t="shared" si="71"/>
        <v>16.5</v>
      </c>
      <c r="AN759" s="73">
        <f t="shared" si="70"/>
        <v>1.5</v>
      </c>
      <c r="AO759" s="65"/>
    </row>
    <row r="760" spans="21:41" ht="12.75" customHeight="1" x14ac:dyDescent="0.2">
      <c r="U760" s="376"/>
      <c r="V760" s="375"/>
      <c r="W760" s="360"/>
      <c r="X760" s="360"/>
      <c r="Y760" s="65"/>
      <c r="Z760" s="360"/>
      <c r="AA760" s="360"/>
      <c r="AB760" s="46"/>
      <c r="AC760" s="78" t="s">
        <v>50</v>
      </c>
      <c r="AD760" s="59">
        <v>3</v>
      </c>
      <c r="AE760" s="65"/>
      <c r="AF760" s="60">
        <f>II1SA!$H$35</f>
        <v>40</v>
      </c>
      <c r="AG760" s="61">
        <f>AF761+0.01</f>
        <v>33.343333333333334</v>
      </c>
      <c r="AH760" s="65"/>
      <c r="AI760" s="78" t="s">
        <v>50</v>
      </c>
      <c r="AJ760" s="59">
        <v>3</v>
      </c>
      <c r="AK760" s="65"/>
      <c r="AL760" s="60">
        <f>ROUNDDOWN(II1SA!$H$30*AF760/500,1)*5</f>
        <v>16</v>
      </c>
      <c r="AM760" s="353">
        <f t="shared" si="71"/>
        <v>13.5</v>
      </c>
      <c r="AN760" s="63">
        <f t="shared" si="70"/>
        <v>3</v>
      </c>
      <c r="AO760" s="65"/>
    </row>
    <row r="761" spans="21:41" ht="12.75" customHeight="1" x14ac:dyDescent="0.2">
      <c r="U761" s="376"/>
      <c r="V761" s="375"/>
      <c r="W761" s="360"/>
      <c r="X761" s="360"/>
      <c r="Y761" s="65"/>
      <c r="Z761" s="360"/>
      <c r="AA761" s="360"/>
      <c r="AB761" s="46"/>
      <c r="AC761" s="58">
        <v>5</v>
      </c>
      <c r="AD761" s="59">
        <v>2</v>
      </c>
      <c r="AE761" s="65"/>
      <c r="AF761" s="60">
        <f>AG762+2*(AF760-AG762)/3</f>
        <v>33.333333333333336</v>
      </c>
      <c r="AG761" s="61">
        <f>AF762+0.01</f>
        <v>26.676666666666669</v>
      </c>
      <c r="AH761" s="65"/>
      <c r="AI761" s="58">
        <v>5</v>
      </c>
      <c r="AJ761" s="59">
        <v>2</v>
      </c>
      <c r="AK761" s="65"/>
      <c r="AL761" s="60">
        <f>ROUNDDOWN(II1SA!$H$30*AF761/500,1)*5</f>
        <v>13</v>
      </c>
      <c r="AM761" s="353">
        <f t="shared" si="71"/>
        <v>11</v>
      </c>
      <c r="AN761" s="63">
        <f t="shared" si="70"/>
        <v>2.5</v>
      </c>
      <c r="AO761" s="65"/>
    </row>
    <row r="762" spans="21:41" ht="12.75" customHeight="1" x14ac:dyDescent="0.2">
      <c r="U762" s="376"/>
      <c r="V762" s="375"/>
      <c r="W762" s="360"/>
      <c r="X762" s="375"/>
      <c r="Y762" s="65"/>
      <c r="Z762" s="360"/>
      <c r="AA762" s="360"/>
      <c r="AB762" s="46"/>
      <c r="AC762" s="81" t="s">
        <v>22</v>
      </c>
      <c r="AD762" s="69">
        <v>1</v>
      </c>
      <c r="AE762" s="70"/>
      <c r="AF762" s="82">
        <f>AG762+(AF760-AG762)/3</f>
        <v>26.666666666666668</v>
      </c>
      <c r="AG762" s="83">
        <f>II1SA!$H$34</f>
        <v>20</v>
      </c>
      <c r="AH762" s="65"/>
      <c r="AI762" s="81" t="s">
        <v>22</v>
      </c>
      <c r="AJ762" s="69">
        <v>1</v>
      </c>
      <c r="AK762" s="70"/>
      <c r="AL762" s="60">
        <f>ROUNDDOWN(II1SA!$H$30*AF762/500,1)*5</f>
        <v>10.5</v>
      </c>
      <c r="AM762" s="361">
        <f>ROUNDUP(II1SA!$H$30*(II1SA!$H$34/500),1)*5</f>
        <v>8</v>
      </c>
      <c r="AN762" s="73">
        <f t="shared" si="70"/>
        <v>3</v>
      </c>
      <c r="AO762" s="65"/>
    </row>
    <row r="763" spans="21:41" ht="12.75" customHeight="1" thickBot="1" x14ac:dyDescent="0.25">
      <c r="U763" s="375"/>
      <c r="V763" s="375"/>
      <c r="W763" s="360"/>
      <c r="X763" s="360"/>
      <c r="Y763" s="65"/>
      <c r="Z763" s="360"/>
      <c r="AA763" s="360"/>
      <c r="AB763" s="46"/>
      <c r="AC763" s="89">
        <v>6</v>
      </c>
      <c r="AD763" s="90">
        <v>0</v>
      </c>
      <c r="AE763" s="91"/>
      <c r="AF763" s="96">
        <f>II1SA!$H$34-0.1</f>
        <v>19.899999999999999</v>
      </c>
      <c r="AG763" s="97">
        <v>0</v>
      </c>
      <c r="AH763" s="65"/>
      <c r="AI763" s="89">
        <v>6</v>
      </c>
      <c r="AJ763" s="90">
        <v>0</v>
      </c>
      <c r="AK763" s="91"/>
      <c r="AL763" s="96">
        <f>AM762-0.5</f>
        <v>7.5</v>
      </c>
      <c r="AM763" s="362">
        <v>0</v>
      </c>
      <c r="AN763" s="94">
        <f>IF(AM763&gt;AM762,"ALARM",AL763)</f>
        <v>7.5</v>
      </c>
      <c r="AO763" s="65"/>
    </row>
    <row r="764" spans="21:41" ht="12.75" customHeight="1" x14ac:dyDescent="0.2"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</row>
    <row r="765" spans="21:41" ht="12.75" customHeight="1" x14ac:dyDescent="0.2"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</row>
    <row r="766" spans="21:41" ht="12.75" customHeight="1" x14ac:dyDescent="0.2"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</row>
    <row r="767" spans="21:41" ht="12.75" customHeight="1" x14ac:dyDescent="0.2"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</row>
    <row r="768" spans="21:41" ht="12.75" customHeight="1" x14ac:dyDescent="0.2"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</row>
    <row r="769" spans="21:41" ht="12.75" customHeight="1" x14ac:dyDescent="0.2"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</row>
    <row r="770" spans="21:41" ht="12.75" customHeight="1" x14ac:dyDescent="0.2"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</row>
    <row r="801" spans="20:40" ht="12.75" customHeight="1" thickBot="1" x14ac:dyDescent="0.25"/>
    <row r="802" spans="20:40" ht="12.75" customHeight="1" x14ac:dyDescent="0.2">
      <c r="T802" s="177" t="s">
        <v>76</v>
      </c>
      <c r="U802" s="47"/>
      <c r="V802" s="48"/>
      <c r="W802" s="455" t="s">
        <v>39</v>
      </c>
      <c r="X802" s="456"/>
      <c r="Y802" s="465" t="s">
        <v>32</v>
      </c>
      <c r="Z802" s="463" t="s">
        <v>40</v>
      </c>
      <c r="AA802" s="464"/>
      <c r="AB802" s="46"/>
      <c r="AC802" s="49" t="s">
        <v>17</v>
      </c>
      <c r="AD802" s="50" t="s">
        <v>32</v>
      </c>
      <c r="AE802" s="51"/>
      <c r="AF802" s="461" t="s">
        <v>41</v>
      </c>
      <c r="AG802" s="462"/>
      <c r="AH802" s="52"/>
      <c r="AI802" s="49" t="s">
        <v>17</v>
      </c>
      <c r="AJ802" s="50" t="s">
        <v>32</v>
      </c>
      <c r="AK802" s="53"/>
      <c r="AL802" s="452" t="s">
        <v>42</v>
      </c>
      <c r="AM802" s="453"/>
      <c r="AN802" s="54" t="s">
        <v>43</v>
      </c>
    </row>
    <row r="803" spans="20:40" ht="12.75" customHeight="1" x14ac:dyDescent="0.2">
      <c r="U803" s="55" t="s">
        <v>44</v>
      </c>
      <c r="V803" s="41" t="s">
        <v>43</v>
      </c>
      <c r="W803" s="457" t="s">
        <v>42</v>
      </c>
      <c r="X803" s="458"/>
      <c r="Y803" s="466"/>
      <c r="Z803" s="459" t="s">
        <v>45</v>
      </c>
      <c r="AA803" s="460"/>
      <c r="AB803" s="46"/>
      <c r="AC803" s="58"/>
      <c r="AD803" s="59"/>
      <c r="AE803" s="57"/>
      <c r="AF803" s="60" t="s">
        <v>46</v>
      </c>
      <c r="AG803" s="61" t="s">
        <v>47</v>
      </c>
      <c r="AH803" s="52"/>
      <c r="AI803" s="58"/>
      <c r="AJ803" s="59"/>
      <c r="AK803" s="57"/>
      <c r="AL803" s="57" t="s">
        <v>46</v>
      </c>
      <c r="AM803" s="62" t="s">
        <v>47</v>
      </c>
      <c r="AN803" s="63"/>
    </row>
    <row r="804" spans="20:40" ht="12.75" customHeight="1" x14ac:dyDescent="0.2">
      <c r="U804" s="64" t="s">
        <v>48</v>
      </c>
      <c r="V804" s="41" t="s">
        <v>39</v>
      </c>
      <c r="W804" s="56" t="s">
        <v>46</v>
      </c>
      <c r="X804" s="57" t="s">
        <v>47</v>
      </c>
      <c r="Y804" s="466"/>
      <c r="Z804" s="459" t="s">
        <v>49</v>
      </c>
      <c r="AA804" s="460"/>
      <c r="AB804" s="65"/>
      <c r="AC804" s="58"/>
      <c r="AD804" s="59"/>
      <c r="AE804" s="65"/>
      <c r="AF804" s="66"/>
      <c r="AG804" s="67"/>
      <c r="AH804" s="65"/>
      <c r="AI804" s="68"/>
      <c r="AJ804" s="69"/>
      <c r="AK804" s="70"/>
      <c r="AL804" s="71"/>
      <c r="AM804" s="72"/>
      <c r="AN804" s="73"/>
    </row>
    <row r="805" spans="20:40" ht="12.75" customHeight="1" x14ac:dyDescent="0.2">
      <c r="U805" s="74"/>
      <c r="V805" s="42"/>
      <c r="W805" s="75"/>
      <c r="X805" s="71"/>
      <c r="Y805" s="467"/>
      <c r="Z805" s="115"/>
      <c r="AA805" s="63"/>
      <c r="AB805" s="65"/>
      <c r="AC805" s="68"/>
      <c r="AD805" s="69"/>
      <c r="AE805" s="70"/>
      <c r="AF805" s="76"/>
      <c r="AG805" s="77"/>
      <c r="AH805" s="65"/>
      <c r="AI805" s="78" t="s">
        <v>50</v>
      </c>
      <c r="AJ805" s="59">
        <v>15</v>
      </c>
      <c r="AK805" s="65"/>
      <c r="AL805" s="60">
        <f>II2SA!$H$30</f>
        <v>40</v>
      </c>
      <c r="AM805" s="353">
        <f>AL806+0.5</f>
        <v>38.5</v>
      </c>
      <c r="AN805" s="63">
        <f t="shared" ref="AN805:AN819" si="72">IF(AM805&gt;AL805,"ALARM",AL805-AL806)</f>
        <v>2</v>
      </c>
    </row>
    <row r="806" spans="20:40" ht="12.75" customHeight="1" x14ac:dyDescent="0.2">
      <c r="U806" s="108">
        <f>+II2SA!A43</f>
        <v>0</v>
      </c>
      <c r="V806" s="110">
        <f>IF(II2SA!$H$32="M",AN805+U806,AN848+U806)</f>
        <v>2</v>
      </c>
      <c r="W806" s="380">
        <f>II2SA!$H$30</f>
        <v>40</v>
      </c>
      <c r="X806" s="353">
        <f>W807+0.5</f>
        <v>38.5</v>
      </c>
      <c r="Y806" s="56">
        <v>15</v>
      </c>
      <c r="Z806" s="117" t="str">
        <f>IF(ABS(IF(II2SA!$H$32="M",AL805-W806,AL848-W806))&gt;1,"ALARM"," ")</f>
        <v xml:space="preserve"> </v>
      </c>
      <c r="AA806" s="114" t="str">
        <f>IF(ABS(IF(II2SA!$H$32="M",AM805-X806,AM848-X806))&gt;1,"ALARM"," ")</f>
        <v xml:space="preserve"> </v>
      </c>
      <c r="AB806" s="65"/>
      <c r="AC806" s="78" t="s">
        <v>50</v>
      </c>
      <c r="AD806" s="59">
        <v>15</v>
      </c>
      <c r="AE806" s="65"/>
      <c r="AF806" s="60">
        <f>II2SA!$H$35+12*(100-II2SA!$H$35)/12</f>
        <v>100</v>
      </c>
      <c r="AG806" s="61">
        <f t="shared" ref="AG806:AG817" si="73">AF807+0.1</f>
        <v>95.1</v>
      </c>
      <c r="AH806" s="65"/>
      <c r="AI806" s="58">
        <v>1</v>
      </c>
      <c r="AJ806" s="59">
        <v>14</v>
      </c>
      <c r="AK806" s="65"/>
      <c r="AL806" s="60">
        <f>ROUNDDOWN(II2SA!$H$30*AF807/500,1)*5</f>
        <v>38</v>
      </c>
      <c r="AM806" s="353">
        <f t="shared" ref="AM806:AM818" si="74">AL807+0.5</f>
        <v>36.5</v>
      </c>
      <c r="AN806" s="63">
        <f t="shared" si="72"/>
        <v>2</v>
      </c>
    </row>
    <row r="807" spans="20:40" ht="12.75" customHeight="1" x14ac:dyDescent="0.2">
      <c r="U807" s="108">
        <f>+II2SA!A44</f>
        <v>0</v>
      </c>
      <c r="V807" s="111">
        <f>IF(II2SA!$H$32="M",AN806+U807,AN849+U807)</f>
        <v>2</v>
      </c>
      <c r="W807" s="380">
        <f t="shared" ref="W807:W821" si="75">W806-V806</f>
        <v>38</v>
      </c>
      <c r="X807" s="353">
        <f t="shared" ref="X807:X820" si="76">W808+0.5</f>
        <v>36.5</v>
      </c>
      <c r="Y807" s="56">
        <v>14</v>
      </c>
      <c r="Z807" s="115" t="str">
        <f>IF(ABS(IF(II2SA!$H$32="M",AL806-W807,AL849-W807))&gt;1,"ALARM"," ")</f>
        <v xml:space="preserve"> </v>
      </c>
      <c r="AA807" s="63" t="str">
        <f>IF(ABS(IF(II2SA!$H$32="M",AM806-X807,AM849-X807))&gt;1,"ALARM"," ")</f>
        <v xml:space="preserve"> </v>
      </c>
      <c r="AB807" s="65"/>
      <c r="AC807" s="58">
        <v>1</v>
      </c>
      <c r="AD807" s="59">
        <v>14</v>
      </c>
      <c r="AE807" s="65"/>
      <c r="AF807" s="60">
        <f>II2SA!$H$35+11*(100-II2SA!$H$35)/12</f>
        <v>95</v>
      </c>
      <c r="AG807" s="61">
        <f t="shared" si="73"/>
        <v>90.1</v>
      </c>
      <c r="AH807" s="65"/>
      <c r="AI807" s="81" t="s">
        <v>22</v>
      </c>
      <c r="AJ807" s="69">
        <v>13</v>
      </c>
      <c r="AK807" s="70"/>
      <c r="AL807" s="60">
        <f>ROUNDDOWN(II2SA!$H$30*AF808/500,1)*5</f>
        <v>36</v>
      </c>
      <c r="AM807" s="353">
        <f t="shared" si="74"/>
        <v>34.5</v>
      </c>
      <c r="AN807" s="73">
        <f t="shared" si="72"/>
        <v>2</v>
      </c>
    </row>
    <row r="808" spans="20:40" ht="12.75" customHeight="1" x14ac:dyDescent="0.2">
      <c r="U808" s="108">
        <f>+II2SA!A45</f>
        <v>0</v>
      </c>
      <c r="V808" s="111">
        <f>IF(II2SA!$H$32="M",AN807+U808,AN850+U808)</f>
        <v>2</v>
      </c>
      <c r="W808" s="381">
        <f t="shared" si="75"/>
        <v>36</v>
      </c>
      <c r="X808" s="353">
        <f t="shared" si="76"/>
        <v>34.5</v>
      </c>
      <c r="Y808" s="75">
        <v>13</v>
      </c>
      <c r="Z808" s="118" t="str">
        <f>IF(ABS(IF(II2SA!$H$32="M",AL807-W808,AL850-W808))&gt;1,"ALARM"," ")</f>
        <v xml:space="preserve"> </v>
      </c>
      <c r="AA808" s="73" t="str">
        <f>IF(ABS(IF(II2SA!$H$32="M",AM807-X808,AM850-X808))&gt;1,"ALARM"," ")</f>
        <v xml:space="preserve"> </v>
      </c>
      <c r="AB808" s="65"/>
      <c r="AC808" s="81" t="s">
        <v>22</v>
      </c>
      <c r="AD808" s="69">
        <v>13</v>
      </c>
      <c r="AE808" s="70"/>
      <c r="AF808" s="82">
        <f>II2SA!$H$35+10*(100-II2SA!$H$35)/12</f>
        <v>90</v>
      </c>
      <c r="AG808" s="83">
        <f t="shared" si="73"/>
        <v>85.1</v>
      </c>
      <c r="AH808" s="65"/>
      <c r="AI808" s="78" t="s">
        <v>50</v>
      </c>
      <c r="AJ808" s="59">
        <v>12</v>
      </c>
      <c r="AK808" s="65"/>
      <c r="AL808" s="60">
        <f>ROUNDDOWN(II2SA!$H$30*AF809/500,1)*5</f>
        <v>34</v>
      </c>
      <c r="AM808" s="353">
        <f t="shared" si="74"/>
        <v>32.5</v>
      </c>
      <c r="AN808" s="63">
        <f t="shared" si="72"/>
        <v>2</v>
      </c>
    </row>
    <row r="809" spans="20:40" ht="12.75" customHeight="1" x14ac:dyDescent="0.2">
      <c r="U809" s="108">
        <f>+II2SA!A46</f>
        <v>0</v>
      </c>
      <c r="V809" s="110">
        <f>IF(II2SA!$H$32="M",AN808+U809,AN851+U809)</f>
        <v>2</v>
      </c>
      <c r="W809" s="380">
        <f t="shared" si="75"/>
        <v>34</v>
      </c>
      <c r="X809" s="353">
        <f t="shared" si="76"/>
        <v>32.5</v>
      </c>
      <c r="Y809" s="56">
        <v>12</v>
      </c>
      <c r="Z809" s="115" t="str">
        <f>IF(ABS(IF(II2SA!$H$32="M",AL808-W809,AL851-W809))&gt;1,"ALARM"," ")</f>
        <v xml:space="preserve"> </v>
      </c>
      <c r="AA809" s="63" t="str">
        <f>IF(ABS(IF(II2SA!$H$32="M",AM808-X809,AM851-X809))&gt;1,"ALARM"," ")</f>
        <v xml:space="preserve"> </v>
      </c>
      <c r="AB809" s="65"/>
      <c r="AC809" s="78" t="s">
        <v>50</v>
      </c>
      <c r="AD809" s="59">
        <v>12</v>
      </c>
      <c r="AE809" s="65"/>
      <c r="AF809" s="60">
        <f>II2SA!$H$35+9*(100-II2SA!$H$35)/12</f>
        <v>85</v>
      </c>
      <c r="AG809" s="61">
        <f t="shared" si="73"/>
        <v>80.099999999999994</v>
      </c>
      <c r="AH809" s="65"/>
      <c r="AI809" s="58">
        <v>2</v>
      </c>
      <c r="AJ809" s="59">
        <v>11</v>
      </c>
      <c r="AK809" s="65"/>
      <c r="AL809" s="60">
        <f>ROUNDDOWN(II2SA!$H$30*AF810/500,1)*5</f>
        <v>32</v>
      </c>
      <c r="AM809" s="353">
        <f t="shared" si="74"/>
        <v>30.5</v>
      </c>
      <c r="AN809" s="63">
        <f t="shared" si="72"/>
        <v>2</v>
      </c>
    </row>
    <row r="810" spans="20:40" ht="12.75" customHeight="1" x14ac:dyDescent="0.2">
      <c r="U810" s="108">
        <f>+II2SA!A47</f>
        <v>0</v>
      </c>
      <c r="V810" s="111">
        <f>IF(II2SA!$H$32="M",AN809+U810,AN852+U810)</f>
        <v>2</v>
      </c>
      <c r="W810" s="380">
        <f t="shared" si="75"/>
        <v>32</v>
      </c>
      <c r="X810" s="353">
        <f t="shared" si="76"/>
        <v>30.5</v>
      </c>
      <c r="Y810" s="56">
        <v>11</v>
      </c>
      <c r="Z810" s="115" t="str">
        <f>IF(ABS(IF(II2SA!$H$32="M",AL809-W810,AL852-W810))&gt;1,"ALARM"," ")</f>
        <v xml:space="preserve"> </v>
      </c>
      <c r="AA810" s="63" t="str">
        <f>IF(ABS(IF(II2SA!$H$32="M",AM809-X810,AM852-X810))&gt;1,"ALARM"," ")</f>
        <v xml:space="preserve"> </v>
      </c>
      <c r="AB810" s="65"/>
      <c r="AC810" s="58">
        <v>2</v>
      </c>
      <c r="AD810" s="59">
        <v>11</v>
      </c>
      <c r="AE810" s="65"/>
      <c r="AF810" s="60">
        <f>II2SA!$H$35+8*(100-II2SA!$H$35)/12</f>
        <v>80</v>
      </c>
      <c r="AG810" s="61">
        <f t="shared" si="73"/>
        <v>75.099999999999994</v>
      </c>
      <c r="AH810" s="65"/>
      <c r="AI810" s="81" t="s">
        <v>22</v>
      </c>
      <c r="AJ810" s="69">
        <v>10</v>
      </c>
      <c r="AK810" s="70"/>
      <c r="AL810" s="60">
        <f>ROUNDDOWN(II2SA!$H$30*AF811/500,1)*5</f>
        <v>30</v>
      </c>
      <c r="AM810" s="353">
        <f t="shared" si="74"/>
        <v>28.5</v>
      </c>
      <c r="AN810" s="73">
        <f t="shared" si="72"/>
        <v>2</v>
      </c>
    </row>
    <row r="811" spans="20:40" ht="12.75" customHeight="1" x14ac:dyDescent="0.2">
      <c r="U811" s="108">
        <f>+II2SA!A48</f>
        <v>0</v>
      </c>
      <c r="V811" s="113">
        <f>IF(II2SA!$H$32="M",AN810+U811,AN853+U811)</f>
        <v>2</v>
      </c>
      <c r="W811" s="381">
        <f t="shared" si="75"/>
        <v>30</v>
      </c>
      <c r="X811" s="353">
        <f t="shared" si="76"/>
        <v>28.5</v>
      </c>
      <c r="Y811" s="75">
        <v>10</v>
      </c>
      <c r="Z811" s="115" t="str">
        <f>IF(ABS(IF(II2SA!$H$32="M",AL810-W811,AL853-W811))&gt;1,"ALARM"," ")</f>
        <v xml:space="preserve"> </v>
      </c>
      <c r="AA811" s="63" t="str">
        <f>IF(ABS(IF(II2SA!$H$32="M",AM810-X811,AM853-X811))&gt;1,"ALARM"," ")</f>
        <v xml:space="preserve"> </v>
      </c>
      <c r="AB811" s="65"/>
      <c r="AC811" s="81" t="s">
        <v>22</v>
      </c>
      <c r="AD811" s="69">
        <v>10</v>
      </c>
      <c r="AE811" s="70"/>
      <c r="AF811" s="82">
        <f>II2SA!$H$35+7*(100-II2SA!$H$35)/12</f>
        <v>75</v>
      </c>
      <c r="AG811" s="83">
        <f t="shared" si="73"/>
        <v>70.099999999999994</v>
      </c>
      <c r="AH811" s="65"/>
      <c r="AI811" s="78" t="s">
        <v>50</v>
      </c>
      <c r="AJ811" s="59">
        <v>9</v>
      </c>
      <c r="AK811" s="65"/>
      <c r="AL811" s="60">
        <f>ROUNDDOWN(II2SA!$H$30*AF812/500,1)*5</f>
        <v>28</v>
      </c>
      <c r="AM811" s="353">
        <f t="shared" si="74"/>
        <v>26.5</v>
      </c>
      <c r="AN811" s="63">
        <f t="shared" si="72"/>
        <v>2</v>
      </c>
    </row>
    <row r="812" spans="20:40" ht="12.75" customHeight="1" x14ac:dyDescent="0.2">
      <c r="U812" s="108">
        <f>+II2SA!A49</f>
        <v>0</v>
      </c>
      <c r="V812" s="111">
        <f>IF(II2SA!$H$32="M",AN811+U812,AN854+U812)</f>
        <v>2</v>
      </c>
      <c r="W812" s="380">
        <f t="shared" si="75"/>
        <v>28</v>
      </c>
      <c r="X812" s="353">
        <f t="shared" si="76"/>
        <v>26.5</v>
      </c>
      <c r="Y812" s="56">
        <v>9</v>
      </c>
      <c r="Z812" s="117" t="str">
        <f>IF(ABS(IF(II2SA!$H$32="M",AL811-W812,AL854-W812))&gt;1,"ALARM"," ")</f>
        <v xml:space="preserve"> </v>
      </c>
      <c r="AA812" s="114" t="str">
        <f>IF(ABS(IF(II2SA!$H$32="M",AM811-X812,AM854-X812))&gt;1,"ALARM"," ")</f>
        <v xml:space="preserve"> </v>
      </c>
      <c r="AB812" s="65"/>
      <c r="AC812" s="78" t="s">
        <v>50</v>
      </c>
      <c r="AD812" s="59">
        <v>9</v>
      </c>
      <c r="AE812" s="65"/>
      <c r="AF812" s="60">
        <f>II2SA!$H$35+6*(100-II2SA!$H$35)/12</f>
        <v>70</v>
      </c>
      <c r="AG812" s="61">
        <f t="shared" si="73"/>
        <v>65.099999999999994</v>
      </c>
      <c r="AH812" s="65"/>
      <c r="AI812" s="58">
        <v>3</v>
      </c>
      <c r="AJ812" s="59">
        <v>8</v>
      </c>
      <c r="AK812" s="65"/>
      <c r="AL812" s="60">
        <f>ROUNDDOWN(II2SA!$H$30*AF813/500,1)*5</f>
        <v>26</v>
      </c>
      <c r="AM812" s="353">
        <f t="shared" si="74"/>
        <v>24.5</v>
      </c>
      <c r="AN812" s="63">
        <f t="shared" si="72"/>
        <v>2</v>
      </c>
    </row>
    <row r="813" spans="20:40" ht="12.75" customHeight="1" x14ac:dyDescent="0.2">
      <c r="U813" s="108">
        <f>+II2SA!A50</f>
        <v>0</v>
      </c>
      <c r="V813" s="111">
        <f>IF(II2SA!$H$32="M",AN812+U813,AN855+U813)</f>
        <v>2</v>
      </c>
      <c r="W813" s="380">
        <f t="shared" si="75"/>
        <v>26</v>
      </c>
      <c r="X813" s="353">
        <f t="shared" si="76"/>
        <v>24.5</v>
      </c>
      <c r="Y813" s="56">
        <v>8</v>
      </c>
      <c r="Z813" s="115" t="str">
        <f>IF(ABS(IF(II2SA!$H$32="M",AL812-W813,AL855-W813))&gt;1,"ALARM"," ")</f>
        <v xml:space="preserve"> </v>
      </c>
      <c r="AA813" s="63" t="str">
        <f>IF(ABS(IF(II2SA!$H$32="M",AM812-X813,AM855-X813))&gt;1,"ALARM"," ")</f>
        <v xml:space="preserve"> </v>
      </c>
      <c r="AB813" s="65"/>
      <c r="AC813" s="58">
        <v>3</v>
      </c>
      <c r="AD813" s="59">
        <v>8</v>
      </c>
      <c r="AE813" s="65"/>
      <c r="AF813" s="60">
        <f>II2SA!$H$35+5*(100-II2SA!$H$35)/12</f>
        <v>65</v>
      </c>
      <c r="AG813" s="61">
        <f t="shared" si="73"/>
        <v>60.1</v>
      </c>
      <c r="AH813" s="65"/>
      <c r="AI813" s="81" t="s">
        <v>22</v>
      </c>
      <c r="AJ813" s="69">
        <v>7</v>
      </c>
      <c r="AK813" s="70"/>
      <c r="AL813" s="60">
        <f>ROUNDDOWN(II2SA!$H$30*AF814/500,1)*5</f>
        <v>24</v>
      </c>
      <c r="AM813" s="353">
        <f t="shared" si="74"/>
        <v>22.5</v>
      </c>
      <c r="AN813" s="73">
        <f t="shared" si="72"/>
        <v>2</v>
      </c>
    </row>
    <row r="814" spans="20:40" ht="12.75" customHeight="1" x14ac:dyDescent="0.2">
      <c r="U814" s="108">
        <f>+II2SA!A51</f>
        <v>0</v>
      </c>
      <c r="V814" s="111">
        <f>IF(II2SA!$H$32="M",AN813+U814,AN856+U814)</f>
        <v>2</v>
      </c>
      <c r="W814" s="381">
        <f t="shared" si="75"/>
        <v>24</v>
      </c>
      <c r="X814" s="353">
        <f t="shared" si="76"/>
        <v>22.5</v>
      </c>
      <c r="Y814" s="75">
        <v>7</v>
      </c>
      <c r="Z814" s="118" t="str">
        <f>IF(ABS(IF(II2SA!$H$32="M",AL813-W814,AL856-W814))&gt;1,"ALARM"," ")</f>
        <v xml:space="preserve"> </v>
      </c>
      <c r="AA814" s="73" t="str">
        <f>IF(ABS(IF(II2SA!$H$32="M",AM813-X814,AM856-X814))&gt;1,"ALARM"," ")</f>
        <v xml:space="preserve"> </v>
      </c>
      <c r="AB814" s="65"/>
      <c r="AC814" s="81" t="s">
        <v>22</v>
      </c>
      <c r="AD814" s="69">
        <v>7</v>
      </c>
      <c r="AE814" s="70"/>
      <c r="AF814" s="82">
        <f>II2SA!$H$35+4*(100-II2SA!$H$35)/12</f>
        <v>60</v>
      </c>
      <c r="AG814" s="83">
        <f t="shared" si="73"/>
        <v>55.1</v>
      </c>
      <c r="AH814" s="65"/>
      <c r="AI814" s="78" t="s">
        <v>50</v>
      </c>
      <c r="AJ814" s="59">
        <v>6</v>
      </c>
      <c r="AK814" s="65"/>
      <c r="AL814" s="60">
        <f>ROUNDDOWN(II2SA!$H$30*AF815/500,1)*5</f>
        <v>22</v>
      </c>
      <c r="AM814" s="353">
        <f t="shared" si="74"/>
        <v>20.5</v>
      </c>
      <c r="AN814" s="63">
        <f t="shared" si="72"/>
        <v>2</v>
      </c>
    </row>
    <row r="815" spans="20:40" ht="12.75" customHeight="1" x14ac:dyDescent="0.2">
      <c r="U815" s="108">
        <f>+II2SA!A52</f>
        <v>0</v>
      </c>
      <c r="V815" s="110">
        <f>IF(II2SA!$H$32="M",AN814+U815,AN857+U815)</f>
        <v>2</v>
      </c>
      <c r="W815" s="380">
        <f t="shared" si="75"/>
        <v>22</v>
      </c>
      <c r="X815" s="353">
        <f t="shared" si="76"/>
        <v>20.5</v>
      </c>
      <c r="Y815" s="56">
        <v>6</v>
      </c>
      <c r="Z815" s="115" t="str">
        <f>IF(ABS(IF(II2SA!$H$32="M",AL814-W815,AL857-W815))&gt;1,"ALARM"," ")</f>
        <v xml:space="preserve"> </v>
      </c>
      <c r="AA815" s="63" t="str">
        <f>IF(ABS(IF(II2SA!$H$32="M",AM814-X815,AM857-X815))&gt;1,"ALARM"," ")</f>
        <v xml:space="preserve"> </v>
      </c>
      <c r="AB815" s="65"/>
      <c r="AC815" s="78" t="s">
        <v>50</v>
      </c>
      <c r="AD815" s="59">
        <v>6</v>
      </c>
      <c r="AE815" s="65"/>
      <c r="AF815" s="60">
        <f>II2SA!$H$35+3*(100-II2SA!$H$35)/12</f>
        <v>55</v>
      </c>
      <c r="AG815" s="61">
        <f t="shared" si="73"/>
        <v>50.1</v>
      </c>
      <c r="AH815" s="65"/>
      <c r="AI815" s="58">
        <v>4</v>
      </c>
      <c r="AJ815" s="59">
        <v>5</v>
      </c>
      <c r="AK815" s="65"/>
      <c r="AL815" s="60">
        <f>ROUNDDOWN(II2SA!$H$30*AF816/500,1)*5</f>
        <v>20</v>
      </c>
      <c r="AM815" s="353">
        <f t="shared" si="74"/>
        <v>18.5</v>
      </c>
      <c r="AN815" s="63">
        <f t="shared" si="72"/>
        <v>2</v>
      </c>
    </row>
    <row r="816" spans="20:40" ht="12.75" customHeight="1" x14ac:dyDescent="0.2">
      <c r="U816" s="108">
        <f>+II2SA!A53</f>
        <v>0</v>
      </c>
      <c r="V816" s="111">
        <f>IF(II2SA!$H$32="M",AN815+U816,AN858+U816)</f>
        <v>2</v>
      </c>
      <c r="W816" s="380">
        <f t="shared" si="75"/>
        <v>20</v>
      </c>
      <c r="X816" s="353">
        <f t="shared" si="76"/>
        <v>18.5</v>
      </c>
      <c r="Y816" s="56">
        <v>5</v>
      </c>
      <c r="Z816" s="115" t="str">
        <f>IF(ABS(IF(II2SA!$H$32="M",AL815-W816,AL858-W816))&gt;1,"ALARM"," ")</f>
        <v xml:space="preserve"> </v>
      </c>
      <c r="AA816" s="63" t="str">
        <f>IF(ABS(IF(II2SA!$H$32="M",AM815-X816,AM858-X816))&gt;1,"ALARM"," ")</f>
        <v xml:space="preserve"> </v>
      </c>
      <c r="AB816" s="65"/>
      <c r="AC816" s="58">
        <v>4</v>
      </c>
      <c r="AD816" s="59">
        <v>5</v>
      </c>
      <c r="AE816" s="65"/>
      <c r="AF816" s="60">
        <f>II2SA!$H$35+2*(100-II2SA!$H$35)/12</f>
        <v>50</v>
      </c>
      <c r="AG816" s="61">
        <f t="shared" si="73"/>
        <v>45.1</v>
      </c>
      <c r="AH816" s="65"/>
      <c r="AI816" s="81" t="s">
        <v>22</v>
      </c>
      <c r="AJ816" s="69">
        <v>4</v>
      </c>
      <c r="AK816" s="70"/>
      <c r="AL816" s="60">
        <f>ROUNDDOWN(II2SA!$H$30*AF817/500,1)*5</f>
        <v>18</v>
      </c>
      <c r="AM816" s="353">
        <f t="shared" si="74"/>
        <v>16.5</v>
      </c>
      <c r="AN816" s="73">
        <f t="shared" si="72"/>
        <v>2</v>
      </c>
    </row>
    <row r="817" spans="21:40" ht="12.75" customHeight="1" x14ac:dyDescent="0.2">
      <c r="U817" s="108">
        <f>+II2SA!A54</f>
        <v>0</v>
      </c>
      <c r="V817" s="113">
        <f>IF(II2SA!$H$32="M",AN816+U817,AN859+U817)</f>
        <v>2</v>
      </c>
      <c r="W817" s="381">
        <f t="shared" si="75"/>
        <v>18</v>
      </c>
      <c r="X817" s="353">
        <f t="shared" si="76"/>
        <v>16.5</v>
      </c>
      <c r="Y817" s="75">
        <v>4</v>
      </c>
      <c r="Z817" s="115" t="str">
        <f>IF(ABS(IF(II2SA!$H$32="M",AL816-W817,AL859-W817))&gt;1,"ALARM"," ")</f>
        <v xml:space="preserve"> </v>
      </c>
      <c r="AA817" s="63" t="str">
        <f>IF(ABS(IF(II2SA!$H$32="M",AM816-X817,AM859-X817))&gt;1,"ALARM"," ")</f>
        <v xml:space="preserve"> </v>
      </c>
      <c r="AB817" s="65"/>
      <c r="AC817" s="81" t="s">
        <v>22</v>
      </c>
      <c r="AD817" s="69">
        <v>4</v>
      </c>
      <c r="AE817" s="70"/>
      <c r="AF817" s="82">
        <f>II2SA!$H$35+1*(100-II2SA!$H$35)/12</f>
        <v>45</v>
      </c>
      <c r="AG817" s="83">
        <f t="shared" si="73"/>
        <v>40.1</v>
      </c>
      <c r="AH817" s="65"/>
      <c r="AI817" s="78" t="s">
        <v>50</v>
      </c>
      <c r="AJ817" s="59">
        <v>3</v>
      </c>
      <c r="AK817" s="65"/>
      <c r="AL817" s="60">
        <f>ROUNDDOWN(II2SA!$H$30*AF818/500,1)*5</f>
        <v>16</v>
      </c>
      <c r="AM817" s="353">
        <f t="shared" si="74"/>
        <v>13.5</v>
      </c>
      <c r="AN817" s="63">
        <f t="shared" si="72"/>
        <v>3</v>
      </c>
    </row>
    <row r="818" spans="21:40" ht="12.75" customHeight="1" x14ac:dyDescent="0.2">
      <c r="U818" s="108">
        <f>+II2SA!A55</f>
        <v>0</v>
      </c>
      <c r="V818" s="110">
        <f>IF(II2SA!$H$32="M",AN817+U818,AN860+U818)</f>
        <v>3</v>
      </c>
      <c r="W818" s="380">
        <f t="shared" si="75"/>
        <v>16</v>
      </c>
      <c r="X818" s="353">
        <f t="shared" si="76"/>
        <v>13.5</v>
      </c>
      <c r="Y818" s="56">
        <v>3</v>
      </c>
      <c r="Z818" s="117" t="str">
        <f>IF(ABS(IF(II2SA!$H$32="M",AL817-W818,AL860-W818))&gt;1,"ALARM"," ")</f>
        <v xml:space="preserve"> </v>
      </c>
      <c r="AA818" s="114" t="str">
        <f>IF(ABS(IF(II2SA!$H$32="M",AM817-X818,AM860-X818))&gt;1,"ALARM"," ")</f>
        <v xml:space="preserve"> </v>
      </c>
      <c r="AB818" s="65"/>
      <c r="AC818" s="78" t="s">
        <v>50</v>
      </c>
      <c r="AD818" s="59">
        <v>3</v>
      </c>
      <c r="AE818" s="65"/>
      <c r="AF818" s="60">
        <f>II2SA!$H$35</f>
        <v>40</v>
      </c>
      <c r="AG818" s="61">
        <f>AF819+0.01</f>
        <v>33.343333333333334</v>
      </c>
      <c r="AH818" s="65"/>
      <c r="AI818" s="58">
        <v>5</v>
      </c>
      <c r="AJ818" s="59">
        <v>2</v>
      </c>
      <c r="AK818" s="65"/>
      <c r="AL818" s="60">
        <f>ROUNDDOWN(II2SA!$H$30*AF819/500,1)*5</f>
        <v>13</v>
      </c>
      <c r="AM818" s="353">
        <f t="shared" si="74"/>
        <v>11</v>
      </c>
      <c r="AN818" s="63">
        <f t="shared" si="72"/>
        <v>2.5</v>
      </c>
    </row>
    <row r="819" spans="21:40" ht="12.75" customHeight="1" x14ac:dyDescent="0.2">
      <c r="U819" s="108">
        <f>+II2SA!A56</f>
        <v>0</v>
      </c>
      <c r="V819" s="111">
        <f>IF(II2SA!$H$32="M",AN818+U819,AN861+U819)</f>
        <v>2.5</v>
      </c>
      <c r="W819" s="380">
        <f t="shared" si="75"/>
        <v>13</v>
      </c>
      <c r="X819" s="353">
        <f t="shared" si="76"/>
        <v>11</v>
      </c>
      <c r="Y819" s="56">
        <v>2</v>
      </c>
      <c r="Z819" s="115" t="str">
        <f>IF(ABS(IF(II2SA!$H$32="M",AL818-W819,AL861-W819))&gt;1,"ALARM"," ")</f>
        <v xml:space="preserve"> </v>
      </c>
      <c r="AA819" s="63" t="str">
        <f>IF(ABS(IF(II2SA!$H$32="M",AM818-X819,AM861-X819))&gt;1,"ALARM"," ")</f>
        <v xml:space="preserve"> </v>
      </c>
      <c r="AB819" s="65"/>
      <c r="AC819" s="58">
        <v>5</v>
      </c>
      <c r="AD819" s="59">
        <v>2</v>
      </c>
      <c r="AE819" s="65"/>
      <c r="AF819" s="60">
        <f>AG820+2*(AF818-AG820)/3</f>
        <v>33.333333333333336</v>
      </c>
      <c r="AG819" s="61">
        <f>AF820+0.01</f>
        <v>26.676666666666669</v>
      </c>
      <c r="AH819" s="65"/>
      <c r="AI819" s="81" t="s">
        <v>22</v>
      </c>
      <c r="AJ819" s="69">
        <v>1</v>
      </c>
      <c r="AK819" s="70"/>
      <c r="AL819" s="60">
        <f>ROUNDDOWN(II2SA!$H$30*AF820/500,1)*5</f>
        <v>10.5</v>
      </c>
      <c r="AM819" s="361">
        <f>ROUNDUP(II2SA!$H$30*(II2SA!$H$34/500),1)*5</f>
        <v>8</v>
      </c>
      <c r="AN819" s="73">
        <f t="shared" si="72"/>
        <v>3</v>
      </c>
    </row>
    <row r="820" spans="21:40" ht="12.75" customHeight="1" thickBot="1" x14ac:dyDescent="0.25">
      <c r="U820" s="108">
        <f>+II2SA!A57</f>
        <v>0</v>
      </c>
      <c r="V820" s="113">
        <f>IF(II2SA!$H$32="M",AN819+U820,AN862+U820)</f>
        <v>3</v>
      </c>
      <c r="W820" s="381">
        <f t="shared" si="75"/>
        <v>10.5</v>
      </c>
      <c r="X820" s="353">
        <f t="shared" si="76"/>
        <v>8</v>
      </c>
      <c r="Y820" s="75">
        <v>1</v>
      </c>
      <c r="Z820" s="118" t="str">
        <f>IF(ABS(IF(II2SA!$H$32="M",AL819-W820,AL862-W820))&gt;1,"ALARM"," ")</f>
        <v xml:space="preserve"> </v>
      </c>
      <c r="AA820" s="73" t="str">
        <f>IF(ABS(IF(II2SA!$H$32="M",AM819-X820,AM862-X820))&gt;1,"ALARM"," ")</f>
        <v xml:space="preserve"> </v>
      </c>
      <c r="AB820" s="65"/>
      <c r="AC820" s="81" t="s">
        <v>22</v>
      </c>
      <c r="AD820" s="69">
        <v>1</v>
      </c>
      <c r="AE820" s="70"/>
      <c r="AF820" s="82">
        <f>AG820+(AF818-AG820)/3</f>
        <v>26.666666666666668</v>
      </c>
      <c r="AG820" s="83">
        <f>II2SA!$H$34</f>
        <v>20</v>
      </c>
      <c r="AH820" s="65"/>
      <c r="AI820" s="89">
        <v>6</v>
      </c>
      <c r="AJ820" s="90">
        <v>0</v>
      </c>
      <c r="AK820" s="91"/>
      <c r="AL820" s="96">
        <f>AM819-0.5</f>
        <v>7.5</v>
      </c>
      <c r="AM820" s="362">
        <v>0</v>
      </c>
      <c r="AN820" s="94">
        <f>IF(AM820&gt;AM819,"ALARM",AL820)</f>
        <v>7.5</v>
      </c>
    </row>
    <row r="821" spans="21:40" ht="12.75" customHeight="1" thickBot="1" x14ac:dyDescent="0.25">
      <c r="U821" s="43" t="s">
        <v>51</v>
      </c>
      <c r="V821" s="112">
        <f>IF(II2SA!$H$32="M",+W821,W863)</f>
        <v>7.5</v>
      </c>
      <c r="W821" s="384">
        <f t="shared" si="75"/>
        <v>7.5</v>
      </c>
      <c r="X821" s="362">
        <v>0</v>
      </c>
      <c r="Y821" s="95">
        <v>0</v>
      </c>
      <c r="Z821" s="116" t="str">
        <f>IF(ABS(IF(II2SA!$H$32="M",AL820-W821,AL863-W821))&gt;1,"ALARM"," ")</f>
        <v xml:space="preserve"> </v>
      </c>
      <c r="AA821" s="94" t="str">
        <f>IF(ABS(IF(II2SA!$H$32="M",AM820-X821,AM863-X821))&gt;1,"ALARM"," ")</f>
        <v xml:space="preserve"> </v>
      </c>
      <c r="AB821" s="65"/>
      <c r="AC821" s="89">
        <v>6</v>
      </c>
      <c r="AD821" s="90">
        <v>0</v>
      </c>
      <c r="AE821" s="91"/>
      <c r="AF821" s="96">
        <f>II2SA!$H$34-0.1</f>
        <v>19.899999999999999</v>
      </c>
      <c r="AG821" s="97">
        <v>0</v>
      </c>
      <c r="AH821" s="65"/>
      <c r="AI821" s="65"/>
      <c r="AJ821" s="65"/>
      <c r="AK821" s="65"/>
      <c r="AL821" s="65"/>
      <c r="AM821" s="65"/>
      <c r="AN821" s="65"/>
    </row>
    <row r="822" spans="21:40" ht="12.75" customHeight="1" x14ac:dyDescent="0.2"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21:40" ht="12.75" customHeight="1" x14ac:dyDescent="0.2"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21:40" ht="12.75" customHeight="1" x14ac:dyDescent="0.2">
      <c r="U824" s="46"/>
      <c r="V824" s="359">
        <f t="shared" ref="V824:V839" si="77">+X824</f>
        <v>0</v>
      </c>
      <c r="W824" s="359">
        <f>+W821</f>
        <v>7.5</v>
      </c>
      <c r="X824" s="359">
        <f>+X821</f>
        <v>0</v>
      </c>
      <c r="Y824" s="46">
        <f>+Y821</f>
        <v>0</v>
      </c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21:40" ht="12.75" customHeight="1" x14ac:dyDescent="0.2">
      <c r="U825" s="46"/>
      <c r="V825" s="359">
        <f t="shared" si="77"/>
        <v>8</v>
      </c>
      <c r="W825" s="359">
        <f>+W820</f>
        <v>10.5</v>
      </c>
      <c r="X825" s="359">
        <f>+X820</f>
        <v>8</v>
      </c>
      <c r="Y825" s="46">
        <f>+Y820</f>
        <v>1</v>
      </c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21:40" ht="12.75" customHeight="1" x14ac:dyDescent="0.2">
      <c r="U826" s="46"/>
      <c r="V826" s="359">
        <f t="shared" si="77"/>
        <v>11</v>
      </c>
      <c r="W826" s="359">
        <f>+W819</f>
        <v>13</v>
      </c>
      <c r="X826" s="359">
        <f>+X819</f>
        <v>11</v>
      </c>
      <c r="Y826" s="46">
        <f>+Y819</f>
        <v>2</v>
      </c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21:40" ht="12.75" customHeight="1" x14ac:dyDescent="0.2">
      <c r="U827" s="46"/>
      <c r="V827" s="359">
        <f t="shared" si="77"/>
        <v>13.5</v>
      </c>
      <c r="W827" s="359">
        <f>+W818</f>
        <v>16</v>
      </c>
      <c r="X827" s="359">
        <f>+X818</f>
        <v>13.5</v>
      </c>
      <c r="Y827" s="46">
        <f>+Y818</f>
        <v>3</v>
      </c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21:40" ht="12.75" customHeight="1" x14ac:dyDescent="0.2">
      <c r="U828" s="46"/>
      <c r="V828" s="359">
        <f t="shared" si="77"/>
        <v>16.5</v>
      </c>
      <c r="W828" s="359">
        <f>+W817</f>
        <v>18</v>
      </c>
      <c r="X828" s="359">
        <f>+X817</f>
        <v>16.5</v>
      </c>
      <c r="Y828" s="46">
        <f>+Y817</f>
        <v>4</v>
      </c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21:40" ht="12.75" customHeight="1" x14ac:dyDescent="0.2">
      <c r="U829" s="46"/>
      <c r="V829" s="359">
        <f t="shared" si="77"/>
        <v>18.5</v>
      </c>
      <c r="W829" s="359">
        <f>+W816</f>
        <v>20</v>
      </c>
      <c r="X829" s="359">
        <f>+X816</f>
        <v>18.5</v>
      </c>
      <c r="Y829" s="46">
        <f>+Y816</f>
        <v>5</v>
      </c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21:40" ht="12.75" customHeight="1" x14ac:dyDescent="0.2">
      <c r="U830" s="46"/>
      <c r="V830" s="359">
        <f t="shared" si="77"/>
        <v>20.5</v>
      </c>
      <c r="W830" s="359">
        <f>+W815</f>
        <v>22</v>
      </c>
      <c r="X830" s="359">
        <f>+X815</f>
        <v>20.5</v>
      </c>
      <c r="Y830" s="46">
        <f>+Y815</f>
        <v>6</v>
      </c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21:40" ht="12.75" customHeight="1" x14ac:dyDescent="0.2">
      <c r="U831" s="46"/>
      <c r="V831" s="359">
        <f t="shared" si="77"/>
        <v>22.5</v>
      </c>
      <c r="W831" s="359">
        <f>+W814</f>
        <v>24</v>
      </c>
      <c r="X831" s="359">
        <f>+X814</f>
        <v>22.5</v>
      </c>
      <c r="Y831" s="46">
        <f>+Y814</f>
        <v>7</v>
      </c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21:40" ht="12.75" customHeight="1" x14ac:dyDescent="0.2">
      <c r="U832" s="46"/>
      <c r="V832" s="359">
        <f t="shared" si="77"/>
        <v>24.5</v>
      </c>
      <c r="W832" s="359">
        <f>+W813</f>
        <v>26</v>
      </c>
      <c r="X832" s="359">
        <f>+X813</f>
        <v>24.5</v>
      </c>
      <c r="Y832" s="46">
        <f>+Y813</f>
        <v>8</v>
      </c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21:40" ht="12.75" customHeight="1" x14ac:dyDescent="0.2">
      <c r="U833" s="46"/>
      <c r="V833" s="359">
        <f t="shared" si="77"/>
        <v>26.5</v>
      </c>
      <c r="W833" s="359">
        <f>+W812</f>
        <v>28</v>
      </c>
      <c r="X833" s="359">
        <f>+X812</f>
        <v>26.5</v>
      </c>
      <c r="Y833" s="46">
        <f>+Y812</f>
        <v>9</v>
      </c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21:40" ht="12.75" customHeight="1" x14ac:dyDescent="0.2">
      <c r="U834" s="46"/>
      <c r="V834" s="359">
        <f t="shared" si="77"/>
        <v>28.5</v>
      </c>
      <c r="W834" s="359">
        <f>+W811</f>
        <v>30</v>
      </c>
      <c r="X834" s="359">
        <f>+X811</f>
        <v>28.5</v>
      </c>
      <c r="Y834" s="46">
        <f>+Y811</f>
        <v>10</v>
      </c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21:40" ht="12.75" customHeight="1" x14ac:dyDescent="0.2">
      <c r="U835" s="46"/>
      <c r="V835" s="359">
        <f t="shared" si="77"/>
        <v>30.5</v>
      </c>
      <c r="W835" s="359">
        <f>+W810</f>
        <v>32</v>
      </c>
      <c r="X835" s="359">
        <f>+X810</f>
        <v>30.5</v>
      </c>
      <c r="Y835" s="46">
        <f>+Y810</f>
        <v>11</v>
      </c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21:40" ht="12.75" customHeight="1" x14ac:dyDescent="0.2">
      <c r="U836" s="46"/>
      <c r="V836" s="359">
        <f t="shared" si="77"/>
        <v>32.5</v>
      </c>
      <c r="W836" s="359">
        <f>+W809</f>
        <v>34</v>
      </c>
      <c r="X836" s="359">
        <f>+X809</f>
        <v>32.5</v>
      </c>
      <c r="Y836" s="46">
        <f>+Y809</f>
        <v>12</v>
      </c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21:40" ht="12.75" customHeight="1" x14ac:dyDescent="0.2">
      <c r="U837" s="46"/>
      <c r="V837" s="359">
        <f t="shared" si="77"/>
        <v>34.5</v>
      </c>
      <c r="W837" s="359">
        <f>+W808</f>
        <v>36</v>
      </c>
      <c r="X837" s="359">
        <f>+X808</f>
        <v>34.5</v>
      </c>
      <c r="Y837" s="46">
        <f>+Y808</f>
        <v>13</v>
      </c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21:40" ht="12.75" customHeight="1" x14ac:dyDescent="0.2">
      <c r="U838" s="46"/>
      <c r="V838" s="359">
        <f t="shared" si="77"/>
        <v>36.5</v>
      </c>
      <c r="W838" s="359">
        <f>+W807</f>
        <v>38</v>
      </c>
      <c r="X838" s="359">
        <f>+X807</f>
        <v>36.5</v>
      </c>
      <c r="Y838" s="46">
        <f>+Y807</f>
        <v>14</v>
      </c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21:40" ht="12.75" customHeight="1" x14ac:dyDescent="0.2">
      <c r="U839" s="46"/>
      <c r="V839" s="359">
        <f t="shared" si="77"/>
        <v>38.5</v>
      </c>
      <c r="W839" s="359">
        <f>+W806</f>
        <v>40</v>
      </c>
      <c r="X839" s="359">
        <f>+X806</f>
        <v>38.5</v>
      </c>
      <c r="Y839" s="98">
        <f>+Y806</f>
        <v>15</v>
      </c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21:40" ht="12.75" customHeight="1" x14ac:dyDescent="0.2"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21:40" ht="12.75" customHeight="1" x14ac:dyDescent="0.2"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21:40" ht="12.75" customHeight="1" x14ac:dyDescent="0.2"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21:40" ht="12.75" customHeight="1" x14ac:dyDescent="0.2"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52"/>
      <c r="AI843" s="57"/>
      <c r="AJ843" s="60"/>
      <c r="AK843" s="60"/>
      <c r="AL843" s="52"/>
      <c r="AM843" s="88"/>
      <c r="AN843" s="57"/>
    </row>
    <row r="844" spans="21:40" ht="12.75" customHeight="1" thickBot="1" x14ac:dyDescent="0.25">
      <c r="U844" s="360"/>
      <c r="V844" s="375"/>
      <c r="W844" s="454"/>
      <c r="X844" s="454"/>
      <c r="Y844" s="65"/>
      <c r="Z844" s="454"/>
      <c r="AA844" s="454"/>
      <c r="AB844" s="46"/>
      <c r="AC844" s="65"/>
      <c r="AD844" s="57"/>
      <c r="AE844" s="57"/>
      <c r="AF844" s="60"/>
      <c r="AG844" s="60"/>
      <c r="AH844" s="52"/>
      <c r="AI844" s="65"/>
      <c r="AJ844" s="57"/>
      <c r="AK844" s="65"/>
      <c r="AL844" s="57"/>
      <c r="AM844" s="57"/>
      <c r="AN844" s="57"/>
    </row>
    <row r="845" spans="21:40" ht="12.75" customHeight="1" x14ac:dyDescent="0.2">
      <c r="U845" s="376"/>
      <c r="V845" s="375"/>
      <c r="W845" s="458"/>
      <c r="X845" s="458"/>
      <c r="Y845" s="65"/>
      <c r="Z845" s="454"/>
      <c r="AA845" s="454"/>
      <c r="AB845" s="46"/>
      <c r="AC845" s="49" t="s">
        <v>17</v>
      </c>
      <c r="AD845" s="50" t="s">
        <v>32</v>
      </c>
      <c r="AE845" s="51"/>
      <c r="AF845" s="461" t="s">
        <v>41</v>
      </c>
      <c r="AG845" s="462"/>
      <c r="AH845" s="52"/>
      <c r="AI845" s="49" t="s">
        <v>17</v>
      </c>
      <c r="AJ845" s="50" t="s">
        <v>32</v>
      </c>
      <c r="AK845" s="53"/>
      <c r="AL845" s="452" t="s">
        <v>42</v>
      </c>
      <c r="AM845" s="453"/>
      <c r="AN845" s="54" t="s">
        <v>43</v>
      </c>
    </row>
    <row r="846" spans="21:40" ht="12.75" customHeight="1" x14ac:dyDescent="0.2">
      <c r="U846" s="377"/>
      <c r="V846" s="375"/>
      <c r="W846" s="360"/>
      <c r="X846" s="360"/>
      <c r="Y846" s="65"/>
      <c r="Z846" s="454"/>
      <c r="AA846" s="454"/>
      <c r="AB846" s="46"/>
      <c r="AC846" s="58"/>
      <c r="AD846" s="59"/>
      <c r="AE846" s="57"/>
      <c r="AF846" s="60" t="s">
        <v>46</v>
      </c>
      <c r="AG846" s="61" t="s">
        <v>47</v>
      </c>
      <c r="AH846" s="52"/>
      <c r="AI846" s="58"/>
      <c r="AJ846" s="59"/>
      <c r="AK846" s="57"/>
      <c r="AL846" s="57" t="s">
        <v>46</v>
      </c>
      <c r="AM846" s="62" t="s">
        <v>47</v>
      </c>
      <c r="AN846" s="63"/>
    </row>
    <row r="847" spans="21:40" ht="12.75" customHeight="1" x14ac:dyDescent="0.2">
      <c r="U847" s="65"/>
      <c r="V847" s="375"/>
      <c r="W847" s="360"/>
      <c r="X847" s="360"/>
      <c r="Y847" s="65"/>
      <c r="Z847" s="360"/>
      <c r="AA847" s="360"/>
      <c r="AB847" s="46"/>
      <c r="AC847" s="68"/>
      <c r="AD847" s="69"/>
      <c r="AE847" s="70"/>
      <c r="AF847" s="76"/>
      <c r="AG847" s="77"/>
      <c r="AH847" s="65"/>
      <c r="AI847" s="68"/>
      <c r="AJ847" s="69"/>
      <c r="AK847" s="70"/>
      <c r="AL847" s="71"/>
      <c r="AM847" s="72"/>
      <c r="AN847" s="73"/>
    </row>
    <row r="848" spans="21:40" ht="12.75" customHeight="1" x14ac:dyDescent="0.2">
      <c r="U848" s="376"/>
      <c r="V848" s="375"/>
      <c r="W848" s="79"/>
      <c r="X848" s="360"/>
      <c r="Y848" s="65"/>
      <c r="Z848" s="360"/>
      <c r="AA848" s="360"/>
      <c r="AB848" s="46"/>
      <c r="AC848" s="78" t="s">
        <v>50</v>
      </c>
      <c r="AD848" s="59">
        <v>15</v>
      </c>
      <c r="AE848" s="65"/>
      <c r="AF848" s="60">
        <f>II2SA!$H$35+30*(100-II2SA!$H$35)/30</f>
        <v>100</v>
      </c>
      <c r="AG848" s="61">
        <f t="shared" ref="AG848:AG859" si="78">AF849+0.1</f>
        <v>94.1</v>
      </c>
      <c r="AH848" s="65"/>
      <c r="AI848" s="78" t="s">
        <v>50</v>
      </c>
      <c r="AJ848" s="59">
        <v>15</v>
      </c>
      <c r="AK848" s="65"/>
      <c r="AL848" s="79">
        <f>II2SA!$H$30</f>
        <v>40</v>
      </c>
      <c r="AM848" s="62">
        <f>AL849+0.5</f>
        <v>38</v>
      </c>
      <c r="AN848" s="63">
        <f t="shared" ref="AN848:AN862" si="79">IF(AM848&gt;AL848,"ALARM",AL848-AL849)</f>
        <v>2.5</v>
      </c>
    </row>
    <row r="849" spans="21:40" ht="12.75" customHeight="1" x14ac:dyDescent="0.2">
      <c r="U849" s="376"/>
      <c r="V849" s="375"/>
      <c r="W849" s="360"/>
      <c r="X849" s="360"/>
      <c r="Y849" s="65"/>
      <c r="Z849" s="360"/>
      <c r="AA849" s="360"/>
      <c r="AB849" s="46"/>
      <c r="AC849" s="58">
        <v>1</v>
      </c>
      <c r="AD849" s="59">
        <v>14</v>
      </c>
      <c r="AE849" s="65"/>
      <c r="AF849" s="60">
        <f>II2SA!$H$35+27*(100-II2SA!$H$35)/30</f>
        <v>94</v>
      </c>
      <c r="AG849" s="61">
        <f t="shared" si="78"/>
        <v>88.1</v>
      </c>
      <c r="AH849" s="65"/>
      <c r="AI849" s="58">
        <v>1</v>
      </c>
      <c r="AJ849" s="59">
        <v>14</v>
      </c>
      <c r="AK849" s="65"/>
      <c r="AL849" s="57">
        <f>ROUNDDOWN(II2SA!$H$30*AF849/500,1)*5</f>
        <v>37.5</v>
      </c>
      <c r="AM849" s="352">
        <f t="shared" ref="AM849:AM861" si="80">AL850+0.5</f>
        <v>35.5</v>
      </c>
      <c r="AN849" s="63">
        <f t="shared" si="79"/>
        <v>2.5</v>
      </c>
    </row>
    <row r="850" spans="21:40" ht="12.75" customHeight="1" x14ac:dyDescent="0.2">
      <c r="U850" s="376"/>
      <c r="V850" s="375"/>
      <c r="W850" s="360"/>
      <c r="X850" s="360"/>
      <c r="Y850" s="65"/>
      <c r="Z850" s="360"/>
      <c r="AA850" s="360"/>
      <c r="AB850" s="46"/>
      <c r="AC850" s="81" t="s">
        <v>22</v>
      </c>
      <c r="AD850" s="69">
        <v>13</v>
      </c>
      <c r="AE850" s="70"/>
      <c r="AF850" s="82">
        <f>II2SA!$H$35+24*(100-II2SA!$H$35)/30</f>
        <v>88</v>
      </c>
      <c r="AG850" s="83">
        <f t="shared" si="78"/>
        <v>82.1</v>
      </c>
      <c r="AH850" s="65"/>
      <c r="AI850" s="81" t="s">
        <v>22</v>
      </c>
      <c r="AJ850" s="69">
        <v>13</v>
      </c>
      <c r="AK850" s="70"/>
      <c r="AL850" s="383">
        <f>ROUNDDOWN(II2SA!$H$30*AF850/500,1)*5</f>
        <v>35</v>
      </c>
      <c r="AM850" s="352">
        <f t="shared" si="80"/>
        <v>33</v>
      </c>
      <c r="AN850" s="73">
        <f t="shared" si="79"/>
        <v>2.5</v>
      </c>
    </row>
    <row r="851" spans="21:40" ht="12.75" customHeight="1" x14ac:dyDescent="0.2">
      <c r="U851" s="376"/>
      <c r="V851" s="375"/>
      <c r="W851" s="360"/>
      <c r="X851" s="360"/>
      <c r="Y851" s="65"/>
      <c r="Z851" s="360"/>
      <c r="AA851" s="360"/>
      <c r="AB851" s="46"/>
      <c r="AC851" s="78" t="s">
        <v>50</v>
      </c>
      <c r="AD851" s="59">
        <v>12</v>
      </c>
      <c r="AE851" s="65"/>
      <c r="AF851" s="60">
        <f>II2SA!$H$35+21*(100-II2SA!$H$35)/30</f>
        <v>82</v>
      </c>
      <c r="AG851" s="61">
        <f t="shared" si="78"/>
        <v>76.099999999999994</v>
      </c>
      <c r="AH851" s="65"/>
      <c r="AI851" s="78" t="s">
        <v>50</v>
      </c>
      <c r="AJ851" s="59">
        <v>12</v>
      </c>
      <c r="AK851" s="65"/>
      <c r="AL851" s="383">
        <f>ROUNDDOWN(II2SA!$H$30*AF851/500,1)*5</f>
        <v>32.5</v>
      </c>
      <c r="AM851" s="352">
        <f t="shared" si="80"/>
        <v>30.5</v>
      </c>
      <c r="AN851" s="63">
        <f t="shared" si="79"/>
        <v>2.5</v>
      </c>
    </row>
    <row r="852" spans="21:40" ht="12.75" customHeight="1" x14ac:dyDescent="0.2">
      <c r="U852" s="376"/>
      <c r="V852" s="375"/>
      <c r="W852" s="360"/>
      <c r="X852" s="360"/>
      <c r="Y852" s="65"/>
      <c r="Z852" s="360"/>
      <c r="AA852" s="360"/>
      <c r="AB852" s="46"/>
      <c r="AC852" s="58">
        <v>2</v>
      </c>
      <c r="AD852" s="59">
        <v>11</v>
      </c>
      <c r="AE852" s="65"/>
      <c r="AF852" s="60">
        <f>II2SA!$H$35+18*(100-II2SA!$H$35)/30</f>
        <v>76</v>
      </c>
      <c r="AG852" s="61">
        <f t="shared" si="78"/>
        <v>70.099999999999994</v>
      </c>
      <c r="AH852" s="65"/>
      <c r="AI852" s="58">
        <v>2</v>
      </c>
      <c r="AJ852" s="59">
        <v>11</v>
      </c>
      <c r="AK852" s="65"/>
      <c r="AL852" s="383">
        <f>ROUNDDOWN(II2SA!$H$30*AF852/500,1)*5</f>
        <v>30</v>
      </c>
      <c r="AM852" s="352">
        <f t="shared" si="80"/>
        <v>28.5</v>
      </c>
      <c r="AN852" s="63">
        <f t="shared" si="79"/>
        <v>2</v>
      </c>
    </row>
    <row r="853" spans="21:40" ht="12.75" customHeight="1" x14ac:dyDescent="0.2">
      <c r="U853" s="376"/>
      <c r="V853" s="375"/>
      <c r="W853" s="360"/>
      <c r="X853" s="360"/>
      <c r="Y853" s="65"/>
      <c r="Z853" s="360"/>
      <c r="AA853" s="360"/>
      <c r="AB853" s="46"/>
      <c r="AC853" s="81" t="s">
        <v>22</v>
      </c>
      <c r="AD853" s="69">
        <v>10</v>
      </c>
      <c r="AE853" s="70"/>
      <c r="AF853" s="82">
        <f>II2SA!$H$35+15*(100-II2SA!$H$35)/30</f>
        <v>70</v>
      </c>
      <c r="AG853" s="83">
        <f t="shared" si="78"/>
        <v>64.099999999999994</v>
      </c>
      <c r="AH853" s="65"/>
      <c r="AI853" s="81" t="s">
        <v>22</v>
      </c>
      <c r="AJ853" s="69">
        <v>10</v>
      </c>
      <c r="AK853" s="70"/>
      <c r="AL853" s="383">
        <f>ROUNDDOWN(II2SA!$H$30*AF853/500,1)*5</f>
        <v>28</v>
      </c>
      <c r="AM853" s="352">
        <f t="shared" si="80"/>
        <v>26</v>
      </c>
      <c r="AN853" s="73">
        <f t="shared" si="79"/>
        <v>2.5</v>
      </c>
    </row>
    <row r="854" spans="21:40" ht="12.75" customHeight="1" x14ac:dyDescent="0.2">
      <c r="U854" s="376"/>
      <c r="V854" s="375"/>
      <c r="W854" s="360"/>
      <c r="X854" s="360"/>
      <c r="Y854" s="65"/>
      <c r="Z854" s="360"/>
      <c r="AA854" s="360"/>
      <c r="AB854" s="46"/>
      <c r="AC854" s="78" t="s">
        <v>50</v>
      </c>
      <c r="AD854" s="59">
        <v>9</v>
      </c>
      <c r="AE854" s="65"/>
      <c r="AF854" s="60">
        <f>II2SA!$H$35+12*(100-II2SA!$H$35)/30</f>
        <v>64</v>
      </c>
      <c r="AG854" s="61">
        <f t="shared" si="78"/>
        <v>60.1</v>
      </c>
      <c r="AH854" s="65"/>
      <c r="AI854" s="78" t="s">
        <v>50</v>
      </c>
      <c r="AJ854" s="59">
        <v>9</v>
      </c>
      <c r="AK854" s="65"/>
      <c r="AL854" s="383">
        <f>ROUNDDOWN(II2SA!$H$30*AF854/500,1)*5</f>
        <v>25.5</v>
      </c>
      <c r="AM854" s="352">
        <f t="shared" si="80"/>
        <v>24.5</v>
      </c>
      <c r="AN854" s="63">
        <f t="shared" si="79"/>
        <v>1.5</v>
      </c>
    </row>
    <row r="855" spans="21:40" ht="12.75" customHeight="1" x14ac:dyDescent="0.2">
      <c r="U855" s="376"/>
      <c r="V855" s="375"/>
      <c r="W855" s="360"/>
      <c r="X855" s="360"/>
      <c r="Y855" s="65"/>
      <c r="Z855" s="360"/>
      <c r="AA855" s="360"/>
      <c r="AB855" s="46"/>
      <c r="AC855" s="58">
        <v>3</v>
      </c>
      <c r="AD855" s="59">
        <v>8</v>
      </c>
      <c r="AE855" s="65"/>
      <c r="AF855" s="60">
        <f>II2SA!$H$35+10*(100-II2SA!$H$35)/30</f>
        <v>60</v>
      </c>
      <c r="AG855" s="61">
        <f t="shared" si="78"/>
        <v>56.1</v>
      </c>
      <c r="AH855" s="65"/>
      <c r="AI855" s="58">
        <v>3</v>
      </c>
      <c r="AJ855" s="59">
        <v>8</v>
      </c>
      <c r="AK855" s="65"/>
      <c r="AL855" s="383">
        <f>ROUNDDOWN(II2SA!$H$30*AF855/500,1)*5</f>
        <v>24</v>
      </c>
      <c r="AM855" s="352">
        <f t="shared" si="80"/>
        <v>22.5</v>
      </c>
      <c r="AN855" s="63">
        <f t="shared" si="79"/>
        <v>2</v>
      </c>
    </row>
    <row r="856" spans="21:40" ht="12.75" customHeight="1" x14ac:dyDescent="0.2">
      <c r="U856" s="376"/>
      <c r="V856" s="375"/>
      <c r="W856" s="360"/>
      <c r="X856" s="360"/>
      <c r="Y856" s="65"/>
      <c r="Z856" s="360"/>
      <c r="AA856" s="360"/>
      <c r="AB856" s="46"/>
      <c r="AC856" s="81" t="s">
        <v>22</v>
      </c>
      <c r="AD856" s="69">
        <v>7</v>
      </c>
      <c r="AE856" s="70"/>
      <c r="AF856" s="82">
        <f>II2SA!$H$35+8*(100-II2SA!$H$35)/30</f>
        <v>56</v>
      </c>
      <c r="AG856" s="83">
        <f t="shared" si="78"/>
        <v>52.1</v>
      </c>
      <c r="AH856" s="65"/>
      <c r="AI856" s="81" t="s">
        <v>22</v>
      </c>
      <c r="AJ856" s="69">
        <v>7</v>
      </c>
      <c r="AK856" s="70"/>
      <c r="AL856" s="383">
        <f>ROUNDDOWN(II2SA!$H$30*AF856/500,1)*5</f>
        <v>22</v>
      </c>
      <c r="AM856" s="352">
        <f t="shared" si="80"/>
        <v>21</v>
      </c>
      <c r="AN856" s="73">
        <f t="shared" si="79"/>
        <v>1.5</v>
      </c>
    </row>
    <row r="857" spans="21:40" ht="12.75" customHeight="1" x14ac:dyDescent="0.2">
      <c r="U857" s="376"/>
      <c r="V857" s="375"/>
      <c r="W857" s="360"/>
      <c r="X857" s="360"/>
      <c r="Y857" s="65"/>
      <c r="Z857" s="360"/>
      <c r="AA857" s="360"/>
      <c r="AB857" s="46"/>
      <c r="AC857" s="78" t="s">
        <v>50</v>
      </c>
      <c r="AD857" s="59">
        <v>6</v>
      </c>
      <c r="AE857" s="65"/>
      <c r="AF857" s="60">
        <f>II2SA!$H$35+6*(100-II2SA!$H$35)/30</f>
        <v>52</v>
      </c>
      <c r="AG857" s="61">
        <f t="shared" si="78"/>
        <v>48.1</v>
      </c>
      <c r="AH857" s="65"/>
      <c r="AI857" s="78" t="s">
        <v>50</v>
      </c>
      <c r="AJ857" s="59">
        <v>6</v>
      </c>
      <c r="AK857" s="65"/>
      <c r="AL857" s="383">
        <f>ROUNDDOWN(II2SA!$H$30*AF857/500,1)*5</f>
        <v>20.5</v>
      </c>
      <c r="AM857" s="352">
        <f t="shared" si="80"/>
        <v>19.5</v>
      </c>
      <c r="AN857" s="63">
        <f t="shared" si="79"/>
        <v>1.5</v>
      </c>
    </row>
    <row r="858" spans="21:40" ht="12.75" customHeight="1" x14ac:dyDescent="0.2">
      <c r="U858" s="376"/>
      <c r="V858" s="375"/>
      <c r="W858" s="360"/>
      <c r="X858" s="360"/>
      <c r="Y858" s="65"/>
      <c r="Z858" s="360"/>
      <c r="AA858" s="360"/>
      <c r="AB858" s="46"/>
      <c r="AC858" s="58">
        <v>4</v>
      </c>
      <c r="AD858" s="59">
        <v>5</v>
      </c>
      <c r="AE858" s="65"/>
      <c r="AF858" s="60">
        <f>II2SA!$H$35+4*(100-II2SA!$H$35)/30</f>
        <v>48</v>
      </c>
      <c r="AG858" s="61">
        <f t="shared" si="78"/>
        <v>44.1</v>
      </c>
      <c r="AH858" s="65"/>
      <c r="AI858" s="58">
        <v>4</v>
      </c>
      <c r="AJ858" s="59">
        <v>5</v>
      </c>
      <c r="AK858" s="65"/>
      <c r="AL858" s="383">
        <f>ROUNDDOWN(II2SA!$H$30*AF858/500,1)*5</f>
        <v>19</v>
      </c>
      <c r="AM858" s="352">
        <f t="shared" si="80"/>
        <v>18</v>
      </c>
      <c r="AN858" s="63">
        <f t="shared" si="79"/>
        <v>1.5</v>
      </c>
    </row>
    <row r="859" spans="21:40" ht="12.75" customHeight="1" x14ac:dyDescent="0.2">
      <c r="U859" s="376"/>
      <c r="V859" s="375"/>
      <c r="W859" s="360"/>
      <c r="X859" s="360"/>
      <c r="Y859" s="65"/>
      <c r="Z859" s="360"/>
      <c r="AA859" s="360"/>
      <c r="AB859" s="46"/>
      <c r="AC859" s="81" t="s">
        <v>22</v>
      </c>
      <c r="AD859" s="69">
        <v>4</v>
      </c>
      <c r="AE859" s="70"/>
      <c r="AF859" s="82">
        <f>II2SA!$H$35+2*(100-II2SA!$H$35)/30</f>
        <v>44</v>
      </c>
      <c r="AG859" s="83">
        <f t="shared" si="78"/>
        <v>40.1</v>
      </c>
      <c r="AH859" s="65"/>
      <c r="AI859" s="81" t="s">
        <v>22</v>
      </c>
      <c r="AJ859" s="69">
        <v>4</v>
      </c>
      <c r="AK859" s="70"/>
      <c r="AL859" s="383">
        <f>ROUNDDOWN(II2SA!$H$30*AF859/500,1)*5</f>
        <v>17.5</v>
      </c>
      <c r="AM859" s="352">
        <f t="shared" si="80"/>
        <v>16.5</v>
      </c>
      <c r="AN859" s="73">
        <f t="shared" si="79"/>
        <v>1.5</v>
      </c>
    </row>
    <row r="860" spans="21:40" ht="12.75" customHeight="1" x14ac:dyDescent="0.2">
      <c r="U860" s="376"/>
      <c r="V860" s="375"/>
      <c r="W860" s="360"/>
      <c r="X860" s="360"/>
      <c r="Y860" s="65"/>
      <c r="Z860" s="360"/>
      <c r="AA860" s="360"/>
      <c r="AB860" s="46"/>
      <c r="AC860" s="78" t="s">
        <v>50</v>
      </c>
      <c r="AD860" s="59">
        <v>3</v>
      </c>
      <c r="AE860" s="65"/>
      <c r="AF860" s="60">
        <f>II2SA!$H$35</f>
        <v>40</v>
      </c>
      <c r="AG860" s="61">
        <f>AF861+0.01</f>
        <v>33.343333333333334</v>
      </c>
      <c r="AH860" s="65"/>
      <c r="AI860" s="78" t="s">
        <v>50</v>
      </c>
      <c r="AJ860" s="59">
        <v>3</v>
      </c>
      <c r="AK860" s="65"/>
      <c r="AL860" s="383">
        <f>ROUNDDOWN(II2SA!$H$30*AF860/500,1)*5</f>
        <v>16</v>
      </c>
      <c r="AM860" s="352">
        <f t="shared" si="80"/>
        <v>13.5</v>
      </c>
      <c r="AN860" s="63">
        <f t="shared" si="79"/>
        <v>3</v>
      </c>
    </row>
    <row r="861" spans="21:40" ht="12.75" customHeight="1" x14ac:dyDescent="0.2">
      <c r="U861" s="376"/>
      <c r="V861" s="375"/>
      <c r="W861" s="360"/>
      <c r="X861" s="360"/>
      <c r="Y861" s="65"/>
      <c r="Z861" s="360"/>
      <c r="AA861" s="360"/>
      <c r="AB861" s="46"/>
      <c r="AC861" s="58">
        <v>5</v>
      </c>
      <c r="AD861" s="59">
        <v>2</v>
      </c>
      <c r="AE861" s="65"/>
      <c r="AF861" s="60">
        <f>AG862+2*(AF860-AG862)/3</f>
        <v>33.333333333333336</v>
      </c>
      <c r="AG861" s="61">
        <f>AF862+0.01</f>
        <v>26.676666666666669</v>
      </c>
      <c r="AH861" s="65"/>
      <c r="AI861" s="58">
        <v>5</v>
      </c>
      <c r="AJ861" s="59">
        <v>2</v>
      </c>
      <c r="AK861" s="65"/>
      <c r="AL861" s="383">
        <f>ROUNDDOWN(II2SA!$H$30*AF861/500,1)*5</f>
        <v>13</v>
      </c>
      <c r="AM861" s="352">
        <f t="shared" si="80"/>
        <v>11</v>
      </c>
      <c r="AN861" s="63">
        <f t="shared" si="79"/>
        <v>2.5</v>
      </c>
    </row>
    <row r="862" spans="21:40" ht="12.75" customHeight="1" x14ac:dyDescent="0.2">
      <c r="U862" s="376"/>
      <c r="V862" s="375"/>
      <c r="W862" s="360"/>
      <c r="X862" s="375"/>
      <c r="Y862" s="65"/>
      <c r="Z862" s="360"/>
      <c r="AA862" s="360"/>
      <c r="AB862" s="46"/>
      <c r="AC862" s="81" t="s">
        <v>22</v>
      </c>
      <c r="AD862" s="69">
        <v>1</v>
      </c>
      <c r="AE862" s="70"/>
      <c r="AF862" s="82">
        <f>AG862+(AF860-AG862)/3</f>
        <v>26.666666666666668</v>
      </c>
      <c r="AG862" s="83">
        <f>II2SA!$H$34</f>
        <v>20</v>
      </c>
      <c r="AH862" s="65"/>
      <c r="AI862" s="81" t="s">
        <v>22</v>
      </c>
      <c r="AJ862" s="69">
        <v>1</v>
      </c>
      <c r="AK862" s="70"/>
      <c r="AL862" s="383">
        <f>ROUNDDOWN(II2SA!$H$30*AF862/500,1)*5</f>
        <v>10.5</v>
      </c>
      <c r="AM862" s="72">
        <f>ROUNDUP(II2SA!$H$30*(II2SA!$H$34/500),1)*5</f>
        <v>8</v>
      </c>
      <c r="AN862" s="73">
        <f t="shared" si="79"/>
        <v>3</v>
      </c>
    </row>
    <row r="863" spans="21:40" ht="12.75" customHeight="1" thickBot="1" x14ac:dyDescent="0.25">
      <c r="U863" s="375"/>
      <c r="V863" s="375"/>
      <c r="W863" s="360"/>
      <c r="X863" s="360"/>
      <c r="Y863" s="65"/>
      <c r="Z863" s="360"/>
      <c r="AA863" s="360"/>
      <c r="AB863" s="46"/>
      <c r="AC863" s="89">
        <v>6</v>
      </c>
      <c r="AD863" s="90">
        <v>0</v>
      </c>
      <c r="AE863" s="91"/>
      <c r="AF863" s="96">
        <f>II2SA!$H$34-0.1</f>
        <v>19.899999999999999</v>
      </c>
      <c r="AG863" s="97">
        <v>0</v>
      </c>
      <c r="AH863" s="65"/>
      <c r="AI863" s="89">
        <v>6</v>
      </c>
      <c r="AJ863" s="90">
        <v>0</v>
      </c>
      <c r="AK863" s="91"/>
      <c r="AL863" s="92">
        <f>AM862-0.5</f>
        <v>7.5</v>
      </c>
      <c r="AM863" s="93">
        <v>0</v>
      </c>
      <c r="AN863" s="94">
        <f>IF(AM863&gt;AM862,"ALARM",AL863)</f>
        <v>7.5</v>
      </c>
    </row>
    <row r="864" spans="21:40" ht="12.75" customHeight="1" x14ac:dyDescent="0.2"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21:40" ht="12.75" customHeight="1" x14ac:dyDescent="0.2"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21:40" ht="12.75" customHeight="1" x14ac:dyDescent="0.2"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21:40" ht="12.75" customHeight="1" x14ac:dyDescent="0.2"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21:40" ht="12.75" customHeight="1" x14ac:dyDescent="0.2"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21:40" ht="12.75" customHeight="1" x14ac:dyDescent="0.2"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21:40" ht="12.75" customHeight="1" x14ac:dyDescent="0.2"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21:40" ht="12.75" customHeight="1" x14ac:dyDescent="0.2"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21:40" ht="12.75" customHeight="1" x14ac:dyDescent="0.2"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21:40" ht="12.75" customHeight="1" x14ac:dyDescent="0.2"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21:40" ht="12.75" customHeight="1" x14ac:dyDescent="0.2"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21:40" ht="12.75" customHeight="1" x14ac:dyDescent="0.2"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21:40" ht="12.75" customHeight="1" x14ac:dyDescent="0.2"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21:40" ht="12.75" customHeight="1" x14ac:dyDescent="0.2"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21:40" ht="12.75" customHeight="1" x14ac:dyDescent="0.2"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21:40" ht="12.75" customHeight="1" x14ac:dyDescent="0.2"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21:40" ht="12.75" customHeight="1" x14ac:dyDescent="0.2"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21:40" ht="12.75" customHeight="1" x14ac:dyDescent="0.2"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21:40" ht="12.75" customHeight="1" x14ac:dyDescent="0.2"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21:40" ht="12.75" customHeight="1" x14ac:dyDescent="0.2"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21:40" ht="12.75" customHeight="1" x14ac:dyDescent="0.2"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21:40" ht="12.75" customHeight="1" x14ac:dyDescent="0.2"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21:40" ht="12.75" customHeight="1" x14ac:dyDescent="0.2"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21:40" ht="12.75" customHeight="1" x14ac:dyDescent="0.2"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21:40" ht="12.75" customHeight="1" x14ac:dyDescent="0.2"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21:40" ht="12.75" customHeight="1" x14ac:dyDescent="0.2"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21:40" ht="12.75" customHeight="1" x14ac:dyDescent="0.2"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21:40" ht="12.75" customHeight="1" x14ac:dyDescent="0.2"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21:40" ht="12.75" customHeight="1" x14ac:dyDescent="0.2"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21:40" ht="12.75" customHeight="1" x14ac:dyDescent="0.2"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21:40" ht="12.75" customHeight="1" x14ac:dyDescent="0.2"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901" spans="20:40" ht="12.75" customHeight="1" thickBot="1" x14ac:dyDescent="0.25"/>
    <row r="902" spans="20:40" ht="12.75" customHeight="1" x14ac:dyDescent="0.2">
      <c r="T902" s="177" t="s">
        <v>77</v>
      </c>
      <c r="U902" s="47"/>
      <c r="V902" s="48"/>
      <c r="W902" s="455" t="s">
        <v>39</v>
      </c>
      <c r="X902" s="456"/>
      <c r="Y902" s="465" t="s">
        <v>32</v>
      </c>
      <c r="Z902" s="463" t="s">
        <v>40</v>
      </c>
      <c r="AA902" s="464"/>
      <c r="AB902" s="46"/>
      <c r="AC902" s="49" t="s">
        <v>17</v>
      </c>
      <c r="AD902" s="50" t="s">
        <v>32</v>
      </c>
      <c r="AE902" s="51"/>
      <c r="AF902" s="461" t="s">
        <v>41</v>
      </c>
      <c r="AG902" s="462"/>
      <c r="AH902" s="52"/>
      <c r="AI902" s="49" t="s">
        <v>17</v>
      </c>
      <c r="AJ902" s="50" t="s">
        <v>32</v>
      </c>
      <c r="AK902" s="53"/>
      <c r="AL902" s="452" t="s">
        <v>42</v>
      </c>
      <c r="AM902" s="453"/>
      <c r="AN902" s="54" t="s">
        <v>43</v>
      </c>
    </row>
    <row r="903" spans="20:40" ht="12.75" customHeight="1" x14ac:dyDescent="0.2">
      <c r="U903" s="55" t="s">
        <v>44</v>
      </c>
      <c r="V903" s="41" t="s">
        <v>43</v>
      </c>
      <c r="W903" s="457" t="s">
        <v>42</v>
      </c>
      <c r="X903" s="458"/>
      <c r="Y903" s="466"/>
      <c r="Z903" s="459" t="s">
        <v>45</v>
      </c>
      <c r="AA903" s="460"/>
      <c r="AB903" s="46"/>
      <c r="AC903" s="58"/>
      <c r="AD903" s="59"/>
      <c r="AE903" s="57"/>
      <c r="AF903" s="60" t="s">
        <v>46</v>
      </c>
      <c r="AG903" s="61" t="s">
        <v>47</v>
      </c>
      <c r="AH903" s="52"/>
      <c r="AI903" s="58"/>
      <c r="AJ903" s="59"/>
      <c r="AK903" s="57"/>
      <c r="AL903" s="57" t="s">
        <v>46</v>
      </c>
      <c r="AM903" s="62" t="s">
        <v>47</v>
      </c>
      <c r="AN903" s="63"/>
    </row>
    <row r="904" spans="20:40" ht="12.75" customHeight="1" x14ac:dyDescent="0.2">
      <c r="U904" s="64" t="s">
        <v>48</v>
      </c>
      <c r="V904" s="41" t="s">
        <v>39</v>
      </c>
      <c r="W904" s="56" t="s">
        <v>46</v>
      </c>
      <c r="X904" s="57" t="s">
        <v>47</v>
      </c>
      <c r="Y904" s="466"/>
      <c r="Z904" s="459" t="s">
        <v>49</v>
      </c>
      <c r="AA904" s="460"/>
      <c r="AB904" s="65"/>
      <c r="AC904" s="58"/>
      <c r="AD904" s="59"/>
      <c r="AE904" s="65"/>
      <c r="AF904" s="66"/>
      <c r="AG904" s="67"/>
      <c r="AH904" s="65"/>
      <c r="AI904" s="68"/>
      <c r="AJ904" s="69"/>
      <c r="AK904" s="70"/>
      <c r="AL904" s="71"/>
      <c r="AM904" s="72"/>
      <c r="AN904" s="73"/>
    </row>
    <row r="905" spans="20:40" ht="12.75" customHeight="1" x14ac:dyDescent="0.2">
      <c r="U905" s="74"/>
      <c r="V905" s="42"/>
      <c r="W905" s="75"/>
      <c r="X905" s="71"/>
      <c r="Y905" s="467"/>
      <c r="Z905" s="115"/>
      <c r="AA905" s="63"/>
      <c r="AB905" s="65"/>
      <c r="AC905" s="68"/>
      <c r="AD905" s="69"/>
      <c r="AE905" s="70"/>
      <c r="AF905" s="76"/>
      <c r="AG905" s="77"/>
      <c r="AH905" s="65"/>
      <c r="AI905" s="78" t="s">
        <v>50</v>
      </c>
      <c r="AJ905" s="59">
        <v>15</v>
      </c>
      <c r="AK905" s="65"/>
      <c r="AL905" s="60">
        <f>II3SA!$H$30</f>
        <v>40</v>
      </c>
      <c r="AM905" s="353">
        <f>AL906+0.5</f>
        <v>38.5</v>
      </c>
      <c r="AN905" s="63">
        <f t="shared" ref="AN905:AN919" si="81">IF(AM905&gt;AL905,"ALARM",AL905-AL906)</f>
        <v>2</v>
      </c>
    </row>
    <row r="906" spans="20:40" ht="12.75" customHeight="1" x14ac:dyDescent="0.2">
      <c r="U906" s="108">
        <f>+II3SA!A43</f>
        <v>0</v>
      </c>
      <c r="V906" s="110">
        <f>IF(II3SA!$H$32="M",AN905+U906,AN948+U906)</f>
        <v>2</v>
      </c>
      <c r="W906" s="380">
        <f>II3SA!$H$30</f>
        <v>40</v>
      </c>
      <c r="X906" s="353">
        <f>W907+0.5</f>
        <v>38.5</v>
      </c>
      <c r="Y906" s="56">
        <v>15</v>
      </c>
      <c r="Z906" s="117" t="str">
        <f>IF(ABS(IF(II3SA!$H$32="M",AL905-W906,AL948-W906))&gt;1,"ALARM"," ")</f>
        <v xml:space="preserve"> </v>
      </c>
      <c r="AA906" s="114" t="str">
        <f>IF(ABS(IF(II3SA!$H$32="M",AM905-X906,AM948-X906))&gt;1,"ALARM"," ")</f>
        <v xml:space="preserve"> </v>
      </c>
      <c r="AB906" s="65"/>
      <c r="AC906" s="78" t="s">
        <v>50</v>
      </c>
      <c r="AD906" s="59">
        <v>15</v>
      </c>
      <c r="AE906" s="65"/>
      <c r="AF906" s="60">
        <f>II3SA!$H$35+12*(100-II3SA!$H$35)/12</f>
        <v>100</v>
      </c>
      <c r="AG906" s="61">
        <f t="shared" ref="AG906:AG917" si="82">AF907+0.1</f>
        <v>95.1</v>
      </c>
      <c r="AH906" s="65"/>
      <c r="AI906" s="58">
        <v>1</v>
      </c>
      <c r="AJ906" s="59">
        <v>14</v>
      </c>
      <c r="AK906" s="65"/>
      <c r="AL906" s="60">
        <f>ROUNDDOWN(II3SA!$H$30*AF907/500,1)*5</f>
        <v>38</v>
      </c>
      <c r="AM906" s="353">
        <f t="shared" ref="AM906:AM918" si="83">AL907+0.5</f>
        <v>36.5</v>
      </c>
      <c r="AN906" s="63">
        <f t="shared" si="81"/>
        <v>2</v>
      </c>
    </row>
    <row r="907" spans="20:40" ht="12.75" customHeight="1" x14ac:dyDescent="0.2">
      <c r="U907" s="108">
        <f>+II3SA!A44</f>
        <v>0</v>
      </c>
      <c r="V907" s="111">
        <f>IF(II3SA!$H$32="M",AN906+U907,AN949+U907)</f>
        <v>2</v>
      </c>
      <c r="W907" s="380">
        <f t="shared" ref="W907:W921" si="84">W906-V906</f>
        <v>38</v>
      </c>
      <c r="X907" s="353">
        <f t="shared" ref="X907:X920" si="85">W908+0.5</f>
        <v>36.5</v>
      </c>
      <c r="Y907" s="56">
        <v>14</v>
      </c>
      <c r="Z907" s="115" t="str">
        <f>IF(ABS(IF(II3SA!$H$32="M",AL906-W907,AL949-W907))&gt;1,"ALARM"," ")</f>
        <v xml:space="preserve"> </v>
      </c>
      <c r="AA907" s="63" t="str">
        <f>IF(ABS(IF(II3SA!$H$32="M",AM906-X907,AM949-X907))&gt;1,"ALARM"," ")</f>
        <v xml:space="preserve"> </v>
      </c>
      <c r="AB907" s="65"/>
      <c r="AC907" s="58">
        <v>1</v>
      </c>
      <c r="AD907" s="59">
        <v>14</v>
      </c>
      <c r="AE907" s="65"/>
      <c r="AF907" s="60">
        <f>II3SA!$H$35+11*(100-II3SA!$H$35)/12</f>
        <v>95</v>
      </c>
      <c r="AG907" s="61">
        <f t="shared" si="82"/>
        <v>90.1</v>
      </c>
      <c r="AH907" s="65"/>
      <c r="AI907" s="81" t="s">
        <v>22</v>
      </c>
      <c r="AJ907" s="69">
        <v>13</v>
      </c>
      <c r="AK907" s="70"/>
      <c r="AL907" s="60">
        <f>ROUNDDOWN(II3SA!$H$30*AF908/500,1)*5</f>
        <v>36</v>
      </c>
      <c r="AM907" s="353">
        <f t="shared" si="83"/>
        <v>34.5</v>
      </c>
      <c r="AN907" s="73">
        <f t="shared" si="81"/>
        <v>2</v>
      </c>
    </row>
    <row r="908" spans="20:40" ht="12.75" customHeight="1" x14ac:dyDescent="0.2">
      <c r="U908" s="108">
        <f>+II3SA!A45</f>
        <v>0</v>
      </c>
      <c r="V908" s="111">
        <f>IF(II3SA!$H$32="M",AN907+U908,AN950+U908)</f>
        <v>2</v>
      </c>
      <c r="W908" s="381">
        <f t="shared" si="84"/>
        <v>36</v>
      </c>
      <c r="X908" s="353">
        <f t="shared" si="85"/>
        <v>34.5</v>
      </c>
      <c r="Y908" s="75">
        <v>13</v>
      </c>
      <c r="Z908" s="118" t="str">
        <f>IF(ABS(IF(II3SA!$H$32="M",AL907-W908,AL950-W908))&gt;1,"ALARM"," ")</f>
        <v xml:space="preserve"> </v>
      </c>
      <c r="AA908" s="73" t="str">
        <f>IF(ABS(IF(II3SA!$H$32="M",AM907-X908,AM950-X908))&gt;1,"ALARM"," ")</f>
        <v xml:space="preserve"> </v>
      </c>
      <c r="AB908" s="65"/>
      <c r="AC908" s="81" t="s">
        <v>22</v>
      </c>
      <c r="AD908" s="69">
        <v>13</v>
      </c>
      <c r="AE908" s="70"/>
      <c r="AF908" s="82">
        <f>II3SA!$H$35+10*(100-II3SA!$H$35)/12</f>
        <v>90</v>
      </c>
      <c r="AG908" s="83">
        <f t="shared" si="82"/>
        <v>85.1</v>
      </c>
      <c r="AH908" s="65"/>
      <c r="AI908" s="78" t="s">
        <v>50</v>
      </c>
      <c r="AJ908" s="59">
        <v>12</v>
      </c>
      <c r="AK908" s="65"/>
      <c r="AL908" s="60">
        <f>ROUNDDOWN(II3SA!$H$30*AF909/500,1)*5</f>
        <v>34</v>
      </c>
      <c r="AM908" s="353">
        <f t="shared" si="83"/>
        <v>32.5</v>
      </c>
      <c r="AN908" s="63">
        <f t="shared" si="81"/>
        <v>2</v>
      </c>
    </row>
    <row r="909" spans="20:40" ht="12.75" customHeight="1" x14ac:dyDescent="0.2">
      <c r="U909" s="108">
        <f>+II3SA!A46</f>
        <v>0</v>
      </c>
      <c r="V909" s="110">
        <f>IF(II3SA!$H$32="M",AN908+U909,AN951+U909)</f>
        <v>2</v>
      </c>
      <c r="W909" s="380">
        <f t="shared" si="84"/>
        <v>34</v>
      </c>
      <c r="X909" s="353">
        <f t="shared" si="85"/>
        <v>32.5</v>
      </c>
      <c r="Y909" s="56">
        <v>12</v>
      </c>
      <c r="Z909" s="115" t="str">
        <f>IF(ABS(IF(II3SA!$H$32="M",AL908-W909,AL951-W909))&gt;1,"ALARM"," ")</f>
        <v xml:space="preserve"> </v>
      </c>
      <c r="AA909" s="63" t="str">
        <f>IF(ABS(IF(II3SA!$H$32="M",AM908-X909,AM951-X909))&gt;1,"ALARM"," ")</f>
        <v xml:space="preserve"> </v>
      </c>
      <c r="AB909" s="65"/>
      <c r="AC909" s="78" t="s">
        <v>50</v>
      </c>
      <c r="AD909" s="59">
        <v>12</v>
      </c>
      <c r="AE909" s="65"/>
      <c r="AF909" s="60">
        <f>II3SA!$H$35+9*(100-II3SA!$H$35)/12</f>
        <v>85</v>
      </c>
      <c r="AG909" s="61">
        <f t="shared" si="82"/>
        <v>80.099999999999994</v>
      </c>
      <c r="AH909" s="65"/>
      <c r="AI909" s="58">
        <v>2</v>
      </c>
      <c r="AJ909" s="59">
        <v>11</v>
      </c>
      <c r="AK909" s="65"/>
      <c r="AL909" s="60">
        <f>ROUNDDOWN(II3SA!$H$30*AF910/500,1)*5</f>
        <v>32</v>
      </c>
      <c r="AM909" s="353">
        <f t="shared" si="83"/>
        <v>30.5</v>
      </c>
      <c r="AN909" s="63">
        <f t="shared" si="81"/>
        <v>2</v>
      </c>
    </row>
    <row r="910" spans="20:40" ht="12.75" customHeight="1" x14ac:dyDescent="0.2">
      <c r="U910" s="108">
        <f>+II3SA!A47</f>
        <v>0</v>
      </c>
      <c r="V910" s="111">
        <f>IF(II3SA!$H$32="M",AN909+U910,AN952+U910)</f>
        <v>2</v>
      </c>
      <c r="W910" s="380">
        <f t="shared" si="84"/>
        <v>32</v>
      </c>
      <c r="X910" s="353">
        <f t="shared" si="85"/>
        <v>30.5</v>
      </c>
      <c r="Y910" s="56">
        <v>11</v>
      </c>
      <c r="Z910" s="115" t="str">
        <f>IF(ABS(IF(II3SA!$H$32="M",AL909-W910,AL952-W910))&gt;1,"ALARM"," ")</f>
        <v xml:space="preserve"> </v>
      </c>
      <c r="AA910" s="63" t="str">
        <f>IF(ABS(IF(II3SA!$H$32="M",AM909-X910,AM952-X910))&gt;1,"ALARM"," ")</f>
        <v xml:space="preserve"> </v>
      </c>
      <c r="AB910" s="65"/>
      <c r="AC910" s="58">
        <v>2</v>
      </c>
      <c r="AD910" s="59">
        <v>11</v>
      </c>
      <c r="AE910" s="65"/>
      <c r="AF910" s="60">
        <f>II3SA!$H$35+8*(100-II3SA!$H$35)/12</f>
        <v>80</v>
      </c>
      <c r="AG910" s="61">
        <f t="shared" si="82"/>
        <v>75.099999999999994</v>
      </c>
      <c r="AH910" s="65"/>
      <c r="AI910" s="81" t="s">
        <v>22</v>
      </c>
      <c r="AJ910" s="69">
        <v>10</v>
      </c>
      <c r="AK910" s="70"/>
      <c r="AL910" s="60">
        <f>ROUNDDOWN(II3SA!$H$30*AF911/500,1)*5</f>
        <v>30</v>
      </c>
      <c r="AM910" s="353">
        <f t="shared" si="83"/>
        <v>28.5</v>
      </c>
      <c r="AN910" s="73">
        <f t="shared" si="81"/>
        <v>2</v>
      </c>
    </row>
    <row r="911" spans="20:40" ht="12.75" customHeight="1" x14ac:dyDescent="0.2">
      <c r="U911" s="108">
        <f>+II3SA!A48</f>
        <v>0</v>
      </c>
      <c r="V911" s="113">
        <f>IF(II3SA!$H$32="M",AN910+U911,AN953+U911)</f>
        <v>2</v>
      </c>
      <c r="W911" s="381">
        <f t="shared" si="84"/>
        <v>30</v>
      </c>
      <c r="X911" s="353">
        <f t="shared" si="85"/>
        <v>28.5</v>
      </c>
      <c r="Y911" s="75">
        <v>10</v>
      </c>
      <c r="Z911" s="115" t="str">
        <f>IF(ABS(IF(II3SA!$H$32="M",AL910-W911,AL953-W911))&gt;1,"ALARM"," ")</f>
        <v xml:space="preserve"> </v>
      </c>
      <c r="AA911" s="63" t="str">
        <f>IF(ABS(IF(II3SA!$H$32="M",AM910-X911,AM953-X911))&gt;1,"ALARM"," ")</f>
        <v xml:space="preserve"> </v>
      </c>
      <c r="AB911" s="65"/>
      <c r="AC911" s="81" t="s">
        <v>22</v>
      </c>
      <c r="AD911" s="69">
        <v>10</v>
      </c>
      <c r="AE911" s="70"/>
      <c r="AF911" s="82">
        <f>II3SA!$H$35+7*(100-II3SA!$H$35)/12</f>
        <v>75</v>
      </c>
      <c r="AG911" s="83">
        <f t="shared" si="82"/>
        <v>70.099999999999994</v>
      </c>
      <c r="AH911" s="65"/>
      <c r="AI911" s="78" t="s">
        <v>50</v>
      </c>
      <c r="AJ911" s="59">
        <v>9</v>
      </c>
      <c r="AK911" s="65"/>
      <c r="AL911" s="60">
        <f>ROUNDDOWN(II3SA!$H$30*AF912/500,1)*5</f>
        <v>28</v>
      </c>
      <c r="AM911" s="353">
        <f t="shared" si="83"/>
        <v>26.5</v>
      </c>
      <c r="AN911" s="63">
        <f t="shared" si="81"/>
        <v>2</v>
      </c>
    </row>
    <row r="912" spans="20:40" ht="12.75" customHeight="1" x14ac:dyDescent="0.2">
      <c r="U912" s="108">
        <f>+II3SA!A49</f>
        <v>0</v>
      </c>
      <c r="V912" s="111">
        <f>IF(II3SA!$H$32="M",AN911+U912,AN954+U912)</f>
        <v>2</v>
      </c>
      <c r="W912" s="380">
        <f t="shared" si="84"/>
        <v>28</v>
      </c>
      <c r="X912" s="353">
        <f t="shared" si="85"/>
        <v>26.5</v>
      </c>
      <c r="Y912" s="56">
        <v>9</v>
      </c>
      <c r="Z912" s="117" t="str">
        <f>IF(ABS(IF(II3SA!$H$32="M",AL911-W912,AL954-W912))&gt;1,"ALARM"," ")</f>
        <v xml:space="preserve"> </v>
      </c>
      <c r="AA912" s="114" t="str">
        <f>IF(ABS(IF(II3SA!$H$32="M",AM911-X912,AM954-X912))&gt;1,"ALARM"," ")</f>
        <v xml:space="preserve"> </v>
      </c>
      <c r="AB912" s="65"/>
      <c r="AC912" s="78" t="s">
        <v>50</v>
      </c>
      <c r="AD912" s="59">
        <v>9</v>
      </c>
      <c r="AE912" s="65"/>
      <c r="AF912" s="60">
        <f>II3SA!$H$35+6*(100-II3SA!$H$35)/12</f>
        <v>70</v>
      </c>
      <c r="AG912" s="61">
        <f t="shared" si="82"/>
        <v>65.099999999999994</v>
      </c>
      <c r="AH912" s="65"/>
      <c r="AI912" s="58">
        <v>3</v>
      </c>
      <c r="AJ912" s="59">
        <v>8</v>
      </c>
      <c r="AK912" s="65"/>
      <c r="AL912" s="60">
        <f>ROUNDDOWN(II3SA!$H$30*AF913/500,1)*5</f>
        <v>26</v>
      </c>
      <c r="AM912" s="353">
        <f t="shared" si="83"/>
        <v>24.5</v>
      </c>
      <c r="AN912" s="63">
        <f t="shared" si="81"/>
        <v>2</v>
      </c>
    </row>
    <row r="913" spans="21:40" ht="12.75" customHeight="1" x14ac:dyDescent="0.2">
      <c r="U913" s="108">
        <f>+II3SA!A50</f>
        <v>0</v>
      </c>
      <c r="V913" s="111">
        <f>IF(II3SA!$H$32="M",AN912+U913,AN955+U913)</f>
        <v>2</v>
      </c>
      <c r="W913" s="380">
        <f t="shared" si="84"/>
        <v>26</v>
      </c>
      <c r="X913" s="353">
        <f t="shared" si="85"/>
        <v>24.5</v>
      </c>
      <c r="Y913" s="56">
        <v>8</v>
      </c>
      <c r="Z913" s="115" t="str">
        <f>IF(ABS(IF(II3SA!$H$32="M",AL912-W913,AL955-W913))&gt;1,"ALARM"," ")</f>
        <v xml:space="preserve"> </v>
      </c>
      <c r="AA913" s="63" t="str">
        <f>IF(ABS(IF(II3SA!$H$32="M",AM912-X913,AM955-X913))&gt;1,"ALARM"," ")</f>
        <v xml:space="preserve"> </v>
      </c>
      <c r="AB913" s="65"/>
      <c r="AC913" s="58">
        <v>3</v>
      </c>
      <c r="AD913" s="59">
        <v>8</v>
      </c>
      <c r="AE913" s="65"/>
      <c r="AF913" s="60">
        <f>II3SA!$H$35+5*(100-II3SA!$H$35)/12</f>
        <v>65</v>
      </c>
      <c r="AG913" s="61">
        <f t="shared" si="82"/>
        <v>60.1</v>
      </c>
      <c r="AH913" s="65"/>
      <c r="AI913" s="81" t="s">
        <v>22</v>
      </c>
      <c r="AJ913" s="69">
        <v>7</v>
      </c>
      <c r="AK913" s="70"/>
      <c r="AL913" s="60">
        <f>ROUNDDOWN(II3SA!$H$30*AF914/500,1)*5</f>
        <v>24</v>
      </c>
      <c r="AM913" s="353">
        <f t="shared" si="83"/>
        <v>22.5</v>
      </c>
      <c r="AN913" s="73">
        <f t="shared" si="81"/>
        <v>2</v>
      </c>
    </row>
    <row r="914" spans="21:40" ht="12.75" customHeight="1" x14ac:dyDescent="0.2">
      <c r="U914" s="108">
        <f>+II3SA!A51</f>
        <v>0</v>
      </c>
      <c r="V914" s="111">
        <f>IF(II3SA!$H$32="M",AN913+U914,AN956+U914)</f>
        <v>2</v>
      </c>
      <c r="W914" s="381">
        <f t="shared" si="84"/>
        <v>24</v>
      </c>
      <c r="X914" s="353">
        <f t="shared" si="85"/>
        <v>22.5</v>
      </c>
      <c r="Y914" s="75">
        <v>7</v>
      </c>
      <c r="Z914" s="118" t="str">
        <f>IF(ABS(IF(II3SA!$H$32="M",AL913-W914,AL956-W914))&gt;1,"ALARM"," ")</f>
        <v xml:space="preserve"> </v>
      </c>
      <c r="AA914" s="73" t="str">
        <f>IF(ABS(IF(II3SA!$H$32="M",AM913-X914,AM956-X914))&gt;1,"ALARM"," ")</f>
        <v xml:space="preserve"> </v>
      </c>
      <c r="AB914" s="65"/>
      <c r="AC914" s="81" t="s">
        <v>22</v>
      </c>
      <c r="AD914" s="69">
        <v>7</v>
      </c>
      <c r="AE914" s="70"/>
      <c r="AF914" s="82">
        <f>II3SA!$H$35+4*(100-II3SA!$H$35)/12</f>
        <v>60</v>
      </c>
      <c r="AG914" s="83">
        <f t="shared" si="82"/>
        <v>55.1</v>
      </c>
      <c r="AH914" s="65"/>
      <c r="AI914" s="78" t="s">
        <v>50</v>
      </c>
      <c r="AJ914" s="59">
        <v>6</v>
      </c>
      <c r="AK914" s="65"/>
      <c r="AL914" s="60">
        <f>ROUNDDOWN(II3SA!$H$30*AF915/500,1)*5</f>
        <v>22</v>
      </c>
      <c r="AM914" s="353">
        <f t="shared" si="83"/>
        <v>20.5</v>
      </c>
      <c r="AN914" s="63">
        <f t="shared" si="81"/>
        <v>2</v>
      </c>
    </row>
    <row r="915" spans="21:40" ht="12.75" customHeight="1" x14ac:dyDescent="0.2">
      <c r="U915" s="108">
        <f>+II3SA!A52</f>
        <v>0</v>
      </c>
      <c r="V915" s="110">
        <f>IF(II3SA!$H$32="M",AN914+U915,AN957+U915)</f>
        <v>2</v>
      </c>
      <c r="W915" s="380">
        <f t="shared" si="84"/>
        <v>22</v>
      </c>
      <c r="X915" s="353">
        <f t="shared" si="85"/>
        <v>20.5</v>
      </c>
      <c r="Y915" s="56">
        <v>6</v>
      </c>
      <c r="Z915" s="115" t="str">
        <f>IF(ABS(IF(II3SA!$H$32="M",AL914-W915,AL957-W915))&gt;1,"ALARM"," ")</f>
        <v xml:space="preserve"> </v>
      </c>
      <c r="AA915" s="63" t="str">
        <f>IF(ABS(IF(II3SA!$H$32="M",AM914-X915,AM957-X915))&gt;1,"ALARM"," ")</f>
        <v xml:space="preserve"> </v>
      </c>
      <c r="AB915" s="65"/>
      <c r="AC915" s="78" t="s">
        <v>50</v>
      </c>
      <c r="AD915" s="59">
        <v>6</v>
      </c>
      <c r="AE915" s="65"/>
      <c r="AF915" s="60">
        <f>II3SA!$H$35+3*(100-II3SA!$H$35)/12</f>
        <v>55</v>
      </c>
      <c r="AG915" s="61">
        <f t="shared" si="82"/>
        <v>50.1</v>
      </c>
      <c r="AH915" s="65"/>
      <c r="AI915" s="58">
        <v>4</v>
      </c>
      <c r="AJ915" s="59">
        <v>5</v>
      </c>
      <c r="AK915" s="65"/>
      <c r="AL915" s="60">
        <f>ROUNDDOWN(II3SA!$H$30*AF916/500,1)*5</f>
        <v>20</v>
      </c>
      <c r="AM915" s="353">
        <f t="shared" si="83"/>
        <v>18.5</v>
      </c>
      <c r="AN915" s="63">
        <f t="shared" si="81"/>
        <v>2</v>
      </c>
    </row>
    <row r="916" spans="21:40" ht="12.75" customHeight="1" x14ac:dyDescent="0.2">
      <c r="U916" s="108">
        <f>+II3SA!A53</f>
        <v>0</v>
      </c>
      <c r="V916" s="111">
        <f>IF(II3SA!$H$32="M",AN915+U916,AN958+U916)</f>
        <v>2</v>
      </c>
      <c r="W916" s="380">
        <f t="shared" si="84"/>
        <v>20</v>
      </c>
      <c r="X916" s="353">
        <f t="shared" si="85"/>
        <v>18.5</v>
      </c>
      <c r="Y916" s="56">
        <v>5</v>
      </c>
      <c r="Z916" s="115" t="str">
        <f>IF(ABS(IF(II3SA!$H$32="M",AL915-W916,AL958-W916))&gt;1,"ALARM"," ")</f>
        <v xml:space="preserve"> </v>
      </c>
      <c r="AA916" s="63" t="str">
        <f>IF(ABS(IF(II3SA!$H$32="M",AM915-X916,AM958-X916))&gt;1,"ALARM"," ")</f>
        <v xml:space="preserve"> </v>
      </c>
      <c r="AB916" s="65"/>
      <c r="AC916" s="58">
        <v>4</v>
      </c>
      <c r="AD916" s="59">
        <v>5</v>
      </c>
      <c r="AE916" s="65"/>
      <c r="AF916" s="60">
        <f>II3SA!$H$35+2*(100-II3SA!$H$35)/12</f>
        <v>50</v>
      </c>
      <c r="AG916" s="61">
        <f t="shared" si="82"/>
        <v>45.1</v>
      </c>
      <c r="AH916" s="65"/>
      <c r="AI916" s="81" t="s">
        <v>22</v>
      </c>
      <c r="AJ916" s="69">
        <v>4</v>
      </c>
      <c r="AK916" s="70"/>
      <c r="AL916" s="60">
        <f>ROUNDDOWN(II3SA!$H$30*AF917/500,1)*5</f>
        <v>18</v>
      </c>
      <c r="AM916" s="353">
        <f t="shared" si="83"/>
        <v>16.5</v>
      </c>
      <c r="AN916" s="73">
        <f t="shared" si="81"/>
        <v>2</v>
      </c>
    </row>
    <row r="917" spans="21:40" ht="12.75" customHeight="1" x14ac:dyDescent="0.2">
      <c r="U917" s="108">
        <f>+II3SA!A54</f>
        <v>0</v>
      </c>
      <c r="V917" s="113">
        <f>IF(II3SA!$H$32="M",AN916+U917,AN959+U917)</f>
        <v>2</v>
      </c>
      <c r="W917" s="381">
        <f t="shared" si="84"/>
        <v>18</v>
      </c>
      <c r="X917" s="353">
        <f t="shared" si="85"/>
        <v>16.5</v>
      </c>
      <c r="Y917" s="75">
        <v>4</v>
      </c>
      <c r="Z917" s="115" t="str">
        <f>IF(ABS(IF(II3SA!$H$32="M",AL916-W917,AL959-W917))&gt;1,"ALARM"," ")</f>
        <v xml:space="preserve"> </v>
      </c>
      <c r="AA917" s="63" t="str">
        <f>IF(ABS(IF(II3SA!$H$32="M",AM916-X917,AM959-X917))&gt;1,"ALARM"," ")</f>
        <v xml:space="preserve"> </v>
      </c>
      <c r="AB917" s="65"/>
      <c r="AC917" s="81" t="s">
        <v>22</v>
      </c>
      <c r="AD917" s="69">
        <v>4</v>
      </c>
      <c r="AE917" s="70"/>
      <c r="AF917" s="82">
        <f>II3SA!$H$35+1*(100-II3SA!$H$35)/12</f>
        <v>45</v>
      </c>
      <c r="AG917" s="83">
        <f t="shared" si="82"/>
        <v>40.1</v>
      </c>
      <c r="AH917" s="65"/>
      <c r="AI917" s="78" t="s">
        <v>50</v>
      </c>
      <c r="AJ917" s="59">
        <v>3</v>
      </c>
      <c r="AK917" s="65"/>
      <c r="AL917" s="60">
        <f>ROUNDDOWN(II3SA!$H$30*AF918/500,1)*5</f>
        <v>16</v>
      </c>
      <c r="AM917" s="353">
        <f t="shared" si="83"/>
        <v>13.5</v>
      </c>
      <c r="AN917" s="63">
        <f t="shared" si="81"/>
        <v>3</v>
      </c>
    </row>
    <row r="918" spans="21:40" ht="12.75" customHeight="1" x14ac:dyDescent="0.2">
      <c r="U918" s="108">
        <f>+II3SA!A55</f>
        <v>0</v>
      </c>
      <c r="V918" s="110">
        <f>IF(II3SA!$H$32="M",AN917+U918,AN960+U918)</f>
        <v>3</v>
      </c>
      <c r="W918" s="380">
        <f t="shared" si="84"/>
        <v>16</v>
      </c>
      <c r="X918" s="353">
        <f t="shared" si="85"/>
        <v>13.5</v>
      </c>
      <c r="Y918" s="56">
        <v>3</v>
      </c>
      <c r="Z918" s="117" t="str">
        <f>IF(ABS(IF(II3SA!$H$32="M",AL917-W918,AL960-W918))&gt;1,"ALARM"," ")</f>
        <v xml:space="preserve"> </v>
      </c>
      <c r="AA918" s="114" t="str">
        <f>IF(ABS(IF(II3SA!$H$32="M",AM917-X918,AM960-X918))&gt;1,"ALARM"," ")</f>
        <v xml:space="preserve"> </v>
      </c>
      <c r="AB918" s="65"/>
      <c r="AC918" s="78" t="s">
        <v>50</v>
      </c>
      <c r="AD918" s="59">
        <v>3</v>
      </c>
      <c r="AE918" s="65"/>
      <c r="AF918" s="60">
        <f>II3SA!$H$35</f>
        <v>40</v>
      </c>
      <c r="AG918" s="61">
        <f>AF919+0.01</f>
        <v>33.343333333333334</v>
      </c>
      <c r="AH918" s="65"/>
      <c r="AI918" s="58">
        <v>5</v>
      </c>
      <c r="AJ918" s="59">
        <v>2</v>
      </c>
      <c r="AK918" s="65"/>
      <c r="AL918" s="60">
        <f>ROUNDDOWN(II3SA!$H$30*AF919/500,1)*5</f>
        <v>13</v>
      </c>
      <c r="AM918" s="353">
        <f t="shared" si="83"/>
        <v>11</v>
      </c>
      <c r="AN918" s="63">
        <f t="shared" si="81"/>
        <v>2.5</v>
      </c>
    </row>
    <row r="919" spans="21:40" ht="12.75" customHeight="1" x14ac:dyDescent="0.2">
      <c r="U919" s="108">
        <f>+II3SA!A56</f>
        <v>0</v>
      </c>
      <c r="V919" s="111">
        <f>IF(II3SA!$H$32="M",AN918+U919,AN961+U919)</f>
        <v>2.5</v>
      </c>
      <c r="W919" s="380">
        <f t="shared" si="84"/>
        <v>13</v>
      </c>
      <c r="X919" s="353">
        <f t="shared" si="85"/>
        <v>11</v>
      </c>
      <c r="Y919" s="56">
        <v>2</v>
      </c>
      <c r="Z919" s="115" t="str">
        <f>IF(ABS(IF(II3SA!$H$32="M",AL918-W919,AL961-W919))&gt;1,"ALARM"," ")</f>
        <v xml:space="preserve"> </v>
      </c>
      <c r="AA919" s="63" t="str">
        <f>IF(ABS(IF(II3SA!$H$32="M",AM918-X919,AM961-X919))&gt;1,"ALARM"," ")</f>
        <v xml:space="preserve"> </v>
      </c>
      <c r="AB919" s="65"/>
      <c r="AC919" s="58">
        <v>5</v>
      </c>
      <c r="AD919" s="59">
        <v>2</v>
      </c>
      <c r="AE919" s="65"/>
      <c r="AF919" s="60">
        <f>AG920+2*(AF918-AG920)/3</f>
        <v>33.333333333333336</v>
      </c>
      <c r="AG919" s="61">
        <f>AF920+0.01</f>
        <v>26.676666666666669</v>
      </c>
      <c r="AH919" s="65"/>
      <c r="AI919" s="81" t="s">
        <v>22</v>
      </c>
      <c r="AJ919" s="69">
        <v>1</v>
      </c>
      <c r="AK919" s="70"/>
      <c r="AL919" s="60">
        <f>ROUNDDOWN(II3SA!$H$30*AF920/500,1)*5</f>
        <v>10.5</v>
      </c>
      <c r="AM919" s="361">
        <f>ROUNDUP(II3SA!$H$30*(II3SA!$H$34/500),1)*5</f>
        <v>8</v>
      </c>
      <c r="AN919" s="73">
        <f t="shared" si="81"/>
        <v>3</v>
      </c>
    </row>
    <row r="920" spans="21:40" ht="12.75" customHeight="1" thickBot="1" x14ac:dyDescent="0.25">
      <c r="U920" s="108">
        <f>+II3SA!A57</f>
        <v>0</v>
      </c>
      <c r="V920" s="113">
        <f>IF(II3SA!$H$32="M",AN919+U920,AN962+U920)</f>
        <v>3</v>
      </c>
      <c r="W920" s="381">
        <f t="shared" si="84"/>
        <v>10.5</v>
      </c>
      <c r="X920" s="353">
        <f t="shared" si="85"/>
        <v>8</v>
      </c>
      <c r="Y920" s="75">
        <v>1</v>
      </c>
      <c r="Z920" s="118" t="str">
        <f>IF(ABS(IF(II3SA!$H$32="M",AL919-W920,AL962-W920))&gt;1,"ALARM"," ")</f>
        <v xml:space="preserve"> </v>
      </c>
      <c r="AA920" s="73" t="str">
        <f>IF(ABS(IF(II3SA!$H$32="M",AM919-X920,AM962-X920))&gt;1,"ALARM"," ")</f>
        <v xml:space="preserve"> </v>
      </c>
      <c r="AB920" s="65"/>
      <c r="AC920" s="81" t="s">
        <v>22</v>
      </c>
      <c r="AD920" s="69">
        <v>1</v>
      </c>
      <c r="AE920" s="70"/>
      <c r="AF920" s="82">
        <f>AG920+(AF918-AG920)/3</f>
        <v>26.666666666666668</v>
      </c>
      <c r="AG920" s="83">
        <f>II3SA!$H$34</f>
        <v>20</v>
      </c>
      <c r="AH920" s="65"/>
      <c r="AI920" s="89">
        <v>6</v>
      </c>
      <c r="AJ920" s="90">
        <v>0</v>
      </c>
      <c r="AK920" s="91"/>
      <c r="AL920" s="96">
        <f>AM919-0.5</f>
        <v>7.5</v>
      </c>
      <c r="AM920" s="362">
        <v>0</v>
      </c>
      <c r="AN920" s="94">
        <f>IF(AM920&gt;AM919,"ALARM",AL920)</f>
        <v>7.5</v>
      </c>
    </row>
    <row r="921" spans="21:40" ht="12.75" customHeight="1" thickBot="1" x14ac:dyDescent="0.25">
      <c r="U921" s="43" t="s">
        <v>51</v>
      </c>
      <c r="V921" s="112">
        <f>IF(II3SA!$H$32="M",+W921,W963)</f>
        <v>7.5</v>
      </c>
      <c r="W921" s="384">
        <f t="shared" si="84"/>
        <v>7.5</v>
      </c>
      <c r="X921" s="362">
        <v>0</v>
      </c>
      <c r="Y921" s="95">
        <v>0</v>
      </c>
      <c r="Z921" s="116" t="str">
        <f>IF(ABS(IF(II3SA!$H$32="M",AL920-W921,AL963-W921))&gt;1,"ALARM"," ")</f>
        <v xml:space="preserve"> </v>
      </c>
      <c r="AA921" s="94" t="str">
        <f>IF(ABS(IF(II3SA!$H$32="M",AM920-X921,AM963-X921))&gt;1,"ALARM"," ")</f>
        <v xml:space="preserve"> </v>
      </c>
      <c r="AB921" s="65"/>
      <c r="AC921" s="89">
        <v>6</v>
      </c>
      <c r="AD921" s="90">
        <v>0</v>
      </c>
      <c r="AE921" s="91"/>
      <c r="AF921" s="96">
        <f>II3SA!$H$34-0.1</f>
        <v>19.899999999999999</v>
      </c>
      <c r="AG921" s="97">
        <v>0</v>
      </c>
      <c r="AH921" s="65"/>
      <c r="AI921" s="65"/>
      <c r="AJ921" s="65"/>
      <c r="AK921" s="65"/>
      <c r="AL921" s="65"/>
      <c r="AM921" s="65"/>
      <c r="AN921" s="65"/>
    </row>
    <row r="922" spans="21:40" ht="12.75" customHeight="1" x14ac:dyDescent="0.2"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21:40" ht="12.75" customHeight="1" x14ac:dyDescent="0.2"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21:40" ht="12.75" customHeight="1" x14ac:dyDescent="0.2">
      <c r="U924" s="46"/>
      <c r="V924" s="46">
        <f t="shared" ref="V924:V939" si="86">+X924</f>
        <v>0</v>
      </c>
      <c r="W924" s="46">
        <f>+W921</f>
        <v>7.5</v>
      </c>
      <c r="X924" s="46">
        <f>+X921</f>
        <v>0</v>
      </c>
      <c r="Y924" s="46">
        <f>+Y921</f>
        <v>0</v>
      </c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21:40" ht="12.75" customHeight="1" x14ac:dyDescent="0.2">
      <c r="U925" s="46"/>
      <c r="V925" s="46">
        <f t="shared" si="86"/>
        <v>8</v>
      </c>
      <c r="W925" s="46">
        <f>+W920</f>
        <v>10.5</v>
      </c>
      <c r="X925" s="46">
        <f>+X920</f>
        <v>8</v>
      </c>
      <c r="Y925" s="46">
        <f>+Y920</f>
        <v>1</v>
      </c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21:40" ht="12.75" customHeight="1" x14ac:dyDescent="0.2">
      <c r="U926" s="46"/>
      <c r="V926" s="46">
        <f t="shared" si="86"/>
        <v>11</v>
      </c>
      <c r="W926" s="46">
        <f>+W919</f>
        <v>13</v>
      </c>
      <c r="X926" s="46">
        <f>+X919</f>
        <v>11</v>
      </c>
      <c r="Y926" s="46">
        <f>+Y919</f>
        <v>2</v>
      </c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21:40" ht="12.75" customHeight="1" x14ac:dyDescent="0.2">
      <c r="U927" s="46"/>
      <c r="V927" s="46">
        <f t="shared" si="86"/>
        <v>13.5</v>
      </c>
      <c r="W927" s="46">
        <f>+W918</f>
        <v>16</v>
      </c>
      <c r="X927" s="46">
        <f>+X918</f>
        <v>13.5</v>
      </c>
      <c r="Y927" s="46">
        <f>+Y918</f>
        <v>3</v>
      </c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21:40" ht="12.75" customHeight="1" x14ac:dyDescent="0.2">
      <c r="U928" s="46"/>
      <c r="V928" s="46">
        <f t="shared" si="86"/>
        <v>16.5</v>
      </c>
      <c r="W928" s="46">
        <f>+W917</f>
        <v>18</v>
      </c>
      <c r="X928" s="46">
        <f>+X917</f>
        <v>16.5</v>
      </c>
      <c r="Y928" s="46">
        <f>+Y917</f>
        <v>4</v>
      </c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21:40" ht="12.75" customHeight="1" x14ac:dyDescent="0.2">
      <c r="U929" s="46"/>
      <c r="V929" s="46">
        <f t="shared" si="86"/>
        <v>18.5</v>
      </c>
      <c r="W929" s="46">
        <f>+W916</f>
        <v>20</v>
      </c>
      <c r="X929" s="46">
        <f>+X916</f>
        <v>18.5</v>
      </c>
      <c r="Y929" s="46">
        <f>+Y916</f>
        <v>5</v>
      </c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21:40" ht="12.75" customHeight="1" x14ac:dyDescent="0.2">
      <c r="U930" s="46"/>
      <c r="V930" s="46">
        <f t="shared" si="86"/>
        <v>20.5</v>
      </c>
      <c r="W930" s="46">
        <f>+W915</f>
        <v>22</v>
      </c>
      <c r="X930" s="46">
        <f>+X915</f>
        <v>20.5</v>
      </c>
      <c r="Y930" s="46">
        <f>+Y915</f>
        <v>6</v>
      </c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21:40" ht="12.75" customHeight="1" x14ac:dyDescent="0.2">
      <c r="U931" s="46"/>
      <c r="V931" s="46">
        <f t="shared" si="86"/>
        <v>22.5</v>
      </c>
      <c r="W931" s="46">
        <f>+W914</f>
        <v>24</v>
      </c>
      <c r="X931" s="46">
        <f>+X914</f>
        <v>22.5</v>
      </c>
      <c r="Y931" s="46">
        <f>+Y914</f>
        <v>7</v>
      </c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21:40" ht="12.75" customHeight="1" x14ac:dyDescent="0.2">
      <c r="U932" s="46"/>
      <c r="V932" s="46">
        <f t="shared" si="86"/>
        <v>24.5</v>
      </c>
      <c r="W932" s="46">
        <f>+W913</f>
        <v>26</v>
      </c>
      <c r="X932" s="46">
        <f>+X913</f>
        <v>24.5</v>
      </c>
      <c r="Y932" s="46">
        <f>+Y913</f>
        <v>8</v>
      </c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21:40" ht="12.75" customHeight="1" x14ac:dyDescent="0.2">
      <c r="U933" s="46"/>
      <c r="V933" s="46">
        <f t="shared" si="86"/>
        <v>26.5</v>
      </c>
      <c r="W933" s="46">
        <f>+W912</f>
        <v>28</v>
      </c>
      <c r="X933" s="46">
        <f>+X912</f>
        <v>26.5</v>
      </c>
      <c r="Y933" s="46">
        <f>+Y912</f>
        <v>9</v>
      </c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21:40" ht="12.75" customHeight="1" x14ac:dyDescent="0.2">
      <c r="U934" s="46"/>
      <c r="V934" s="46">
        <f t="shared" si="86"/>
        <v>28.5</v>
      </c>
      <c r="W934" s="46">
        <f>+W911</f>
        <v>30</v>
      </c>
      <c r="X934" s="46">
        <f>+X911</f>
        <v>28.5</v>
      </c>
      <c r="Y934" s="46">
        <f>+Y911</f>
        <v>10</v>
      </c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21:40" ht="12.75" customHeight="1" x14ac:dyDescent="0.2">
      <c r="U935" s="46"/>
      <c r="V935" s="46">
        <f t="shared" si="86"/>
        <v>30.5</v>
      </c>
      <c r="W935" s="46">
        <f>+W910</f>
        <v>32</v>
      </c>
      <c r="X935" s="46">
        <f>+X910</f>
        <v>30.5</v>
      </c>
      <c r="Y935" s="46">
        <f>+Y910</f>
        <v>11</v>
      </c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21:40" ht="12.75" customHeight="1" x14ac:dyDescent="0.2">
      <c r="U936" s="46"/>
      <c r="V936" s="46">
        <f t="shared" si="86"/>
        <v>32.5</v>
      </c>
      <c r="W936" s="46">
        <f>+W909</f>
        <v>34</v>
      </c>
      <c r="X936" s="46">
        <f>+X909</f>
        <v>32.5</v>
      </c>
      <c r="Y936" s="46">
        <f>+Y909</f>
        <v>12</v>
      </c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21:40" ht="12.75" customHeight="1" x14ac:dyDescent="0.2">
      <c r="U937" s="46"/>
      <c r="V937" s="46">
        <f t="shared" si="86"/>
        <v>34.5</v>
      </c>
      <c r="W937" s="46">
        <f>+W908</f>
        <v>36</v>
      </c>
      <c r="X937" s="46">
        <f>+X908</f>
        <v>34.5</v>
      </c>
      <c r="Y937" s="46">
        <f>+Y908</f>
        <v>13</v>
      </c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21:40" ht="12.75" customHeight="1" x14ac:dyDescent="0.2">
      <c r="U938" s="46"/>
      <c r="V938" s="46">
        <f t="shared" si="86"/>
        <v>36.5</v>
      </c>
      <c r="W938" s="46">
        <f>+W907</f>
        <v>38</v>
      </c>
      <c r="X938" s="46">
        <f>+X907</f>
        <v>36.5</v>
      </c>
      <c r="Y938" s="46">
        <f>+Y907</f>
        <v>14</v>
      </c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21:40" ht="12.75" customHeight="1" x14ac:dyDescent="0.2">
      <c r="U939" s="46"/>
      <c r="V939" s="46">
        <f t="shared" si="86"/>
        <v>38.5</v>
      </c>
      <c r="W939" s="98">
        <f>+W906</f>
        <v>40</v>
      </c>
      <c r="X939" s="98">
        <f>+X906</f>
        <v>38.5</v>
      </c>
      <c r="Y939" s="98">
        <f>+Y906</f>
        <v>15</v>
      </c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21:40" ht="12.75" customHeight="1" x14ac:dyDescent="0.2"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21:40" ht="12.75" customHeight="1" x14ac:dyDescent="0.2"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21:40" ht="12.75" customHeight="1" x14ac:dyDescent="0.2"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21:40" ht="12.75" customHeight="1" x14ac:dyDescent="0.2"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52"/>
      <c r="AI943" s="57"/>
      <c r="AJ943" s="60"/>
      <c r="AK943" s="60"/>
      <c r="AL943" s="52"/>
      <c r="AM943" s="88"/>
      <c r="AN943" s="57"/>
    </row>
    <row r="944" spans="21:40" ht="12.75" customHeight="1" thickBot="1" x14ac:dyDescent="0.25">
      <c r="U944" s="360"/>
      <c r="V944" s="375"/>
      <c r="W944" s="454"/>
      <c r="X944" s="454"/>
      <c r="Y944" s="65"/>
      <c r="Z944" s="454"/>
      <c r="AA944" s="454"/>
      <c r="AB944" s="46"/>
      <c r="AC944" s="65"/>
      <c r="AD944" s="57"/>
      <c r="AE944" s="57"/>
      <c r="AF944" s="60"/>
      <c r="AG944" s="60"/>
      <c r="AH944" s="52"/>
      <c r="AI944" s="65"/>
      <c r="AJ944" s="57"/>
      <c r="AK944" s="65"/>
      <c r="AL944" s="57"/>
      <c r="AM944" s="57"/>
      <c r="AN944" s="57"/>
    </row>
    <row r="945" spans="21:40" ht="12.75" customHeight="1" x14ac:dyDescent="0.2">
      <c r="U945" s="376"/>
      <c r="V945" s="375"/>
      <c r="W945" s="458"/>
      <c r="X945" s="458"/>
      <c r="Y945" s="65"/>
      <c r="Z945" s="454"/>
      <c r="AA945" s="454"/>
      <c r="AB945" s="46"/>
      <c r="AC945" s="49" t="s">
        <v>17</v>
      </c>
      <c r="AD945" s="50" t="s">
        <v>32</v>
      </c>
      <c r="AE945" s="51"/>
      <c r="AF945" s="461" t="s">
        <v>41</v>
      </c>
      <c r="AG945" s="462"/>
      <c r="AH945" s="52"/>
      <c r="AI945" s="49" t="s">
        <v>17</v>
      </c>
      <c r="AJ945" s="50" t="s">
        <v>32</v>
      </c>
      <c r="AK945" s="53"/>
      <c r="AL945" s="452" t="s">
        <v>42</v>
      </c>
      <c r="AM945" s="453"/>
      <c r="AN945" s="54" t="s">
        <v>43</v>
      </c>
    </row>
    <row r="946" spans="21:40" ht="12.75" customHeight="1" x14ac:dyDescent="0.2">
      <c r="U946" s="377"/>
      <c r="V946" s="375"/>
      <c r="W946" s="360"/>
      <c r="X946" s="360"/>
      <c r="Y946" s="65"/>
      <c r="Z946" s="454"/>
      <c r="AA946" s="454"/>
      <c r="AB946" s="46"/>
      <c r="AC946" s="58"/>
      <c r="AD946" s="59"/>
      <c r="AE946" s="57"/>
      <c r="AF946" s="60" t="s">
        <v>46</v>
      </c>
      <c r="AG946" s="61" t="s">
        <v>47</v>
      </c>
      <c r="AH946" s="52"/>
      <c r="AI946" s="58"/>
      <c r="AJ946" s="59"/>
      <c r="AK946" s="57"/>
      <c r="AL946" s="57" t="s">
        <v>46</v>
      </c>
      <c r="AM946" s="62" t="s">
        <v>47</v>
      </c>
      <c r="AN946" s="63"/>
    </row>
    <row r="947" spans="21:40" ht="12.75" customHeight="1" x14ac:dyDescent="0.2">
      <c r="U947" s="65"/>
      <c r="V947" s="375"/>
      <c r="W947" s="360"/>
      <c r="X947" s="360"/>
      <c r="Y947" s="65"/>
      <c r="Z947" s="360"/>
      <c r="AA947" s="360"/>
      <c r="AB947" s="46"/>
      <c r="AC947" s="68"/>
      <c r="AD947" s="69"/>
      <c r="AE947" s="70"/>
      <c r="AF947" s="76"/>
      <c r="AG947" s="77"/>
      <c r="AH947" s="65"/>
      <c r="AI947" s="68"/>
      <c r="AJ947" s="69"/>
      <c r="AK947" s="70"/>
      <c r="AL947" s="71"/>
      <c r="AM947" s="72"/>
      <c r="AN947" s="73"/>
    </row>
    <row r="948" spans="21:40" ht="12.75" customHeight="1" x14ac:dyDescent="0.2">
      <c r="U948" s="376"/>
      <c r="V948" s="375"/>
      <c r="W948" s="79"/>
      <c r="X948" s="360"/>
      <c r="Y948" s="65"/>
      <c r="Z948" s="360"/>
      <c r="AA948" s="360"/>
      <c r="AB948" s="46"/>
      <c r="AC948" s="78" t="s">
        <v>50</v>
      </c>
      <c r="AD948" s="59">
        <v>15</v>
      </c>
      <c r="AE948" s="65"/>
      <c r="AF948" s="60">
        <f>II3SA!$H$35+30*(100-II3SA!$H$35)/30</f>
        <v>100</v>
      </c>
      <c r="AG948" s="61">
        <f t="shared" ref="AG948:AG959" si="87">AF949+0.1</f>
        <v>94.1</v>
      </c>
      <c r="AH948" s="65"/>
      <c r="AI948" s="78" t="s">
        <v>50</v>
      </c>
      <c r="AJ948" s="59">
        <v>15</v>
      </c>
      <c r="AK948" s="65"/>
      <c r="AL948" s="60">
        <f>II3SA!$H$30</f>
        <v>40</v>
      </c>
      <c r="AM948" s="353">
        <f>AL949+0.5</f>
        <v>38</v>
      </c>
      <c r="AN948" s="63">
        <f t="shared" ref="AN948:AN962" si="88">IF(AM948&gt;AL948,"ALARM",AL948-AL949)</f>
        <v>2.5</v>
      </c>
    </row>
    <row r="949" spans="21:40" ht="12.75" customHeight="1" x14ac:dyDescent="0.2">
      <c r="U949" s="376"/>
      <c r="V949" s="375"/>
      <c r="W949" s="360"/>
      <c r="X949" s="360"/>
      <c r="Y949" s="65"/>
      <c r="Z949" s="360"/>
      <c r="AA949" s="360"/>
      <c r="AB949" s="46"/>
      <c r="AC949" s="58">
        <v>1</v>
      </c>
      <c r="AD949" s="59">
        <v>14</v>
      </c>
      <c r="AE949" s="65"/>
      <c r="AF949" s="60">
        <f>II3SA!$H$35+27*(100-II3SA!$H$35)/30</f>
        <v>94</v>
      </c>
      <c r="AG949" s="61">
        <f t="shared" si="87"/>
        <v>88.1</v>
      </c>
      <c r="AH949" s="65"/>
      <c r="AI949" s="58">
        <v>1</v>
      </c>
      <c r="AJ949" s="59">
        <v>14</v>
      </c>
      <c r="AK949" s="65"/>
      <c r="AL949" s="60">
        <f>ROUNDDOWN(II3SA!$H$30*AF949/500,1)*5</f>
        <v>37.5</v>
      </c>
      <c r="AM949" s="353">
        <f t="shared" ref="AM949:AM961" si="89">AL950+0.5</f>
        <v>35.5</v>
      </c>
      <c r="AN949" s="63">
        <f t="shared" si="88"/>
        <v>2.5</v>
      </c>
    </row>
    <row r="950" spans="21:40" ht="12.75" customHeight="1" x14ac:dyDescent="0.2">
      <c r="U950" s="376"/>
      <c r="V950" s="375"/>
      <c r="W950" s="360"/>
      <c r="X950" s="360"/>
      <c r="Y950" s="65"/>
      <c r="Z950" s="360"/>
      <c r="AA950" s="360"/>
      <c r="AB950" s="46"/>
      <c r="AC950" s="81" t="s">
        <v>22</v>
      </c>
      <c r="AD950" s="69">
        <v>13</v>
      </c>
      <c r="AE950" s="70"/>
      <c r="AF950" s="82">
        <f>II3SA!$H$35+24*(100-II3SA!$H$35)/30</f>
        <v>88</v>
      </c>
      <c r="AG950" s="83">
        <f t="shared" si="87"/>
        <v>82.1</v>
      </c>
      <c r="AH950" s="65"/>
      <c r="AI950" s="81" t="s">
        <v>22</v>
      </c>
      <c r="AJ950" s="69">
        <v>13</v>
      </c>
      <c r="AK950" s="70"/>
      <c r="AL950" s="60">
        <f>ROUNDDOWN(II3SA!$H$30*AF950/500,1)*5</f>
        <v>35</v>
      </c>
      <c r="AM950" s="353">
        <f t="shared" si="89"/>
        <v>33</v>
      </c>
      <c r="AN950" s="73">
        <f t="shared" si="88"/>
        <v>2.5</v>
      </c>
    </row>
    <row r="951" spans="21:40" ht="12.75" customHeight="1" x14ac:dyDescent="0.2">
      <c r="U951" s="376"/>
      <c r="V951" s="375"/>
      <c r="W951" s="360"/>
      <c r="X951" s="360"/>
      <c r="Y951" s="65"/>
      <c r="Z951" s="360"/>
      <c r="AA951" s="360"/>
      <c r="AB951" s="46"/>
      <c r="AC951" s="78" t="s">
        <v>50</v>
      </c>
      <c r="AD951" s="59">
        <v>12</v>
      </c>
      <c r="AE951" s="65"/>
      <c r="AF951" s="60">
        <f>II3SA!$H$35+21*(100-II3SA!$H$35)/30</f>
        <v>82</v>
      </c>
      <c r="AG951" s="61">
        <f t="shared" si="87"/>
        <v>76.099999999999994</v>
      </c>
      <c r="AH951" s="65"/>
      <c r="AI951" s="78" t="s">
        <v>50</v>
      </c>
      <c r="AJ951" s="59">
        <v>12</v>
      </c>
      <c r="AK951" s="65"/>
      <c r="AL951" s="60">
        <f>ROUNDDOWN(II3SA!$H$30*AF951/500,1)*5</f>
        <v>32.5</v>
      </c>
      <c r="AM951" s="353">
        <f t="shared" si="89"/>
        <v>30.5</v>
      </c>
      <c r="AN951" s="63">
        <f t="shared" si="88"/>
        <v>2.5</v>
      </c>
    </row>
    <row r="952" spans="21:40" ht="12.75" customHeight="1" x14ac:dyDescent="0.2">
      <c r="U952" s="376"/>
      <c r="V952" s="375"/>
      <c r="W952" s="360"/>
      <c r="X952" s="360"/>
      <c r="Y952" s="65"/>
      <c r="Z952" s="360"/>
      <c r="AA952" s="360"/>
      <c r="AB952" s="46"/>
      <c r="AC952" s="58">
        <v>2</v>
      </c>
      <c r="AD952" s="59">
        <v>11</v>
      </c>
      <c r="AE952" s="65"/>
      <c r="AF952" s="60">
        <f>II3SA!$H$35+18*(100-II3SA!$H$35)/30</f>
        <v>76</v>
      </c>
      <c r="AG952" s="61">
        <f t="shared" si="87"/>
        <v>70.099999999999994</v>
      </c>
      <c r="AH952" s="65"/>
      <c r="AI952" s="58">
        <v>2</v>
      </c>
      <c r="AJ952" s="59">
        <v>11</v>
      </c>
      <c r="AK952" s="65"/>
      <c r="AL952" s="60">
        <f>ROUNDDOWN(II3SA!$H$30*AF952/500,1)*5</f>
        <v>30</v>
      </c>
      <c r="AM952" s="353">
        <f t="shared" si="89"/>
        <v>28.5</v>
      </c>
      <c r="AN952" s="63">
        <f t="shared" si="88"/>
        <v>2</v>
      </c>
    </row>
    <row r="953" spans="21:40" ht="12.75" customHeight="1" x14ac:dyDescent="0.2">
      <c r="U953" s="376"/>
      <c r="V953" s="375"/>
      <c r="W953" s="360"/>
      <c r="X953" s="360"/>
      <c r="Y953" s="65"/>
      <c r="Z953" s="360"/>
      <c r="AA953" s="360"/>
      <c r="AB953" s="46"/>
      <c r="AC953" s="81" t="s">
        <v>22</v>
      </c>
      <c r="AD953" s="69">
        <v>10</v>
      </c>
      <c r="AE953" s="70"/>
      <c r="AF953" s="82">
        <f>II3SA!$H$35+15*(100-II3SA!$H$35)/30</f>
        <v>70</v>
      </c>
      <c r="AG953" s="83">
        <f t="shared" si="87"/>
        <v>64.099999999999994</v>
      </c>
      <c r="AH953" s="65"/>
      <c r="AI953" s="81" t="s">
        <v>22</v>
      </c>
      <c r="AJ953" s="69">
        <v>10</v>
      </c>
      <c r="AK953" s="70"/>
      <c r="AL953" s="60">
        <f>ROUNDDOWN(II3SA!$H$30*AF953/500,1)*5</f>
        <v>28</v>
      </c>
      <c r="AM953" s="353">
        <f t="shared" si="89"/>
        <v>26</v>
      </c>
      <c r="AN953" s="73">
        <f t="shared" si="88"/>
        <v>2.5</v>
      </c>
    </row>
    <row r="954" spans="21:40" ht="12.75" customHeight="1" x14ac:dyDescent="0.2">
      <c r="U954" s="376"/>
      <c r="V954" s="375"/>
      <c r="W954" s="360"/>
      <c r="X954" s="360"/>
      <c r="Y954" s="65"/>
      <c r="Z954" s="360"/>
      <c r="AA954" s="360"/>
      <c r="AB954" s="46"/>
      <c r="AC954" s="78" t="s">
        <v>50</v>
      </c>
      <c r="AD954" s="59">
        <v>9</v>
      </c>
      <c r="AE954" s="65"/>
      <c r="AF954" s="60">
        <f>II3SA!$H$35+12*(100-II3SA!$H$35)/30</f>
        <v>64</v>
      </c>
      <c r="AG954" s="61">
        <f t="shared" si="87"/>
        <v>60.1</v>
      </c>
      <c r="AH954" s="65"/>
      <c r="AI954" s="78" t="s">
        <v>50</v>
      </c>
      <c r="AJ954" s="59">
        <v>9</v>
      </c>
      <c r="AK954" s="65"/>
      <c r="AL954" s="60">
        <f>ROUNDDOWN(II3SA!$H$30*AF954/500,1)*5</f>
        <v>25.5</v>
      </c>
      <c r="AM954" s="353">
        <f t="shared" si="89"/>
        <v>24.5</v>
      </c>
      <c r="AN954" s="63">
        <f t="shared" si="88"/>
        <v>1.5</v>
      </c>
    </row>
    <row r="955" spans="21:40" ht="12.75" customHeight="1" x14ac:dyDescent="0.2">
      <c r="U955" s="376"/>
      <c r="V955" s="375"/>
      <c r="W955" s="360"/>
      <c r="X955" s="360"/>
      <c r="Y955" s="65"/>
      <c r="Z955" s="360"/>
      <c r="AA955" s="360"/>
      <c r="AB955" s="46"/>
      <c r="AC955" s="58">
        <v>3</v>
      </c>
      <c r="AD955" s="59">
        <v>8</v>
      </c>
      <c r="AE955" s="65"/>
      <c r="AF955" s="60">
        <f>II3SA!$H$35+10*(100-II3SA!$H$35)/30</f>
        <v>60</v>
      </c>
      <c r="AG955" s="61">
        <f t="shared" si="87"/>
        <v>56.1</v>
      </c>
      <c r="AH955" s="65"/>
      <c r="AI955" s="58">
        <v>3</v>
      </c>
      <c r="AJ955" s="59">
        <v>8</v>
      </c>
      <c r="AK955" s="65"/>
      <c r="AL955" s="60">
        <f>ROUNDDOWN(II3SA!$H$30*AF955/500,1)*5</f>
        <v>24</v>
      </c>
      <c r="AM955" s="353">
        <f t="shared" si="89"/>
        <v>22.5</v>
      </c>
      <c r="AN955" s="63">
        <f t="shared" si="88"/>
        <v>2</v>
      </c>
    </row>
    <row r="956" spans="21:40" ht="12.75" customHeight="1" x14ac:dyDescent="0.2">
      <c r="U956" s="376"/>
      <c r="V956" s="375"/>
      <c r="W956" s="360"/>
      <c r="X956" s="360"/>
      <c r="Y956" s="65"/>
      <c r="Z956" s="360"/>
      <c r="AA956" s="360"/>
      <c r="AB956" s="46"/>
      <c r="AC956" s="81" t="s">
        <v>22</v>
      </c>
      <c r="AD956" s="69">
        <v>7</v>
      </c>
      <c r="AE956" s="70"/>
      <c r="AF956" s="82">
        <f>II3SA!$H$35+8*(100-II3SA!$H$35)/30</f>
        <v>56</v>
      </c>
      <c r="AG956" s="83">
        <f t="shared" si="87"/>
        <v>52.1</v>
      </c>
      <c r="AH956" s="65"/>
      <c r="AI956" s="81" t="s">
        <v>22</v>
      </c>
      <c r="AJ956" s="69">
        <v>7</v>
      </c>
      <c r="AK956" s="70"/>
      <c r="AL956" s="60">
        <f>ROUNDDOWN(II3SA!$H$30*AF956/500,1)*5</f>
        <v>22</v>
      </c>
      <c r="AM956" s="353">
        <f t="shared" si="89"/>
        <v>21</v>
      </c>
      <c r="AN956" s="73">
        <f t="shared" si="88"/>
        <v>1.5</v>
      </c>
    </row>
    <row r="957" spans="21:40" ht="12.75" customHeight="1" x14ac:dyDescent="0.2">
      <c r="U957" s="376"/>
      <c r="V957" s="375"/>
      <c r="W957" s="360"/>
      <c r="X957" s="360"/>
      <c r="Y957" s="65"/>
      <c r="Z957" s="360"/>
      <c r="AA957" s="360"/>
      <c r="AB957" s="46"/>
      <c r="AC957" s="78" t="s">
        <v>50</v>
      </c>
      <c r="AD957" s="59">
        <v>6</v>
      </c>
      <c r="AE957" s="65"/>
      <c r="AF957" s="60">
        <f>II3SA!$H$35+6*(100-II3SA!$H$35)/30</f>
        <v>52</v>
      </c>
      <c r="AG957" s="61">
        <f t="shared" si="87"/>
        <v>48.1</v>
      </c>
      <c r="AH957" s="65"/>
      <c r="AI957" s="78" t="s">
        <v>50</v>
      </c>
      <c r="AJ957" s="59">
        <v>6</v>
      </c>
      <c r="AK957" s="65"/>
      <c r="AL957" s="60">
        <f>ROUNDDOWN(II3SA!$H$30*AF957/500,1)*5</f>
        <v>20.5</v>
      </c>
      <c r="AM957" s="353">
        <f t="shared" si="89"/>
        <v>19.5</v>
      </c>
      <c r="AN957" s="63">
        <f t="shared" si="88"/>
        <v>1.5</v>
      </c>
    </row>
    <row r="958" spans="21:40" ht="12.75" customHeight="1" x14ac:dyDescent="0.2">
      <c r="U958" s="376"/>
      <c r="V958" s="375"/>
      <c r="W958" s="360"/>
      <c r="X958" s="360"/>
      <c r="Y958" s="65"/>
      <c r="Z958" s="360"/>
      <c r="AA958" s="360"/>
      <c r="AB958" s="46"/>
      <c r="AC958" s="58">
        <v>4</v>
      </c>
      <c r="AD958" s="59">
        <v>5</v>
      </c>
      <c r="AE958" s="65"/>
      <c r="AF958" s="60">
        <f>II3SA!$H$35+4*(100-II3SA!$H$35)/30</f>
        <v>48</v>
      </c>
      <c r="AG958" s="61">
        <f t="shared" si="87"/>
        <v>44.1</v>
      </c>
      <c r="AH958" s="65"/>
      <c r="AI958" s="58">
        <v>4</v>
      </c>
      <c r="AJ958" s="59">
        <v>5</v>
      </c>
      <c r="AK958" s="65"/>
      <c r="AL958" s="60">
        <f>ROUNDDOWN(II3SA!$H$30*AF958/500,1)*5</f>
        <v>19</v>
      </c>
      <c r="AM958" s="353">
        <f t="shared" si="89"/>
        <v>18</v>
      </c>
      <c r="AN958" s="63">
        <f t="shared" si="88"/>
        <v>1.5</v>
      </c>
    </row>
    <row r="959" spans="21:40" ht="12.75" customHeight="1" x14ac:dyDescent="0.2">
      <c r="U959" s="376"/>
      <c r="V959" s="375"/>
      <c r="W959" s="360"/>
      <c r="X959" s="360"/>
      <c r="Y959" s="65"/>
      <c r="Z959" s="360"/>
      <c r="AA959" s="360"/>
      <c r="AB959" s="46"/>
      <c r="AC959" s="81" t="s">
        <v>22</v>
      </c>
      <c r="AD959" s="69">
        <v>4</v>
      </c>
      <c r="AE959" s="70"/>
      <c r="AF959" s="82">
        <f>II3SA!$H$35+2*(100-II3SA!$H$35)/30</f>
        <v>44</v>
      </c>
      <c r="AG959" s="83">
        <f t="shared" si="87"/>
        <v>40.1</v>
      </c>
      <c r="AH959" s="65"/>
      <c r="AI959" s="81" t="s">
        <v>22</v>
      </c>
      <c r="AJ959" s="69">
        <v>4</v>
      </c>
      <c r="AK959" s="70"/>
      <c r="AL959" s="60">
        <f>ROUNDDOWN(II3SA!$H$30*AF959/500,1)*5</f>
        <v>17.5</v>
      </c>
      <c r="AM959" s="353">
        <f t="shared" si="89"/>
        <v>16.5</v>
      </c>
      <c r="AN959" s="73">
        <f t="shared" si="88"/>
        <v>1.5</v>
      </c>
    </row>
    <row r="960" spans="21:40" ht="12.75" customHeight="1" x14ac:dyDescent="0.2">
      <c r="U960" s="376"/>
      <c r="V960" s="375"/>
      <c r="W960" s="360"/>
      <c r="X960" s="360"/>
      <c r="Y960" s="65"/>
      <c r="Z960" s="360"/>
      <c r="AA960" s="360"/>
      <c r="AB960" s="46"/>
      <c r="AC960" s="78" t="s">
        <v>50</v>
      </c>
      <c r="AD960" s="59">
        <v>3</v>
      </c>
      <c r="AE960" s="65"/>
      <c r="AF960" s="60">
        <f>II3SA!$H$35</f>
        <v>40</v>
      </c>
      <c r="AG960" s="61">
        <f>AF961+0.01</f>
        <v>33.343333333333334</v>
      </c>
      <c r="AH960" s="65"/>
      <c r="AI960" s="78" t="s">
        <v>50</v>
      </c>
      <c r="AJ960" s="59">
        <v>3</v>
      </c>
      <c r="AK960" s="65"/>
      <c r="AL960" s="60">
        <f>ROUNDDOWN(II3SA!$H$30*AF960/500,1)*5</f>
        <v>16</v>
      </c>
      <c r="AM960" s="353">
        <f t="shared" si="89"/>
        <v>13.5</v>
      </c>
      <c r="AN960" s="63">
        <f t="shared" si="88"/>
        <v>3</v>
      </c>
    </row>
    <row r="961" spans="21:40" ht="12.75" customHeight="1" x14ac:dyDescent="0.2">
      <c r="U961" s="376"/>
      <c r="V961" s="375"/>
      <c r="W961" s="360"/>
      <c r="X961" s="360"/>
      <c r="Y961" s="65"/>
      <c r="Z961" s="360"/>
      <c r="AA961" s="360"/>
      <c r="AB961" s="46"/>
      <c r="AC961" s="58">
        <v>5</v>
      </c>
      <c r="AD961" s="59">
        <v>2</v>
      </c>
      <c r="AE961" s="65"/>
      <c r="AF961" s="60">
        <f>AG962+2*(AF960-AG962)/3</f>
        <v>33.333333333333336</v>
      </c>
      <c r="AG961" s="61">
        <f>AF962+0.01</f>
        <v>26.676666666666669</v>
      </c>
      <c r="AH961" s="65"/>
      <c r="AI961" s="58">
        <v>5</v>
      </c>
      <c r="AJ961" s="59">
        <v>2</v>
      </c>
      <c r="AK961" s="65"/>
      <c r="AL961" s="60">
        <f>ROUNDDOWN(II3SA!$H$30*AF961/500,1)*5</f>
        <v>13</v>
      </c>
      <c r="AM961" s="353">
        <f t="shared" si="89"/>
        <v>11</v>
      </c>
      <c r="AN961" s="63">
        <f t="shared" si="88"/>
        <v>2.5</v>
      </c>
    </row>
    <row r="962" spans="21:40" ht="12.75" customHeight="1" x14ac:dyDescent="0.2">
      <c r="U962" s="376"/>
      <c r="V962" s="375"/>
      <c r="W962" s="360"/>
      <c r="X962" s="375"/>
      <c r="Y962" s="65"/>
      <c r="Z962" s="360"/>
      <c r="AA962" s="360"/>
      <c r="AB962" s="46"/>
      <c r="AC962" s="81" t="s">
        <v>22</v>
      </c>
      <c r="AD962" s="69">
        <v>1</v>
      </c>
      <c r="AE962" s="70"/>
      <c r="AF962" s="82">
        <f>AG962+(AF960-AG962)/3</f>
        <v>26.666666666666668</v>
      </c>
      <c r="AG962" s="83">
        <f>II3SA!$H$34</f>
        <v>20</v>
      </c>
      <c r="AH962" s="65"/>
      <c r="AI962" s="81" t="s">
        <v>22</v>
      </c>
      <c r="AJ962" s="69">
        <v>1</v>
      </c>
      <c r="AK962" s="70"/>
      <c r="AL962" s="60">
        <f>ROUNDDOWN(II3SA!$H$30*AF962/500,1)*5</f>
        <v>10.5</v>
      </c>
      <c r="AM962" s="361">
        <f>ROUNDUP(II3SA!$H$30*(II3SA!$H$34/500),1)*5</f>
        <v>8</v>
      </c>
      <c r="AN962" s="73">
        <f t="shared" si="88"/>
        <v>3</v>
      </c>
    </row>
    <row r="963" spans="21:40" ht="12.75" customHeight="1" thickBot="1" x14ac:dyDescent="0.25">
      <c r="U963" s="375"/>
      <c r="V963" s="375"/>
      <c r="W963" s="360"/>
      <c r="X963" s="360"/>
      <c r="Y963" s="65"/>
      <c r="Z963" s="360"/>
      <c r="AA963" s="360"/>
      <c r="AB963" s="46"/>
      <c r="AC963" s="89">
        <v>6</v>
      </c>
      <c r="AD963" s="90">
        <v>0</v>
      </c>
      <c r="AE963" s="91"/>
      <c r="AF963" s="96">
        <f>II3SA!$H$34-0.1</f>
        <v>19.899999999999999</v>
      </c>
      <c r="AG963" s="97">
        <v>0</v>
      </c>
      <c r="AH963" s="65"/>
      <c r="AI963" s="89">
        <v>6</v>
      </c>
      <c r="AJ963" s="90">
        <v>0</v>
      </c>
      <c r="AK963" s="91"/>
      <c r="AL963" s="96">
        <f>AM962-0.5</f>
        <v>7.5</v>
      </c>
      <c r="AM963" s="362">
        <v>0</v>
      </c>
      <c r="AN963" s="94">
        <f>IF(AM963&gt;AM962,"ALARM",AL963)</f>
        <v>7.5</v>
      </c>
    </row>
    <row r="964" spans="21:40" ht="12.75" customHeight="1" x14ac:dyDescent="0.2"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21:40" ht="12.75" customHeight="1" x14ac:dyDescent="0.2"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21:40" ht="12.75" customHeight="1" x14ac:dyDescent="0.2"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21:40" ht="12.75" customHeight="1" x14ac:dyDescent="0.2"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21:40" ht="12.75" customHeight="1" x14ac:dyDescent="0.2"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21:40" ht="12.75" customHeight="1" x14ac:dyDescent="0.2"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21:40" ht="12.75" customHeight="1" x14ac:dyDescent="0.2"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21:40" ht="12.75" customHeight="1" x14ac:dyDescent="0.2"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21:40" ht="12.75" customHeight="1" x14ac:dyDescent="0.2"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21:40" ht="12.75" customHeight="1" x14ac:dyDescent="0.2"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21:40" ht="12.75" customHeight="1" x14ac:dyDescent="0.2"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21:40" ht="12.75" customHeight="1" x14ac:dyDescent="0.2"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21:40" ht="12.75" customHeight="1" x14ac:dyDescent="0.2"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21:40" ht="12.75" customHeight="1" x14ac:dyDescent="0.2"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21:40" ht="12.75" customHeight="1" x14ac:dyDescent="0.2"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21:40" ht="12.75" customHeight="1" x14ac:dyDescent="0.2"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21:40" ht="12.75" customHeight="1" x14ac:dyDescent="0.2"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21:40" ht="12.75" customHeight="1" x14ac:dyDescent="0.2"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21:40" ht="12.75" customHeight="1" x14ac:dyDescent="0.2"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21:40" ht="12.75" customHeight="1" x14ac:dyDescent="0.2"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21:40" ht="12.75" customHeight="1" x14ac:dyDescent="0.2"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21:40" ht="12.75" customHeight="1" x14ac:dyDescent="0.2"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21:40" ht="12.75" customHeight="1" x14ac:dyDescent="0.2"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21:40" ht="12.75" customHeight="1" x14ac:dyDescent="0.2"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21:40" ht="12.75" customHeight="1" x14ac:dyDescent="0.2"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21:40" ht="12.75" customHeight="1" x14ac:dyDescent="0.2"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21:40" ht="12.75" customHeight="1" x14ac:dyDescent="0.2"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21:40" ht="12.75" customHeight="1" x14ac:dyDescent="0.2"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21:40" ht="12.75" customHeight="1" x14ac:dyDescent="0.2"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20:40" ht="12.75" customHeight="1" x14ac:dyDescent="0.2"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20:40" ht="12.75" customHeight="1" x14ac:dyDescent="0.2"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1001" spans="20:40" ht="12.75" customHeight="1" thickBot="1" x14ac:dyDescent="0.25"/>
    <row r="1002" spans="20:40" ht="12.75" customHeight="1" x14ac:dyDescent="0.2">
      <c r="T1002" s="177" t="s">
        <v>78</v>
      </c>
      <c r="U1002" s="47"/>
      <c r="V1002" s="48"/>
      <c r="W1002" s="455" t="s">
        <v>39</v>
      </c>
      <c r="X1002" s="456"/>
      <c r="Y1002" s="465" t="s">
        <v>32</v>
      </c>
      <c r="Z1002" s="463" t="s">
        <v>40</v>
      </c>
      <c r="AA1002" s="464"/>
      <c r="AB1002" s="46"/>
      <c r="AC1002" s="49" t="s">
        <v>17</v>
      </c>
      <c r="AD1002" s="50" t="s">
        <v>32</v>
      </c>
      <c r="AE1002" s="51"/>
      <c r="AF1002" s="461" t="s">
        <v>41</v>
      </c>
      <c r="AG1002" s="462"/>
      <c r="AH1002" s="52"/>
      <c r="AI1002" s="49" t="s">
        <v>17</v>
      </c>
      <c r="AJ1002" s="50" t="s">
        <v>32</v>
      </c>
      <c r="AK1002" s="53"/>
      <c r="AL1002" s="452" t="s">
        <v>42</v>
      </c>
      <c r="AM1002" s="453"/>
      <c r="AN1002" s="54" t="s">
        <v>43</v>
      </c>
    </row>
    <row r="1003" spans="20:40" ht="12.75" customHeight="1" x14ac:dyDescent="0.2">
      <c r="U1003" s="55" t="s">
        <v>44</v>
      </c>
      <c r="V1003" s="41" t="s">
        <v>43</v>
      </c>
      <c r="W1003" s="457" t="s">
        <v>42</v>
      </c>
      <c r="X1003" s="458"/>
      <c r="Y1003" s="466"/>
      <c r="Z1003" s="459" t="s">
        <v>45</v>
      </c>
      <c r="AA1003" s="460"/>
      <c r="AB1003" s="46"/>
      <c r="AC1003" s="58"/>
      <c r="AD1003" s="59"/>
      <c r="AE1003" s="57"/>
      <c r="AF1003" s="60" t="s">
        <v>46</v>
      </c>
      <c r="AG1003" s="61" t="s">
        <v>47</v>
      </c>
      <c r="AH1003" s="52"/>
      <c r="AI1003" s="58"/>
      <c r="AJ1003" s="59"/>
      <c r="AK1003" s="57"/>
      <c r="AL1003" s="57" t="s">
        <v>46</v>
      </c>
      <c r="AM1003" s="62" t="s">
        <v>47</v>
      </c>
      <c r="AN1003" s="63"/>
    </row>
    <row r="1004" spans="20:40" ht="12.75" customHeight="1" x14ac:dyDescent="0.2">
      <c r="U1004" s="64" t="s">
        <v>48</v>
      </c>
      <c r="V1004" s="41" t="s">
        <v>39</v>
      </c>
      <c r="W1004" s="56" t="s">
        <v>46</v>
      </c>
      <c r="X1004" s="57" t="s">
        <v>47</v>
      </c>
      <c r="Y1004" s="466"/>
      <c r="Z1004" s="459" t="s">
        <v>49</v>
      </c>
      <c r="AA1004" s="460"/>
      <c r="AB1004" s="65"/>
      <c r="AC1004" s="58"/>
      <c r="AD1004" s="59"/>
      <c r="AE1004" s="65"/>
      <c r="AF1004" s="66"/>
      <c r="AG1004" s="67"/>
      <c r="AH1004" s="65"/>
      <c r="AI1004" s="68"/>
      <c r="AJ1004" s="69"/>
      <c r="AK1004" s="70"/>
      <c r="AL1004" s="71"/>
      <c r="AM1004" s="72"/>
      <c r="AN1004" s="73"/>
    </row>
    <row r="1005" spans="20:40" ht="12.75" customHeight="1" x14ac:dyDescent="0.2">
      <c r="U1005" s="74"/>
      <c r="V1005" s="42"/>
      <c r="W1005" s="75"/>
      <c r="X1005" s="71"/>
      <c r="Y1005" s="467"/>
      <c r="Z1005" s="115"/>
      <c r="AA1005" s="63"/>
      <c r="AB1005" s="65"/>
      <c r="AC1005" s="68"/>
      <c r="AD1005" s="69"/>
      <c r="AE1005" s="70"/>
      <c r="AF1005" s="76"/>
      <c r="AG1005" s="77"/>
      <c r="AH1005" s="65"/>
      <c r="AI1005" s="78" t="s">
        <v>50</v>
      </c>
      <c r="AJ1005" s="59">
        <v>15</v>
      </c>
      <c r="AK1005" s="65"/>
      <c r="AL1005" s="60">
        <f>II1Ext!$H$30</f>
        <v>40</v>
      </c>
      <c r="AM1005" s="353">
        <f>AL1006+0.5</f>
        <v>38.5</v>
      </c>
      <c r="AN1005" s="63">
        <f t="shared" ref="AN1005:AN1019" si="90">IF(AM1005&gt;AL1005,"ALARM",AL1005-AL1006)</f>
        <v>2</v>
      </c>
    </row>
    <row r="1006" spans="20:40" ht="12.75" customHeight="1" x14ac:dyDescent="0.2">
      <c r="U1006" s="108">
        <f>+II1Ext!A43</f>
        <v>0</v>
      </c>
      <c r="V1006" s="110">
        <f>IF(II1Ext!$H$32="M",AN1005+U1006,AN1048+U1006)</f>
        <v>2</v>
      </c>
      <c r="W1006" s="380">
        <f>II1Ext!$H$30</f>
        <v>40</v>
      </c>
      <c r="X1006" s="353">
        <f>W1007+0.5</f>
        <v>38.5</v>
      </c>
      <c r="Y1006" s="56">
        <v>15</v>
      </c>
      <c r="Z1006" s="117" t="str">
        <f>IF(ABS(IF(II1Ext!$H$32="M",AL1005-W1006,AL1048-W1006))&gt;1,"ALARM"," ")</f>
        <v xml:space="preserve"> </v>
      </c>
      <c r="AA1006" s="114" t="str">
        <f>IF(ABS(IF(II1Ext!$H$32="M",AM1005-X1006,AM1048-X1006))&gt;1,"ALARM"," ")</f>
        <v xml:space="preserve"> </v>
      </c>
      <c r="AB1006" s="65"/>
      <c r="AC1006" s="78" t="s">
        <v>50</v>
      </c>
      <c r="AD1006" s="59">
        <v>15</v>
      </c>
      <c r="AE1006" s="65"/>
      <c r="AF1006" s="60">
        <f>II1Ext!$H$35+12*(100-II1Ext!$H$35)/12</f>
        <v>100</v>
      </c>
      <c r="AG1006" s="61">
        <f t="shared" ref="AG1006:AG1017" si="91">AF1007+0.1</f>
        <v>95.1</v>
      </c>
      <c r="AH1006" s="65"/>
      <c r="AI1006" s="58">
        <v>1</v>
      </c>
      <c r="AJ1006" s="59">
        <v>14</v>
      </c>
      <c r="AK1006" s="65"/>
      <c r="AL1006" s="60">
        <f>ROUNDDOWN(II1Ext!$H$30*AF1007/500,1)*5</f>
        <v>38</v>
      </c>
      <c r="AM1006" s="353">
        <f t="shared" ref="AM1006:AM1018" si="92">AL1007+0.5</f>
        <v>36.5</v>
      </c>
      <c r="AN1006" s="63">
        <f t="shared" si="90"/>
        <v>2</v>
      </c>
    </row>
    <row r="1007" spans="20:40" ht="12.75" customHeight="1" x14ac:dyDescent="0.2">
      <c r="U1007" s="108">
        <f>+II1Ext!A44</f>
        <v>0</v>
      </c>
      <c r="V1007" s="111">
        <f>IF(II1Ext!$H$32="M",AN1006+U1007,AN1049+U1007)</f>
        <v>2</v>
      </c>
      <c r="W1007" s="380">
        <f t="shared" ref="W1007:W1021" si="93">W1006-V1006</f>
        <v>38</v>
      </c>
      <c r="X1007" s="353">
        <f t="shared" ref="X1007:X1020" si="94">W1008+0.5</f>
        <v>36.5</v>
      </c>
      <c r="Y1007" s="56">
        <v>14</v>
      </c>
      <c r="Z1007" s="115" t="str">
        <f>IF(ABS(IF(II1Ext!$H$32="M",AL1006-W1007,AL1049-W1007))&gt;1,"ALARM"," ")</f>
        <v xml:space="preserve"> </v>
      </c>
      <c r="AA1007" s="63" t="str">
        <f>IF(ABS(IF(II1Ext!$H$32="M",AM1006-X1007,AM1049-X1007))&gt;1,"ALARM"," ")</f>
        <v xml:space="preserve"> </v>
      </c>
      <c r="AB1007" s="65"/>
      <c r="AC1007" s="58">
        <v>1</v>
      </c>
      <c r="AD1007" s="59">
        <v>14</v>
      </c>
      <c r="AE1007" s="65"/>
      <c r="AF1007" s="60">
        <f>II1Ext!$H$35+11*(100-II1Ext!$H$35)/12</f>
        <v>95</v>
      </c>
      <c r="AG1007" s="61">
        <f t="shared" si="91"/>
        <v>90.1</v>
      </c>
      <c r="AH1007" s="65"/>
      <c r="AI1007" s="81" t="s">
        <v>22</v>
      </c>
      <c r="AJ1007" s="69">
        <v>13</v>
      </c>
      <c r="AK1007" s="70"/>
      <c r="AL1007" s="60">
        <f>ROUNDDOWN(II1Ext!$H$30*AF1008/500,1)*5</f>
        <v>36</v>
      </c>
      <c r="AM1007" s="353">
        <f t="shared" si="92"/>
        <v>34.5</v>
      </c>
      <c r="AN1007" s="73">
        <f t="shared" si="90"/>
        <v>2</v>
      </c>
    </row>
    <row r="1008" spans="20:40" ht="12.75" customHeight="1" x14ac:dyDescent="0.2">
      <c r="U1008" s="108">
        <f>+II1Ext!A45</f>
        <v>0</v>
      </c>
      <c r="V1008" s="111">
        <f>IF(II1Ext!$H$32="M",AN1007+U1008,AN1050+U1008)</f>
        <v>2</v>
      </c>
      <c r="W1008" s="381">
        <f t="shared" si="93"/>
        <v>36</v>
      </c>
      <c r="X1008" s="353">
        <f t="shared" si="94"/>
        <v>34.5</v>
      </c>
      <c r="Y1008" s="75">
        <v>13</v>
      </c>
      <c r="Z1008" s="118" t="str">
        <f>IF(ABS(IF(II1Ext!$H$32="M",AL1007-W1008,AL1050-W1008))&gt;1,"ALARM"," ")</f>
        <v xml:space="preserve"> </v>
      </c>
      <c r="AA1008" s="73" t="str">
        <f>IF(ABS(IF(II1Ext!$H$32="M",AM1007-X1008,AM1050-X1008))&gt;1,"ALARM"," ")</f>
        <v xml:space="preserve"> </v>
      </c>
      <c r="AB1008" s="65"/>
      <c r="AC1008" s="81" t="s">
        <v>22</v>
      </c>
      <c r="AD1008" s="69">
        <v>13</v>
      </c>
      <c r="AE1008" s="70"/>
      <c r="AF1008" s="82">
        <f>II1Ext!$H$35+10*(100-II1Ext!$H$35)/12</f>
        <v>90</v>
      </c>
      <c r="AG1008" s="83">
        <f t="shared" si="91"/>
        <v>85.1</v>
      </c>
      <c r="AH1008" s="65"/>
      <c r="AI1008" s="78" t="s">
        <v>50</v>
      </c>
      <c r="AJ1008" s="59">
        <v>12</v>
      </c>
      <c r="AK1008" s="65"/>
      <c r="AL1008" s="60">
        <f>ROUNDDOWN(II1Ext!$H$30*AF1009/500,1)*5</f>
        <v>34</v>
      </c>
      <c r="AM1008" s="353">
        <f t="shared" si="92"/>
        <v>32.5</v>
      </c>
      <c r="AN1008" s="63">
        <f t="shared" si="90"/>
        <v>2</v>
      </c>
    </row>
    <row r="1009" spans="21:40" ht="12.75" customHeight="1" x14ac:dyDescent="0.2">
      <c r="U1009" s="108">
        <f>+II1Ext!A46</f>
        <v>0</v>
      </c>
      <c r="V1009" s="110">
        <f>IF(II1Ext!$H$32="M",AN1008+U1009,AN1051+U1009)</f>
        <v>2</v>
      </c>
      <c r="W1009" s="380">
        <f t="shared" si="93"/>
        <v>34</v>
      </c>
      <c r="X1009" s="353">
        <f t="shared" si="94"/>
        <v>32.5</v>
      </c>
      <c r="Y1009" s="56">
        <v>12</v>
      </c>
      <c r="Z1009" s="115" t="str">
        <f>IF(ABS(IF(II1Ext!$H$32="M",AL1008-W1009,AL1051-W1009))&gt;1,"ALARM"," ")</f>
        <v xml:space="preserve"> </v>
      </c>
      <c r="AA1009" s="63" t="str">
        <f>IF(ABS(IF(II1Ext!$H$32="M",AM1008-X1009,AM1051-X1009))&gt;1,"ALARM"," ")</f>
        <v xml:space="preserve"> </v>
      </c>
      <c r="AB1009" s="65"/>
      <c r="AC1009" s="78" t="s">
        <v>50</v>
      </c>
      <c r="AD1009" s="59">
        <v>12</v>
      </c>
      <c r="AE1009" s="65"/>
      <c r="AF1009" s="60">
        <f>II1Ext!$H$35+9*(100-II1Ext!$H$35)/12</f>
        <v>85</v>
      </c>
      <c r="AG1009" s="61">
        <f t="shared" si="91"/>
        <v>80.099999999999994</v>
      </c>
      <c r="AH1009" s="65"/>
      <c r="AI1009" s="58">
        <v>2</v>
      </c>
      <c r="AJ1009" s="59">
        <v>11</v>
      </c>
      <c r="AK1009" s="65"/>
      <c r="AL1009" s="60">
        <f>ROUNDDOWN(II1Ext!$H$30*AF1010/500,1)*5</f>
        <v>32</v>
      </c>
      <c r="AM1009" s="353">
        <f t="shared" si="92"/>
        <v>30.5</v>
      </c>
      <c r="AN1009" s="63">
        <f t="shared" si="90"/>
        <v>2</v>
      </c>
    </row>
    <row r="1010" spans="21:40" ht="12.75" customHeight="1" x14ac:dyDescent="0.2">
      <c r="U1010" s="108">
        <f>+II1Ext!A47</f>
        <v>0</v>
      </c>
      <c r="V1010" s="111">
        <f>IF(II1Ext!$H$32="M",AN1009+U1010,AN1052+U1010)</f>
        <v>2</v>
      </c>
      <c r="W1010" s="380">
        <f t="shared" si="93"/>
        <v>32</v>
      </c>
      <c r="X1010" s="353">
        <f t="shared" si="94"/>
        <v>30.5</v>
      </c>
      <c r="Y1010" s="56">
        <v>11</v>
      </c>
      <c r="Z1010" s="115" t="str">
        <f>IF(ABS(IF(II1Ext!$H$32="M",AL1009-W1010,AL1052-W1010))&gt;1,"ALARM"," ")</f>
        <v xml:space="preserve"> </v>
      </c>
      <c r="AA1010" s="63" t="str">
        <f>IF(ABS(IF(II1Ext!$H$32="M",AM1009-X1010,AM1052-X1010))&gt;1,"ALARM"," ")</f>
        <v xml:space="preserve"> </v>
      </c>
      <c r="AB1010" s="65"/>
      <c r="AC1010" s="58">
        <v>2</v>
      </c>
      <c r="AD1010" s="59">
        <v>11</v>
      </c>
      <c r="AE1010" s="65"/>
      <c r="AF1010" s="60">
        <f>II1Ext!$H$35+8*(100-II1Ext!$H$35)/12</f>
        <v>80</v>
      </c>
      <c r="AG1010" s="61">
        <f t="shared" si="91"/>
        <v>75.099999999999994</v>
      </c>
      <c r="AH1010" s="65"/>
      <c r="AI1010" s="81" t="s">
        <v>22</v>
      </c>
      <c r="AJ1010" s="69">
        <v>10</v>
      </c>
      <c r="AK1010" s="70"/>
      <c r="AL1010" s="60">
        <f>ROUNDDOWN(II1Ext!$H$30*AF1011/500,1)*5</f>
        <v>30</v>
      </c>
      <c r="AM1010" s="353">
        <f t="shared" si="92"/>
        <v>28.5</v>
      </c>
      <c r="AN1010" s="73">
        <f t="shared" si="90"/>
        <v>2</v>
      </c>
    </row>
    <row r="1011" spans="21:40" ht="12.75" customHeight="1" x14ac:dyDescent="0.2">
      <c r="U1011" s="108">
        <f>+II1Ext!A48</f>
        <v>0</v>
      </c>
      <c r="V1011" s="113">
        <f>IF(II1Ext!$H$32="M",AN1010+U1011,AN1053+U1011)</f>
        <v>2</v>
      </c>
      <c r="W1011" s="381">
        <f t="shared" si="93"/>
        <v>30</v>
      </c>
      <c r="X1011" s="353">
        <f t="shared" si="94"/>
        <v>28.5</v>
      </c>
      <c r="Y1011" s="75">
        <v>10</v>
      </c>
      <c r="Z1011" s="115" t="str">
        <f>IF(ABS(IF(II1Ext!$H$32="M",AL1010-W1011,AL1053-W1011))&gt;1,"ALARM"," ")</f>
        <v xml:space="preserve"> </v>
      </c>
      <c r="AA1011" s="63" t="str">
        <f>IF(ABS(IF(II1Ext!$H$32="M",AM1010-X1011,AM1053-X1011))&gt;1,"ALARM"," ")</f>
        <v xml:space="preserve"> </v>
      </c>
      <c r="AB1011" s="65"/>
      <c r="AC1011" s="81" t="s">
        <v>22</v>
      </c>
      <c r="AD1011" s="69">
        <v>10</v>
      </c>
      <c r="AE1011" s="70"/>
      <c r="AF1011" s="82">
        <f>II1Ext!$H$35+7*(100-II1Ext!$H$35)/12</f>
        <v>75</v>
      </c>
      <c r="AG1011" s="83">
        <f t="shared" si="91"/>
        <v>70.099999999999994</v>
      </c>
      <c r="AH1011" s="65"/>
      <c r="AI1011" s="78" t="s">
        <v>50</v>
      </c>
      <c r="AJ1011" s="59">
        <v>9</v>
      </c>
      <c r="AK1011" s="65"/>
      <c r="AL1011" s="60">
        <f>ROUNDDOWN(II1Ext!$H$30*AF1012/500,1)*5</f>
        <v>28</v>
      </c>
      <c r="AM1011" s="353">
        <f t="shared" si="92"/>
        <v>26.5</v>
      </c>
      <c r="AN1011" s="63">
        <f t="shared" si="90"/>
        <v>2</v>
      </c>
    </row>
    <row r="1012" spans="21:40" ht="12.75" customHeight="1" x14ac:dyDescent="0.2">
      <c r="U1012" s="108">
        <f>+II1Ext!A49</f>
        <v>0</v>
      </c>
      <c r="V1012" s="111">
        <f>IF(II1Ext!$H$32="M",AN1011+U1012,AN1054+U1012)</f>
        <v>2</v>
      </c>
      <c r="W1012" s="380">
        <f t="shared" si="93"/>
        <v>28</v>
      </c>
      <c r="X1012" s="353">
        <f t="shared" si="94"/>
        <v>26.5</v>
      </c>
      <c r="Y1012" s="56">
        <v>9</v>
      </c>
      <c r="Z1012" s="117" t="str">
        <f>IF(ABS(IF(II1Ext!$H$32="M",AL1011-W1012,AL1054-W1012))&gt;1,"ALARM"," ")</f>
        <v xml:space="preserve"> </v>
      </c>
      <c r="AA1012" s="114" t="str">
        <f>IF(ABS(IF(II1Ext!$H$32="M",AM1011-X1012,AM1054-X1012))&gt;1,"ALARM"," ")</f>
        <v xml:space="preserve"> </v>
      </c>
      <c r="AB1012" s="65"/>
      <c r="AC1012" s="78" t="s">
        <v>50</v>
      </c>
      <c r="AD1012" s="59">
        <v>9</v>
      </c>
      <c r="AE1012" s="65"/>
      <c r="AF1012" s="60">
        <f>II1Ext!$H$35+6*(100-II1Ext!$H$35)/12</f>
        <v>70</v>
      </c>
      <c r="AG1012" s="61">
        <f t="shared" si="91"/>
        <v>65.099999999999994</v>
      </c>
      <c r="AH1012" s="65"/>
      <c r="AI1012" s="58">
        <v>3</v>
      </c>
      <c r="AJ1012" s="59">
        <v>8</v>
      </c>
      <c r="AK1012" s="65"/>
      <c r="AL1012" s="60">
        <f>ROUNDDOWN(II1Ext!$H$30*AF1013/500,1)*5</f>
        <v>26</v>
      </c>
      <c r="AM1012" s="353">
        <f t="shared" si="92"/>
        <v>24.5</v>
      </c>
      <c r="AN1012" s="63">
        <f t="shared" si="90"/>
        <v>2</v>
      </c>
    </row>
    <row r="1013" spans="21:40" ht="12.75" customHeight="1" x14ac:dyDescent="0.2">
      <c r="U1013" s="108">
        <f>+II1Ext!A50</f>
        <v>0</v>
      </c>
      <c r="V1013" s="111">
        <f>IF(II1Ext!$H$32="M",AN1012+U1013,AN1055+U1013)</f>
        <v>2</v>
      </c>
      <c r="W1013" s="380">
        <f t="shared" si="93"/>
        <v>26</v>
      </c>
      <c r="X1013" s="353">
        <f t="shared" si="94"/>
        <v>24.5</v>
      </c>
      <c r="Y1013" s="56">
        <v>8</v>
      </c>
      <c r="Z1013" s="115" t="str">
        <f>IF(ABS(IF(II1Ext!$H$32="M",AL1012-W1013,AL1055-W1013))&gt;1,"ALARM"," ")</f>
        <v xml:space="preserve"> </v>
      </c>
      <c r="AA1013" s="63" t="str">
        <f>IF(ABS(IF(II1Ext!$H$32="M",AM1012-X1013,AM1055-X1013))&gt;1,"ALARM"," ")</f>
        <v xml:space="preserve"> </v>
      </c>
      <c r="AB1013" s="65"/>
      <c r="AC1013" s="58">
        <v>3</v>
      </c>
      <c r="AD1013" s="59">
        <v>8</v>
      </c>
      <c r="AE1013" s="65"/>
      <c r="AF1013" s="60">
        <f>II1Ext!$H$35+5*(100-II1Ext!$H$35)/12</f>
        <v>65</v>
      </c>
      <c r="AG1013" s="61">
        <f t="shared" si="91"/>
        <v>60.1</v>
      </c>
      <c r="AH1013" s="65"/>
      <c r="AI1013" s="81" t="s">
        <v>22</v>
      </c>
      <c r="AJ1013" s="69">
        <v>7</v>
      </c>
      <c r="AK1013" s="70"/>
      <c r="AL1013" s="60">
        <f>ROUNDDOWN(II1Ext!$H$30*AF1014/500,1)*5</f>
        <v>24</v>
      </c>
      <c r="AM1013" s="353">
        <f t="shared" si="92"/>
        <v>22.5</v>
      </c>
      <c r="AN1013" s="73">
        <f t="shared" si="90"/>
        <v>2</v>
      </c>
    </row>
    <row r="1014" spans="21:40" ht="12.75" customHeight="1" x14ac:dyDescent="0.2">
      <c r="U1014" s="108">
        <f>+II1Ext!A51</f>
        <v>0</v>
      </c>
      <c r="V1014" s="111">
        <f>IF(II1Ext!$H$32="M",AN1013+U1014,AN1056+U1014)</f>
        <v>2</v>
      </c>
      <c r="W1014" s="381">
        <f t="shared" si="93"/>
        <v>24</v>
      </c>
      <c r="X1014" s="353">
        <f t="shared" si="94"/>
        <v>22.5</v>
      </c>
      <c r="Y1014" s="75">
        <v>7</v>
      </c>
      <c r="Z1014" s="118" t="str">
        <f>IF(ABS(IF(II1Ext!$H$32="M",AL1013-W1014,AL1056-W1014))&gt;1,"ALARM"," ")</f>
        <v xml:space="preserve"> </v>
      </c>
      <c r="AA1014" s="73" t="str">
        <f>IF(ABS(IF(II1Ext!$H$32="M",AM1013-X1014,AM1056-X1014))&gt;1,"ALARM"," ")</f>
        <v xml:space="preserve"> </v>
      </c>
      <c r="AB1014" s="65"/>
      <c r="AC1014" s="81" t="s">
        <v>22</v>
      </c>
      <c r="AD1014" s="69">
        <v>7</v>
      </c>
      <c r="AE1014" s="70"/>
      <c r="AF1014" s="82">
        <f>II1Ext!$H$35+4*(100-II1Ext!$H$35)/12</f>
        <v>60</v>
      </c>
      <c r="AG1014" s="83">
        <f t="shared" si="91"/>
        <v>55.1</v>
      </c>
      <c r="AH1014" s="65"/>
      <c r="AI1014" s="78" t="s">
        <v>50</v>
      </c>
      <c r="AJ1014" s="59">
        <v>6</v>
      </c>
      <c r="AK1014" s="65"/>
      <c r="AL1014" s="60">
        <f>ROUNDDOWN(II1Ext!$H$30*AF1015/500,1)*5</f>
        <v>22</v>
      </c>
      <c r="AM1014" s="353">
        <f t="shared" si="92"/>
        <v>20.5</v>
      </c>
      <c r="AN1014" s="63">
        <f t="shared" si="90"/>
        <v>2</v>
      </c>
    </row>
    <row r="1015" spans="21:40" ht="12.75" customHeight="1" x14ac:dyDescent="0.2">
      <c r="U1015" s="108">
        <f>+II1Ext!A52</f>
        <v>0</v>
      </c>
      <c r="V1015" s="110">
        <f>IF(II1Ext!$H$32="M",AN1014+U1015,AN1057+U1015)</f>
        <v>2</v>
      </c>
      <c r="W1015" s="380">
        <f t="shared" si="93"/>
        <v>22</v>
      </c>
      <c r="X1015" s="353">
        <f t="shared" si="94"/>
        <v>20.5</v>
      </c>
      <c r="Y1015" s="56">
        <v>6</v>
      </c>
      <c r="Z1015" s="115" t="str">
        <f>IF(ABS(IF(II1Ext!$H$32="M",AL1014-W1015,AL1057-W1015))&gt;1,"ALARM"," ")</f>
        <v xml:space="preserve"> </v>
      </c>
      <c r="AA1015" s="63" t="str">
        <f>IF(ABS(IF(II1Ext!$H$32="M",AM1014-X1015,AM1057-X1015))&gt;1,"ALARM"," ")</f>
        <v xml:space="preserve"> </v>
      </c>
      <c r="AB1015" s="65"/>
      <c r="AC1015" s="78" t="s">
        <v>50</v>
      </c>
      <c r="AD1015" s="59">
        <v>6</v>
      </c>
      <c r="AE1015" s="65"/>
      <c r="AF1015" s="60">
        <f>II1Ext!$H$35+3*(100-II1Ext!$H$35)/12</f>
        <v>55</v>
      </c>
      <c r="AG1015" s="61">
        <f t="shared" si="91"/>
        <v>50.1</v>
      </c>
      <c r="AH1015" s="65"/>
      <c r="AI1015" s="58">
        <v>4</v>
      </c>
      <c r="AJ1015" s="59">
        <v>5</v>
      </c>
      <c r="AK1015" s="65"/>
      <c r="AL1015" s="60">
        <f>ROUNDDOWN(II1Ext!$H$30*AF1016/500,1)*5</f>
        <v>20</v>
      </c>
      <c r="AM1015" s="353">
        <f t="shared" si="92"/>
        <v>18.5</v>
      </c>
      <c r="AN1015" s="63">
        <f t="shared" si="90"/>
        <v>2</v>
      </c>
    </row>
    <row r="1016" spans="21:40" ht="12.75" customHeight="1" x14ac:dyDescent="0.2">
      <c r="U1016" s="108">
        <f>+II1Ext!A53</f>
        <v>0</v>
      </c>
      <c r="V1016" s="111">
        <f>IF(II1Ext!$H$32="M",AN1015+U1016,AN1058+U1016)</f>
        <v>2</v>
      </c>
      <c r="W1016" s="380">
        <f t="shared" si="93"/>
        <v>20</v>
      </c>
      <c r="X1016" s="353">
        <f t="shared" si="94"/>
        <v>18.5</v>
      </c>
      <c r="Y1016" s="56">
        <v>5</v>
      </c>
      <c r="Z1016" s="115" t="str">
        <f>IF(ABS(IF(II1Ext!$H$32="M",AL1015-W1016,AL1058-W1016))&gt;1,"ALARM"," ")</f>
        <v xml:space="preserve"> </v>
      </c>
      <c r="AA1016" s="63" t="str">
        <f>IF(ABS(IF(II1Ext!$H$32="M",AM1015-X1016,AM1058-X1016))&gt;1,"ALARM"," ")</f>
        <v xml:space="preserve"> </v>
      </c>
      <c r="AB1016" s="65"/>
      <c r="AC1016" s="58">
        <v>4</v>
      </c>
      <c r="AD1016" s="59">
        <v>5</v>
      </c>
      <c r="AE1016" s="65"/>
      <c r="AF1016" s="60">
        <f>II1Ext!$H$35+2*(100-II1Ext!$H$35)/12</f>
        <v>50</v>
      </c>
      <c r="AG1016" s="61">
        <f t="shared" si="91"/>
        <v>45.1</v>
      </c>
      <c r="AH1016" s="65"/>
      <c r="AI1016" s="81" t="s">
        <v>22</v>
      </c>
      <c r="AJ1016" s="69">
        <v>4</v>
      </c>
      <c r="AK1016" s="70"/>
      <c r="AL1016" s="60">
        <f>ROUNDDOWN(II1Ext!$H$30*AF1017/500,1)*5</f>
        <v>18</v>
      </c>
      <c r="AM1016" s="353">
        <f t="shared" si="92"/>
        <v>16.5</v>
      </c>
      <c r="AN1016" s="73">
        <f t="shared" si="90"/>
        <v>2</v>
      </c>
    </row>
    <row r="1017" spans="21:40" ht="12.75" customHeight="1" x14ac:dyDescent="0.2">
      <c r="U1017" s="108">
        <f>+II1Ext!A54</f>
        <v>0</v>
      </c>
      <c r="V1017" s="113">
        <f>IF(II1Ext!$H$32="M",AN1016+U1017,AN1059+U1017)</f>
        <v>2</v>
      </c>
      <c r="W1017" s="381">
        <f t="shared" si="93"/>
        <v>18</v>
      </c>
      <c r="X1017" s="353">
        <f t="shared" si="94"/>
        <v>16.5</v>
      </c>
      <c r="Y1017" s="75">
        <v>4</v>
      </c>
      <c r="Z1017" s="115" t="str">
        <f>IF(ABS(IF(II1Ext!$H$32="M",AL1016-W1017,AL1059-W1017))&gt;1,"ALARM"," ")</f>
        <v xml:space="preserve"> </v>
      </c>
      <c r="AA1017" s="63" t="str">
        <f>IF(ABS(IF(II1Ext!$H$32="M",AM1016-X1017,AM1059-X1017))&gt;1,"ALARM"," ")</f>
        <v xml:space="preserve"> </v>
      </c>
      <c r="AB1017" s="65"/>
      <c r="AC1017" s="81" t="s">
        <v>22</v>
      </c>
      <c r="AD1017" s="69">
        <v>4</v>
      </c>
      <c r="AE1017" s="70"/>
      <c r="AF1017" s="82">
        <f>II1Ext!$H$35+1*(100-II1Ext!$H$35)/12</f>
        <v>45</v>
      </c>
      <c r="AG1017" s="83">
        <f t="shared" si="91"/>
        <v>40.1</v>
      </c>
      <c r="AH1017" s="65"/>
      <c r="AI1017" s="78" t="s">
        <v>50</v>
      </c>
      <c r="AJ1017" s="59">
        <v>3</v>
      </c>
      <c r="AK1017" s="65"/>
      <c r="AL1017" s="60">
        <f>ROUNDDOWN(II1Ext!$H$30*AF1018/500,1)*5</f>
        <v>16</v>
      </c>
      <c r="AM1017" s="353">
        <f t="shared" si="92"/>
        <v>13.5</v>
      </c>
      <c r="AN1017" s="63">
        <f t="shared" si="90"/>
        <v>3</v>
      </c>
    </row>
    <row r="1018" spans="21:40" ht="12.75" customHeight="1" x14ac:dyDescent="0.2">
      <c r="U1018" s="108">
        <f>+II1Ext!A55</f>
        <v>0</v>
      </c>
      <c r="V1018" s="110">
        <f>IF(II1Ext!$H$32="M",AN1017+U1018,AN1060+U1018)</f>
        <v>3</v>
      </c>
      <c r="W1018" s="380">
        <f t="shared" si="93"/>
        <v>16</v>
      </c>
      <c r="X1018" s="353">
        <f t="shared" si="94"/>
        <v>13.5</v>
      </c>
      <c r="Y1018" s="56">
        <v>3</v>
      </c>
      <c r="Z1018" s="117" t="str">
        <f>IF(ABS(IF(II1Ext!$H$32="M",AL1017-W1018,AL1060-W1018))&gt;1,"ALARM"," ")</f>
        <v xml:space="preserve"> </v>
      </c>
      <c r="AA1018" s="114" t="str">
        <f>IF(ABS(IF(II1Ext!$H$32="M",AM1017-X1018,AM1060-X1018))&gt;1,"ALARM"," ")</f>
        <v xml:space="preserve"> </v>
      </c>
      <c r="AB1018" s="65"/>
      <c r="AC1018" s="78" t="s">
        <v>50</v>
      </c>
      <c r="AD1018" s="59">
        <v>3</v>
      </c>
      <c r="AE1018" s="65"/>
      <c r="AF1018" s="60">
        <f>II1Ext!$H$35</f>
        <v>40</v>
      </c>
      <c r="AG1018" s="61">
        <f>AF1019+0.01</f>
        <v>33.343333333333334</v>
      </c>
      <c r="AH1018" s="65"/>
      <c r="AI1018" s="58">
        <v>5</v>
      </c>
      <c r="AJ1018" s="59">
        <v>2</v>
      </c>
      <c r="AK1018" s="65"/>
      <c r="AL1018" s="60">
        <f>ROUNDDOWN(II1Ext!$H$30*AF1019/500,1)*5</f>
        <v>13</v>
      </c>
      <c r="AM1018" s="353">
        <f t="shared" si="92"/>
        <v>11</v>
      </c>
      <c r="AN1018" s="63">
        <f t="shared" si="90"/>
        <v>2.5</v>
      </c>
    </row>
    <row r="1019" spans="21:40" ht="12.75" customHeight="1" x14ac:dyDescent="0.2">
      <c r="U1019" s="108">
        <f>+II1Ext!A56</f>
        <v>0</v>
      </c>
      <c r="V1019" s="111">
        <f>IF(II1Ext!$H$32="M",AN1018+U1019,AN1061+U1019)</f>
        <v>2.5</v>
      </c>
      <c r="W1019" s="380">
        <f t="shared" si="93"/>
        <v>13</v>
      </c>
      <c r="X1019" s="353">
        <f t="shared" si="94"/>
        <v>11</v>
      </c>
      <c r="Y1019" s="56">
        <v>2</v>
      </c>
      <c r="Z1019" s="115" t="str">
        <f>IF(ABS(IF(II1Ext!$H$32="M",AL1018-W1019,AL1061-W1019))&gt;1,"ALARM"," ")</f>
        <v xml:space="preserve"> </v>
      </c>
      <c r="AA1019" s="63" t="str">
        <f>IF(ABS(IF(II1Ext!$H$32="M",AM1018-X1019,AM1061-X1019))&gt;1,"ALARM"," ")</f>
        <v xml:space="preserve"> </v>
      </c>
      <c r="AB1019" s="65"/>
      <c r="AC1019" s="58">
        <v>5</v>
      </c>
      <c r="AD1019" s="59">
        <v>2</v>
      </c>
      <c r="AE1019" s="65"/>
      <c r="AF1019" s="60">
        <f>AG1020+2*(AF1018-AG1020)/3</f>
        <v>33.333333333333336</v>
      </c>
      <c r="AG1019" s="61">
        <f>AF1020+0.01</f>
        <v>26.676666666666669</v>
      </c>
      <c r="AH1019" s="65"/>
      <c r="AI1019" s="81" t="s">
        <v>22</v>
      </c>
      <c r="AJ1019" s="69">
        <v>1</v>
      </c>
      <c r="AK1019" s="70"/>
      <c r="AL1019" s="60">
        <f>ROUNDDOWN(II1Ext!$H$30*AF1020/500,1)*5</f>
        <v>10.5</v>
      </c>
      <c r="AM1019" s="361">
        <f>ROUNDUP(II1Ext!$H$30*(II1Ext!$H$34/500),1)*5</f>
        <v>8</v>
      </c>
      <c r="AN1019" s="73">
        <f t="shared" si="90"/>
        <v>3</v>
      </c>
    </row>
    <row r="1020" spans="21:40" ht="12.75" customHeight="1" thickBot="1" x14ac:dyDescent="0.25">
      <c r="U1020" s="108">
        <f>+II1Ext!A57</f>
        <v>0</v>
      </c>
      <c r="V1020" s="113">
        <f>IF(II1Ext!$H$32="M",AN1019+U1020,AN1062+U1020)</f>
        <v>3</v>
      </c>
      <c r="W1020" s="381">
        <f t="shared" si="93"/>
        <v>10.5</v>
      </c>
      <c r="X1020" s="353">
        <f t="shared" si="94"/>
        <v>8</v>
      </c>
      <c r="Y1020" s="75">
        <v>1</v>
      </c>
      <c r="Z1020" s="118" t="str">
        <f>IF(ABS(IF(II1Ext!$H$32="M",AL1019-W1020,AL1062-W1020))&gt;1,"ALARM"," ")</f>
        <v xml:space="preserve"> </v>
      </c>
      <c r="AA1020" s="73" t="str">
        <f>IF(ABS(IF(II1Ext!$H$32="M",AM1019-X1020,AM1062-X1020))&gt;1,"ALARM"," ")</f>
        <v xml:space="preserve"> </v>
      </c>
      <c r="AB1020" s="65"/>
      <c r="AC1020" s="81" t="s">
        <v>22</v>
      </c>
      <c r="AD1020" s="69">
        <v>1</v>
      </c>
      <c r="AE1020" s="70"/>
      <c r="AF1020" s="82">
        <f>AG1020+(AF1018-AG1020)/3</f>
        <v>26.666666666666668</v>
      </c>
      <c r="AG1020" s="83">
        <f>II1Ext!$H$34</f>
        <v>20</v>
      </c>
      <c r="AH1020" s="65"/>
      <c r="AI1020" s="89">
        <v>6</v>
      </c>
      <c r="AJ1020" s="90">
        <v>0</v>
      </c>
      <c r="AK1020" s="91"/>
      <c r="AL1020" s="96">
        <f>AM1019-0.5</f>
        <v>7.5</v>
      </c>
      <c r="AM1020" s="362">
        <v>0</v>
      </c>
      <c r="AN1020" s="94">
        <f>IF(AM1020&gt;AM1019,"ALARM",AL1020)</f>
        <v>7.5</v>
      </c>
    </row>
    <row r="1021" spans="21:40" ht="12.75" customHeight="1" thickBot="1" x14ac:dyDescent="0.25">
      <c r="U1021" s="43" t="s">
        <v>51</v>
      </c>
      <c r="V1021" s="112">
        <f>IF(II1Ext!$H$32="M",+W1021,W1063)</f>
        <v>7.5</v>
      </c>
      <c r="W1021" s="384">
        <f t="shared" si="93"/>
        <v>7.5</v>
      </c>
      <c r="X1021" s="362">
        <v>0</v>
      </c>
      <c r="Y1021" s="95">
        <v>0</v>
      </c>
      <c r="Z1021" s="116" t="str">
        <f>IF(ABS(IF(II1Ext!$H$32="M",AL1020-W1021,AL1063-W1021))&gt;1,"ALARM"," ")</f>
        <v xml:space="preserve"> </v>
      </c>
      <c r="AA1021" s="94" t="str">
        <f>IF(ABS(IF(II1Ext!$H$32="M",AM1020-X1021,AM1063-X1021))&gt;1,"ALARM"," ")</f>
        <v xml:space="preserve"> </v>
      </c>
      <c r="AB1021" s="65"/>
      <c r="AC1021" s="89">
        <v>6</v>
      </c>
      <c r="AD1021" s="90">
        <v>0</v>
      </c>
      <c r="AE1021" s="91"/>
      <c r="AF1021" s="96">
        <f>II1Ext!$H$34-0.1</f>
        <v>19.899999999999999</v>
      </c>
      <c r="AG1021" s="97">
        <v>0</v>
      </c>
      <c r="AH1021" s="65"/>
      <c r="AI1021" s="65"/>
      <c r="AJ1021" s="65"/>
      <c r="AK1021" s="65"/>
      <c r="AL1021" s="65"/>
      <c r="AM1021" s="65"/>
      <c r="AN1021" s="65"/>
    </row>
    <row r="1022" spans="21:40" ht="12.75" customHeight="1" x14ac:dyDescent="0.2"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21:40" ht="12.75" customHeight="1" x14ac:dyDescent="0.2"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21:40" ht="12.75" customHeight="1" x14ac:dyDescent="0.2">
      <c r="U1024" s="46"/>
      <c r="V1024" s="359">
        <f t="shared" ref="V1024:V1039" si="95">+X1024</f>
        <v>0</v>
      </c>
      <c r="W1024" s="359">
        <f>+W1021</f>
        <v>7.5</v>
      </c>
      <c r="X1024" s="359">
        <f>+X1021</f>
        <v>0</v>
      </c>
      <c r="Y1024" s="46">
        <f>+Y1021</f>
        <v>0</v>
      </c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21:40" ht="12.75" customHeight="1" x14ac:dyDescent="0.2">
      <c r="U1025" s="46"/>
      <c r="V1025" s="359">
        <f t="shared" si="95"/>
        <v>8</v>
      </c>
      <c r="W1025" s="359">
        <f>+W1020</f>
        <v>10.5</v>
      </c>
      <c r="X1025" s="359">
        <f>+X1020</f>
        <v>8</v>
      </c>
      <c r="Y1025" s="46">
        <f>+Y1020</f>
        <v>1</v>
      </c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21:40" ht="12.75" customHeight="1" x14ac:dyDescent="0.2">
      <c r="U1026" s="46"/>
      <c r="V1026" s="359">
        <f t="shared" si="95"/>
        <v>11</v>
      </c>
      <c r="W1026" s="359">
        <f>+W1019</f>
        <v>13</v>
      </c>
      <c r="X1026" s="359">
        <f>+X1019</f>
        <v>11</v>
      </c>
      <c r="Y1026" s="46">
        <f>+Y1019</f>
        <v>2</v>
      </c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21:40" ht="12.75" customHeight="1" x14ac:dyDescent="0.2">
      <c r="U1027" s="46"/>
      <c r="V1027" s="359">
        <f t="shared" si="95"/>
        <v>13.5</v>
      </c>
      <c r="W1027" s="359">
        <f>+W1018</f>
        <v>16</v>
      </c>
      <c r="X1027" s="359">
        <f>+X1018</f>
        <v>13.5</v>
      </c>
      <c r="Y1027" s="46">
        <f>+Y1018</f>
        <v>3</v>
      </c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  <row r="1028" spans="21:40" ht="12.75" customHeight="1" x14ac:dyDescent="0.2">
      <c r="U1028" s="46"/>
      <c r="V1028" s="359">
        <f t="shared" si="95"/>
        <v>16.5</v>
      </c>
      <c r="W1028" s="359">
        <f>+W1017</f>
        <v>18</v>
      </c>
      <c r="X1028" s="359">
        <f>+X1017</f>
        <v>16.5</v>
      </c>
      <c r="Y1028" s="46">
        <f>+Y1017</f>
        <v>4</v>
      </c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</row>
    <row r="1029" spans="21:40" ht="12.75" customHeight="1" x14ac:dyDescent="0.2">
      <c r="U1029" s="46"/>
      <c r="V1029" s="359">
        <f t="shared" si="95"/>
        <v>18.5</v>
      </c>
      <c r="W1029" s="359">
        <f>+W1016</f>
        <v>20</v>
      </c>
      <c r="X1029" s="359">
        <f>+X1016</f>
        <v>18.5</v>
      </c>
      <c r="Y1029" s="46">
        <f>+Y1016</f>
        <v>5</v>
      </c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</row>
    <row r="1030" spans="21:40" ht="12.75" customHeight="1" x14ac:dyDescent="0.2">
      <c r="U1030" s="46"/>
      <c r="V1030" s="359">
        <f t="shared" si="95"/>
        <v>20.5</v>
      </c>
      <c r="W1030" s="359">
        <f>+W1015</f>
        <v>22</v>
      </c>
      <c r="X1030" s="359">
        <f>+X1015</f>
        <v>20.5</v>
      </c>
      <c r="Y1030" s="46">
        <f>+Y1015</f>
        <v>6</v>
      </c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</row>
    <row r="1031" spans="21:40" ht="12.75" customHeight="1" x14ac:dyDescent="0.2">
      <c r="U1031" s="46"/>
      <c r="V1031" s="359">
        <f t="shared" si="95"/>
        <v>22.5</v>
      </c>
      <c r="W1031" s="359">
        <f>+W1014</f>
        <v>24</v>
      </c>
      <c r="X1031" s="359">
        <f>+X1014</f>
        <v>22.5</v>
      </c>
      <c r="Y1031" s="46">
        <f>+Y1014</f>
        <v>7</v>
      </c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</row>
    <row r="1032" spans="21:40" ht="12.75" customHeight="1" x14ac:dyDescent="0.2">
      <c r="U1032" s="46"/>
      <c r="V1032" s="359">
        <f t="shared" si="95"/>
        <v>24.5</v>
      </c>
      <c r="W1032" s="359">
        <f>+W1013</f>
        <v>26</v>
      </c>
      <c r="X1032" s="359">
        <f>+X1013</f>
        <v>24.5</v>
      </c>
      <c r="Y1032" s="46">
        <f>+Y1013</f>
        <v>8</v>
      </c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</row>
    <row r="1033" spans="21:40" ht="12.75" customHeight="1" x14ac:dyDescent="0.2">
      <c r="U1033" s="46"/>
      <c r="V1033" s="359">
        <f t="shared" si="95"/>
        <v>26.5</v>
      </c>
      <c r="W1033" s="359">
        <f>+W1012</f>
        <v>28</v>
      </c>
      <c r="X1033" s="359">
        <f>+X1012</f>
        <v>26.5</v>
      </c>
      <c r="Y1033" s="46">
        <f>+Y1012</f>
        <v>9</v>
      </c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</row>
    <row r="1034" spans="21:40" ht="12.75" customHeight="1" x14ac:dyDescent="0.2">
      <c r="U1034" s="46"/>
      <c r="V1034" s="359">
        <f t="shared" si="95"/>
        <v>28.5</v>
      </c>
      <c r="W1034" s="359">
        <f>+W1011</f>
        <v>30</v>
      </c>
      <c r="X1034" s="359">
        <f>+X1011</f>
        <v>28.5</v>
      </c>
      <c r="Y1034" s="46">
        <f>+Y1011</f>
        <v>10</v>
      </c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</row>
    <row r="1035" spans="21:40" ht="12.75" customHeight="1" x14ac:dyDescent="0.2">
      <c r="U1035" s="46"/>
      <c r="V1035" s="359">
        <f t="shared" si="95"/>
        <v>30.5</v>
      </c>
      <c r="W1035" s="359">
        <f>+W1010</f>
        <v>32</v>
      </c>
      <c r="X1035" s="359">
        <f>+X1010</f>
        <v>30.5</v>
      </c>
      <c r="Y1035" s="46">
        <f>+Y1010</f>
        <v>11</v>
      </c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</row>
    <row r="1036" spans="21:40" ht="12.75" customHeight="1" x14ac:dyDescent="0.2">
      <c r="U1036" s="46"/>
      <c r="V1036" s="359">
        <f t="shared" si="95"/>
        <v>32.5</v>
      </c>
      <c r="W1036" s="359">
        <f>+W1009</f>
        <v>34</v>
      </c>
      <c r="X1036" s="359">
        <f>+X1009</f>
        <v>32.5</v>
      </c>
      <c r="Y1036" s="46">
        <f>+Y1009</f>
        <v>12</v>
      </c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</row>
    <row r="1037" spans="21:40" ht="12.75" customHeight="1" x14ac:dyDescent="0.2">
      <c r="U1037" s="46"/>
      <c r="V1037" s="359">
        <f t="shared" si="95"/>
        <v>34.5</v>
      </c>
      <c r="W1037" s="359">
        <f>+W1008</f>
        <v>36</v>
      </c>
      <c r="X1037" s="359">
        <f>+X1008</f>
        <v>34.5</v>
      </c>
      <c r="Y1037" s="46">
        <f>+Y1008</f>
        <v>13</v>
      </c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</row>
    <row r="1038" spans="21:40" ht="12.75" customHeight="1" x14ac:dyDescent="0.2">
      <c r="U1038" s="46"/>
      <c r="V1038" s="359">
        <f t="shared" si="95"/>
        <v>36.5</v>
      </c>
      <c r="W1038" s="359">
        <f>+W1007</f>
        <v>38</v>
      </c>
      <c r="X1038" s="359">
        <f>+X1007</f>
        <v>36.5</v>
      </c>
      <c r="Y1038" s="46">
        <f>+Y1007</f>
        <v>14</v>
      </c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</row>
    <row r="1039" spans="21:40" ht="12.75" customHeight="1" x14ac:dyDescent="0.2">
      <c r="U1039" s="46"/>
      <c r="V1039" s="359">
        <f t="shared" si="95"/>
        <v>38.5</v>
      </c>
      <c r="W1039" s="359">
        <f>+W1006</f>
        <v>40</v>
      </c>
      <c r="X1039" s="359">
        <f>+X1006</f>
        <v>38.5</v>
      </c>
      <c r="Y1039" s="98">
        <f>+Y1006</f>
        <v>15</v>
      </c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</row>
    <row r="1040" spans="21:40" ht="12.75" customHeight="1" x14ac:dyDescent="0.2"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</row>
    <row r="1041" spans="21:40" ht="12.75" customHeight="1" x14ac:dyDescent="0.2"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</row>
    <row r="1042" spans="21:40" ht="12.75" customHeight="1" x14ac:dyDescent="0.2"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</row>
    <row r="1043" spans="21:40" ht="12.75" customHeight="1" x14ac:dyDescent="0.2"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52"/>
      <c r="AI1043" s="57"/>
      <c r="AJ1043" s="60"/>
      <c r="AK1043" s="60"/>
      <c r="AL1043" s="52"/>
      <c r="AM1043" s="88"/>
      <c r="AN1043" s="57"/>
    </row>
    <row r="1044" spans="21:40" ht="12.75" customHeight="1" thickBot="1" x14ac:dyDescent="0.25">
      <c r="U1044" s="360"/>
      <c r="V1044" s="375"/>
      <c r="W1044" s="454"/>
      <c r="X1044" s="454"/>
      <c r="Y1044" s="65"/>
      <c r="Z1044" s="454"/>
      <c r="AA1044" s="454"/>
      <c r="AB1044" s="46"/>
      <c r="AC1044" s="65"/>
      <c r="AD1044" s="57"/>
      <c r="AE1044" s="57"/>
      <c r="AF1044" s="60"/>
      <c r="AG1044" s="60"/>
      <c r="AH1044" s="52"/>
      <c r="AI1044" s="65"/>
      <c r="AJ1044" s="57"/>
      <c r="AK1044" s="65"/>
      <c r="AL1044" s="57"/>
      <c r="AM1044" s="57"/>
      <c r="AN1044" s="57"/>
    </row>
    <row r="1045" spans="21:40" ht="12.75" customHeight="1" x14ac:dyDescent="0.2">
      <c r="U1045" s="376"/>
      <c r="V1045" s="375"/>
      <c r="W1045" s="458"/>
      <c r="X1045" s="458"/>
      <c r="Y1045" s="65"/>
      <c r="Z1045" s="454"/>
      <c r="AA1045" s="454"/>
      <c r="AB1045" s="46"/>
      <c r="AC1045" s="49" t="s">
        <v>17</v>
      </c>
      <c r="AD1045" s="50" t="s">
        <v>32</v>
      </c>
      <c r="AE1045" s="51"/>
      <c r="AF1045" s="461" t="s">
        <v>41</v>
      </c>
      <c r="AG1045" s="462"/>
      <c r="AH1045" s="52"/>
      <c r="AI1045" s="49" t="s">
        <v>17</v>
      </c>
      <c r="AJ1045" s="50" t="s">
        <v>32</v>
      </c>
      <c r="AK1045" s="53"/>
      <c r="AL1045" s="452" t="s">
        <v>42</v>
      </c>
      <c r="AM1045" s="453"/>
      <c r="AN1045" s="54" t="s">
        <v>43</v>
      </c>
    </row>
    <row r="1046" spans="21:40" ht="12.75" customHeight="1" x14ac:dyDescent="0.2">
      <c r="U1046" s="377"/>
      <c r="V1046" s="375"/>
      <c r="W1046" s="360"/>
      <c r="X1046" s="360"/>
      <c r="Y1046" s="65"/>
      <c r="Z1046" s="454"/>
      <c r="AA1046" s="454"/>
      <c r="AB1046" s="46"/>
      <c r="AC1046" s="58"/>
      <c r="AD1046" s="59"/>
      <c r="AE1046" s="57"/>
      <c r="AF1046" s="60" t="s">
        <v>46</v>
      </c>
      <c r="AG1046" s="61" t="s">
        <v>47</v>
      </c>
      <c r="AH1046" s="52"/>
      <c r="AI1046" s="58"/>
      <c r="AJ1046" s="59"/>
      <c r="AK1046" s="57"/>
      <c r="AL1046" s="57" t="s">
        <v>46</v>
      </c>
      <c r="AM1046" s="62" t="s">
        <v>47</v>
      </c>
      <c r="AN1046" s="63"/>
    </row>
    <row r="1047" spans="21:40" ht="12.75" customHeight="1" x14ac:dyDescent="0.2">
      <c r="U1047" s="65"/>
      <c r="V1047" s="375"/>
      <c r="W1047" s="360"/>
      <c r="X1047" s="360"/>
      <c r="Y1047" s="65"/>
      <c r="Z1047" s="360"/>
      <c r="AA1047" s="360"/>
      <c r="AB1047" s="46"/>
      <c r="AC1047" s="68"/>
      <c r="AD1047" s="69"/>
      <c r="AE1047" s="70"/>
      <c r="AF1047" s="76"/>
      <c r="AG1047" s="77"/>
      <c r="AH1047" s="65"/>
      <c r="AI1047" s="68"/>
      <c r="AJ1047" s="69"/>
      <c r="AK1047" s="70"/>
      <c r="AL1047" s="71"/>
      <c r="AM1047" s="72"/>
      <c r="AN1047" s="73"/>
    </row>
    <row r="1048" spans="21:40" ht="12.75" customHeight="1" x14ac:dyDescent="0.2">
      <c r="U1048" s="376"/>
      <c r="V1048" s="375"/>
      <c r="W1048" s="79"/>
      <c r="X1048" s="360"/>
      <c r="Y1048" s="65"/>
      <c r="Z1048" s="360"/>
      <c r="AA1048" s="360"/>
      <c r="AB1048" s="46"/>
      <c r="AC1048" s="78" t="s">
        <v>50</v>
      </c>
      <c r="AD1048" s="59">
        <v>15</v>
      </c>
      <c r="AE1048" s="65"/>
      <c r="AF1048" s="60">
        <f>II1Ext!$H$35+30*(100-II1Ext!$H$35)/30</f>
        <v>100</v>
      </c>
      <c r="AG1048" s="61">
        <f t="shared" ref="AG1048:AG1059" si="96">AF1049+0.1</f>
        <v>94.1</v>
      </c>
      <c r="AH1048" s="65"/>
      <c r="AI1048" s="78" t="s">
        <v>50</v>
      </c>
      <c r="AJ1048" s="59">
        <v>15</v>
      </c>
      <c r="AK1048" s="65"/>
      <c r="AL1048" s="79">
        <f>II1Ext!$H$30</f>
        <v>40</v>
      </c>
      <c r="AM1048" s="62">
        <f>AL1049+0.5</f>
        <v>38</v>
      </c>
      <c r="AN1048" s="63">
        <f t="shared" ref="AN1048:AN1062" si="97">IF(AM1048&gt;AL1048,"ALARM",AL1048-AL1049)</f>
        <v>2.5</v>
      </c>
    </row>
    <row r="1049" spans="21:40" ht="12.75" customHeight="1" x14ac:dyDescent="0.2">
      <c r="U1049" s="376"/>
      <c r="V1049" s="375"/>
      <c r="W1049" s="360"/>
      <c r="X1049" s="360"/>
      <c r="Y1049" s="65"/>
      <c r="Z1049" s="360"/>
      <c r="AA1049" s="360"/>
      <c r="AB1049" s="46"/>
      <c r="AC1049" s="58">
        <v>1</v>
      </c>
      <c r="AD1049" s="59">
        <v>14</v>
      </c>
      <c r="AE1049" s="65"/>
      <c r="AF1049" s="60">
        <f>II1Ext!$H$35+27*(100-II1Ext!$H$35)/30</f>
        <v>94</v>
      </c>
      <c r="AG1049" s="61">
        <f t="shared" si="96"/>
        <v>88.1</v>
      </c>
      <c r="AH1049" s="65"/>
      <c r="AI1049" s="58">
        <v>1</v>
      </c>
      <c r="AJ1049" s="59">
        <v>14</v>
      </c>
      <c r="AK1049" s="65"/>
      <c r="AL1049" s="57">
        <f>ROUNDDOWN(II1Ext!$H$30*AF1049/500,1)*5</f>
        <v>37.5</v>
      </c>
      <c r="AM1049" s="352">
        <f t="shared" ref="AM1049:AM1061" si="98">AL1050+0.5</f>
        <v>35.5</v>
      </c>
      <c r="AN1049" s="63">
        <f t="shared" si="97"/>
        <v>2.5</v>
      </c>
    </row>
    <row r="1050" spans="21:40" ht="12.75" customHeight="1" x14ac:dyDescent="0.2">
      <c r="U1050" s="376"/>
      <c r="V1050" s="375"/>
      <c r="W1050" s="360"/>
      <c r="X1050" s="360"/>
      <c r="Y1050" s="65"/>
      <c r="Z1050" s="360"/>
      <c r="AA1050" s="360"/>
      <c r="AB1050" s="46"/>
      <c r="AC1050" s="81" t="s">
        <v>22</v>
      </c>
      <c r="AD1050" s="69">
        <v>13</v>
      </c>
      <c r="AE1050" s="70"/>
      <c r="AF1050" s="82">
        <f>II1Ext!$H$35+24*(100-II1Ext!$H$35)/30</f>
        <v>88</v>
      </c>
      <c r="AG1050" s="83">
        <f t="shared" si="96"/>
        <v>82.1</v>
      </c>
      <c r="AH1050" s="65"/>
      <c r="AI1050" s="81" t="s">
        <v>22</v>
      </c>
      <c r="AJ1050" s="69">
        <v>13</v>
      </c>
      <c r="AK1050" s="70"/>
      <c r="AL1050" s="383">
        <f>ROUNDDOWN(II1Ext!$H$30*AF1050/500,1)*5</f>
        <v>35</v>
      </c>
      <c r="AM1050" s="352">
        <f t="shared" si="98"/>
        <v>33</v>
      </c>
      <c r="AN1050" s="73">
        <f t="shared" si="97"/>
        <v>2.5</v>
      </c>
    </row>
    <row r="1051" spans="21:40" ht="12.75" customHeight="1" x14ac:dyDescent="0.2">
      <c r="U1051" s="376"/>
      <c r="V1051" s="375"/>
      <c r="W1051" s="360"/>
      <c r="X1051" s="360"/>
      <c r="Y1051" s="65"/>
      <c r="Z1051" s="360"/>
      <c r="AA1051" s="360"/>
      <c r="AB1051" s="46"/>
      <c r="AC1051" s="78" t="s">
        <v>50</v>
      </c>
      <c r="AD1051" s="59">
        <v>12</v>
      </c>
      <c r="AE1051" s="65"/>
      <c r="AF1051" s="60">
        <f>II1Ext!$H$35+21*(100-II1Ext!$H$35)/30</f>
        <v>82</v>
      </c>
      <c r="AG1051" s="61">
        <f t="shared" si="96"/>
        <v>76.099999999999994</v>
      </c>
      <c r="AH1051" s="65"/>
      <c r="AI1051" s="78" t="s">
        <v>50</v>
      </c>
      <c r="AJ1051" s="59">
        <v>12</v>
      </c>
      <c r="AK1051" s="65"/>
      <c r="AL1051" s="383">
        <f>ROUNDDOWN(II1Ext!$H$30*AF1051/500,1)*5</f>
        <v>32.5</v>
      </c>
      <c r="AM1051" s="352">
        <f t="shared" si="98"/>
        <v>30.5</v>
      </c>
      <c r="AN1051" s="63">
        <f t="shared" si="97"/>
        <v>2.5</v>
      </c>
    </row>
    <row r="1052" spans="21:40" ht="12.75" customHeight="1" x14ac:dyDescent="0.2">
      <c r="U1052" s="376"/>
      <c r="V1052" s="375"/>
      <c r="W1052" s="360"/>
      <c r="X1052" s="360"/>
      <c r="Y1052" s="65"/>
      <c r="Z1052" s="360"/>
      <c r="AA1052" s="360"/>
      <c r="AB1052" s="46"/>
      <c r="AC1052" s="58">
        <v>2</v>
      </c>
      <c r="AD1052" s="59">
        <v>11</v>
      </c>
      <c r="AE1052" s="65"/>
      <c r="AF1052" s="60">
        <f>II1Ext!$H$35+18*(100-II1Ext!$H$35)/30</f>
        <v>76</v>
      </c>
      <c r="AG1052" s="61">
        <f t="shared" si="96"/>
        <v>70.099999999999994</v>
      </c>
      <c r="AH1052" s="65"/>
      <c r="AI1052" s="58">
        <v>2</v>
      </c>
      <c r="AJ1052" s="59">
        <v>11</v>
      </c>
      <c r="AK1052" s="65"/>
      <c r="AL1052" s="383">
        <f>ROUNDDOWN(II1Ext!$H$30*AF1052/500,1)*5</f>
        <v>30</v>
      </c>
      <c r="AM1052" s="352">
        <f t="shared" si="98"/>
        <v>28.5</v>
      </c>
      <c r="AN1052" s="63">
        <f t="shared" si="97"/>
        <v>2</v>
      </c>
    </row>
    <row r="1053" spans="21:40" ht="12.75" customHeight="1" x14ac:dyDescent="0.2">
      <c r="U1053" s="376"/>
      <c r="V1053" s="375"/>
      <c r="W1053" s="360"/>
      <c r="X1053" s="360"/>
      <c r="Y1053" s="65"/>
      <c r="Z1053" s="360"/>
      <c r="AA1053" s="360"/>
      <c r="AB1053" s="46"/>
      <c r="AC1053" s="81" t="s">
        <v>22</v>
      </c>
      <c r="AD1053" s="69">
        <v>10</v>
      </c>
      <c r="AE1053" s="70"/>
      <c r="AF1053" s="82">
        <f>II1Ext!$H$35+15*(100-II1Ext!$H$35)/30</f>
        <v>70</v>
      </c>
      <c r="AG1053" s="83">
        <f t="shared" si="96"/>
        <v>64.099999999999994</v>
      </c>
      <c r="AH1053" s="65"/>
      <c r="AI1053" s="81" t="s">
        <v>22</v>
      </c>
      <c r="AJ1053" s="69">
        <v>10</v>
      </c>
      <c r="AK1053" s="70"/>
      <c r="AL1053" s="383">
        <f>ROUNDDOWN(II1Ext!$H$30*AF1053/500,1)*5</f>
        <v>28</v>
      </c>
      <c r="AM1053" s="352">
        <f t="shared" si="98"/>
        <v>26</v>
      </c>
      <c r="AN1053" s="73">
        <f t="shared" si="97"/>
        <v>2.5</v>
      </c>
    </row>
    <row r="1054" spans="21:40" ht="12.75" customHeight="1" x14ac:dyDescent="0.2">
      <c r="U1054" s="376"/>
      <c r="V1054" s="375"/>
      <c r="W1054" s="360"/>
      <c r="X1054" s="360"/>
      <c r="Y1054" s="65"/>
      <c r="Z1054" s="360"/>
      <c r="AA1054" s="360"/>
      <c r="AB1054" s="46"/>
      <c r="AC1054" s="78" t="s">
        <v>50</v>
      </c>
      <c r="AD1054" s="59">
        <v>9</v>
      </c>
      <c r="AE1054" s="65"/>
      <c r="AF1054" s="60">
        <f>II1Ext!$H$35+12*(100-II1Ext!$H$35)/30</f>
        <v>64</v>
      </c>
      <c r="AG1054" s="61">
        <f t="shared" si="96"/>
        <v>60.1</v>
      </c>
      <c r="AH1054" s="65"/>
      <c r="AI1054" s="78" t="s">
        <v>50</v>
      </c>
      <c r="AJ1054" s="59">
        <v>9</v>
      </c>
      <c r="AK1054" s="65"/>
      <c r="AL1054" s="383">
        <f>ROUNDDOWN(II1Ext!$H$30*AF1054/500,1)*5</f>
        <v>25.5</v>
      </c>
      <c r="AM1054" s="352">
        <f t="shared" si="98"/>
        <v>24.5</v>
      </c>
      <c r="AN1054" s="63">
        <f t="shared" si="97"/>
        <v>1.5</v>
      </c>
    </row>
    <row r="1055" spans="21:40" ht="12.75" customHeight="1" x14ac:dyDescent="0.2">
      <c r="U1055" s="376"/>
      <c r="V1055" s="375"/>
      <c r="W1055" s="360"/>
      <c r="X1055" s="360"/>
      <c r="Y1055" s="65"/>
      <c r="Z1055" s="360"/>
      <c r="AA1055" s="360"/>
      <c r="AB1055" s="46"/>
      <c r="AC1055" s="58">
        <v>3</v>
      </c>
      <c r="AD1055" s="59">
        <v>8</v>
      </c>
      <c r="AE1055" s="65"/>
      <c r="AF1055" s="60">
        <f>II1Ext!$H$35+10*(100-II1Ext!$H$35)/30</f>
        <v>60</v>
      </c>
      <c r="AG1055" s="61">
        <f t="shared" si="96"/>
        <v>56.1</v>
      </c>
      <c r="AH1055" s="65"/>
      <c r="AI1055" s="58">
        <v>3</v>
      </c>
      <c r="AJ1055" s="59">
        <v>8</v>
      </c>
      <c r="AK1055" s="65"/>
      <c r="AL1055" s="383">
        <f>ROUNDDOWN(II1Ext!$H$30*AF1055/500,1)*5</f>
        <v>24</v>
      </c>
      <c r="AM1055" s="352">
        <f t="shared" si="98"/>
        <v>22.5</v>
      </c>
      <c r="AN1055" s="63">
        <f t="shared" si="97"/>
        <v>2</v>
      </c>
    </row>
    <row r="1056" spans="21:40" ht="12.75" customHeight="1" x14ac:dyDescent="0.2">
      <c r="U1056" s="376"/>
      <c r="V1056" s="375"/>
      <c r="W1056" s="360"/>
      <c r="X1056" s="360"/>
      <c r="Y1056" s="65"/>
      <c r="Z1056" s="360"/>
      <c r="AA1056" s="360"/>
      <c r="AB1056" s="46"/>
      <c r="AC1056" s="81" t="s">
        <v>22</v>
      </c>
      <c r="AD1056" s="69">
        <v>7</v>
      </c>
      <c r="AE1056" s="70"/>
      <c r="AF1056" s="82">
        <f>II1Ext!$H$35+8*(100-II1Ext!$H$35)/30</f>
        <v>56</v>
      </c>
      <c r="AG1056" s="83">
        <f t="shared" si="96"/>
        <v>52.1</v>
      </c>
      <c r="AH1056" s="65"/>
      <c r="AI1056" s="81" t="s">
        <v>22</v>
      </c>
      <c r="AJ1056" s="69">
        <v>7</v>
      </c>
      <c r="AK1056" s="70"/>
      <c r="AL1056" s="383">
        <f>ROUNDDOWN(II1Ext!$H$30*AF1056/500,1)*5</f>
        <v>22</v>
      </c>
      <c r="AM1056" s="352">
        <f t="shared" si="98"/>
        <v>21</v>
      </c>
      <c r="AN1056" s="73">
        <f t="shared" si="97"/>
        <v>1.5</v>
      </c>
    </row>
    <row r="1057" spans="21:40" ht="12.75" customHeight="1" x14ac:dyDescent="0.2">
      <c r="U1057" s="376"/>
      <c r="V1057" s="375"/>
      <c r="W1057" s="360"/>
      <c r="X1057" s="360"/>
      <c r="Y1057" s="65"/>
      <c r="Z1057" s="360"/>
      <c r="AA1057" s="360"/>
      <c r="AB1057" s="46"/>
      <c r="AC1057" s="78" t="s">
        <v>50</v>
      </c>
      <c r="AD1057" s="59">
        <v>6</v>
      </c>
      <c r="AE1057" s="65"/>
      <c r="AF1057" s="60">
        <f>II1Ext!$H$35+6*(100-II1Ext!$H$35)/30</f>
        <v>52</v>
      </c>
      <c r="AG1057" s="61">
        <f t="shared" si="96"/>
        <v>48.1</v>
      </c>
      <c r="AH1057" s="65"/>
      <c r="AI1057" s="78" t="s">
        <v>50</v>
      </c>
      <c r="AJ1057" s="59">
        <v>6</v>
      </c>
      <c r="AK1057" s="65"/>
      <c r="AL1057" s="383">
        <f>ROUNDDOWN(II1Ext!$H$30*AF1057/500,1)*5</f>
        <v>20.5</v>
      </c>
      <c r="AM1057" s="352">
        <f t="shared" si="98"/>
        <v>19.5</v>
      </c>
      <c r="AN1057" s="63">
        <f t="shared" si="97"/>
        <v>1.5</v>
      </c>
    </row>
    <row r="1058" spans="21:40" ht="12.75" customHeight="1" x14ac:dyDescent="0.2">
      <c r="U1058" s="376"/>
      <c r="V1058" s="375"/>
      <c r="W1058" s="360"/>
      <c r="X1058" s="360"/>
      <c r="Y1058" s="65"/>
      <c r="Z1058" s="360"/>
      <c r="AA1058" s="360"/>
      <c r="AB1058" s="46"/>
      <c r="AC1058" s="58">
        <v>4</v>
      </c>
      <c r="AD1058" s="59">
        <v>5</v>
      </c>
      <c r="AE1058" s="65"/>
      <c r="AF1058" s="60">
        <f>II1Ext!$H$35+4*(100-II1Ext!$H$35)/30</f>
        <v>48</v>
      </c>
      <c r="AG1058" s="61">
        <f t="shared" si="96"/>
        <v>44.1</v>
      </c>
      <c r="AH1058" s="65"/>
      <c r="AI1058" s="58">
        <v>4</v>
      </c>
      <c r="AJ1058" s="59">
        <v>5</v>
      </c>
      <c r="AK1058" s="65"/>
      <c r="AL1058" s="383">
        <f>ROUNDDOWN(II1Ext!$H$30*AF1058/500,1)*5</f>
        <v>19</v>
      </c>
      <c r="AM1058" s="352">
        <f t="shared" si="98"/>
        <v>18</v>
      </c>
      <c r="AN1058" s="63">
        <f t="shared" si="97"/>
        <v>1.5</v>
      </c>
    </row>
    <row r="1059" spans="21:40" ht="12.75" customHeight="1" x14ac:dyDescent="0.2">
      <c r="U1059" s="376"/>
      <c r="V1059" s="375"/>
      <c r="W1059" s="360"/>
      <c r="X1059" s="360"/>
      <c r="Y1059" s="65"/>
      <c r="Z1059" s="360"/>
      <c r="AA1059" s="360"/>
      <c r="AB1059" s="46"/>
      <c r="AC1059" s="81" t="s">
        <v>22</v>
      </c>
      <c r="AD1059" s="69">
        <v>4</v>
      </c>
      <c r="AE1059" s="70"/>
      <c r="AF1059" s="82">
        <f>II1Ext!$H$35+2*(100-II1Ext!$H$35)/30</f>
        <v>44</v>
      </c>
      <c r="AG1059" s="83">
        <f t="shared" si="96"/>
        <v>40.1</v>
      </c>
      <c r="AH1059" s="65"/>
      <c r="AI1059" s="81" t="s">
        <v>22</v>
      </c>
      <c r="AJ1059" s="69">
        <v>4</v>
      </c>
      <c r="AK1059" s="70"/>
      <c r="AL1059" s="383">
        <f>ROUNDDOWN(II1Ext!$H$30*AF1059/500,1)*5</f>
        <v>17.5</v>
      </c>
      <c r="AM1059" s="352">
        <f t="shared" si="98"/>
        <v>16.5</v>
      </c>
      <c r="AN1059" s="73">
        <f t="shared" si="97"/>
        <v>1.5</v>
      </c>
    </row>
    <row r="1060" spans="21:40" ht="12.75" customHeight="1" x14ac:dyDescent="0.2">
      <c r="U1060" s="376"/>
      <c r="V1060" s="375"/>
      <c r="W1060" s="360"/>
      <c r="X1060" s="360"/>
      <c r="Y1060" s="65"/>
      <c r="Z1060" s="360"/>
      <c r="AA1060" s="360"/>
      <c r="AB1060" s="46"/>
      <c r="AC1060" s="78" t="s">
        <v>50</v>
      </c>
      <c r="AD1060" s="59">
        <v>3</v>
      </c>
      <c r="AE1060" s="65"/>
      <c r="AF1060" s="60">
        <f>II1Ext!$H$35</f>
        <v>40</v>
      </c>
      <c r="AG1060" s="61">
        <f>AF1061+0.01</f>
        <v>33.343333333333334</v>
      </c>
      <c r="AH1060" s="65"/>
      <c r="AI1060" s="78" t="s">
        <v>50</v>
      </c>
      <c r="AJ1060" s="59">
        <v>3</v>
      </c>
      <c r="AK1060" s="65"/>
      <c r="AL1060" s="383">
        <f>ROUNDDOWN(II1Ext!$H$30*AF1060/500,1)*5</f>
        <v>16</v>
      </c>
      <c r="AM1060" s="352">
        <f t="shared" si="98"/>
        <v>13.5</v>
      </c>
      <c r="AN1060" s="63">
        <f t="shared" si="97"/>
        <v>3</v>
      </c>
    </row>
    <row r="1061" spans="21:40" ht="12.75" customHeight="1" x14ac:dyDescent="0.2">
      <c r="U1061" s="376"/>
      <c r="V1061" s="375"/>
      <c r="W1061" s="360"/>
      <c r="X1061" s="360"/>
      <c r="Y1061" s="65"/>
      <c r="Z1061" s="360"/>
      <c r="AA1061" s="360"/>
      <c r="AB1061" s="46"/>
      <c r="AC1061" s="58">
        <v>5</v>
      </c>
      <c r="AD1061" s="59">
        <v>2</v>
      </c>
      <c r="AE1061" s="65"/>
      <c r="AF1061" s="60">
        <f>AG1062+2*(AF1060-AG1062)/3</f>
        <v>33.333333333333336</v>
      </c>
      <c r="AG1061" s="61">
        <f>AF1062+0.01</f>
        <v>26.676666666666669</v>
      </c>
      <c r="AH1061" s="65"/>
      <c r="AI1061" s="58">
        <v>5</v>
      </c>
      <c r="AJ1061" s="59">
        <v>2</v>
      </c>
      <c r="AK1061" s="65"/>
      <c r="AL1061" s="383">
        <f>ROUNDDOWN(II1Ext!$H$30*AF1061/500,1)*5</f>
        <v>13</v>
      </c>
      <c r="AM1061" s="352">
        <f t="shared" si="98"/>
        <v>11</v>
      </c>
      <c r="AN1061" s="63">
        <f t="shared" si="97"/>
        <v>2.5</v>
      </c>
    </row>
    <row r="1062" spans="21:40" ht="12.75" customHeight="1" x14ac:dyDescent="0.2">
      <c r="U1062" s="376"/>
      <c r="V1062" s="375"/>
      <c r="W1062" s="360"/>
      <c r="X1062" s="375"/>
      <c r="Y1062" s="65"/>
      <c r="Z1062" s="360"/>
      <c r="AA1062" s="360"/>
      <c r="AB1062" s="46"/>
      <c r="AC1062" s="81" t="s">
        <v>22</v>
      </c>
      <c r="AD1062" s="69">
        <v>1</v>
      </c>
      <c r="AE1062" s="70"/>
      <c r="AF1062" s="82">
        <f>AG1062+(AF1060-AG1062)/3</f>
        <v>26.666666666666668</v>
      </c>
      <c r="AG1062" s="83">
        <f>II1Ext!$H$34</f>
        <v>20</v>
      </c>
      <c r="AH1062" s="65"/>
      <c r="AI1062" s="81" t="s">
        <v>22</v>
      </c>
      <c r="AJ1062" s="69">
        <v>1</v>
      </c>
      <c r="AK1062" s="70"/>
      <c r="AL1062" s="383">
        <f>ROUNDDOWN(II1Ext!$H$30*AF1062/500,1)*5</f>
        <v>10.5</v>
      </c>
      <c r="AM1062" s="72">
        <f>ROUNDUP(II1Ext!$H$30*(II1Ext!$H$34/500),1)*5</f>
        <v>8</v>
      </c>
      <c r="AN1062" s="73">
        <f t="shared" si="97"/>
        <v>3</v>
      </c>
    </row>
    <row r="1063" spans="21:40" ht="12.75" customHeight="1" thickBot="1" x14ac:dyDescent="0.25">
      <c r="U1063" s="375"/>
      <c r="V1063" s="375"/>
      <c r="W1063" s="360"/>
      <c r="X1063" s="360"/>
      <c r="Y1063" s="65"/>
      <c r="Z1063" s="360"/>
      <c r="AA1063" s="360"/>
      <c r="AB1063" s="46"/>
      <c r="AC1063" s="89">
        <v>6</v>
      </c>
      <c r="AD1063" s="90">
        <v>0</v>
      </c>
      <c r="AE1063" s="91"/>
      <c r="AF1063" s="96">
        <f>II1Ext!$H$34-0.1</f>
        <v>19.899999999999999</v>
      </c>
      <c r="AG1063" s="97">
        <v>0</v>
      </c>
      <c r="AH1063" s="65"/>
      <c r="AI1063" s="89">
        <v>6</v>
      </c>
      <c r="AJ1063" s="90">
        <v>0</v>
      </c>
      <c r="AK1063" s="91"/>
      <c r="AL1063" s="92">
        <f>AM1062-0.5</f>
        <v>7.5</v>
      </c>
      <c r="AM1063" s="93">
        <v>0</v>
      </c>
      <c r="AN1063" s="94">
        <f>IF(AM1063&gt;AM1062,"ALARM",AL1063)</f>
        <v>7.5</v>
      </c>
    </row>
    <row r="1064" spans="21:40" ht="12.75" customHeight="1" x14ac:dyDescent="0.2"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</row>
    <row r="1065" spans="21:40" ht="12.75" customHeight="1" x14ac:dyDescent="0.2"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</row>
    <row r="1066" spans="21:40" ht="12.75" customHeight="1" x14ac:dyDescent="0.2"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</row>
    <row r="1067" spans="21:40" ht="12.75" customHeight="1" x14ac:dyDescent="0.2"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</row>
    <row r="1068" spans="21:40" ht="12.75" customHeight="1" x14ac:dyDescent="0.2"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</row>
    <row r="1069" spans="21:40" ht="12.75" customHeight="1" x14ac:dyDescent="0.2"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</row>
    <row r="1070" spans="21:40" ht="12.75" customHeight="1" x14ac:dyDescent="0.2"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</row>
    <row r="1071" spans="21:40" ht="12.75" customHeight="1" x14ac:dyDescent="0.2"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</row>
    <row r="1072" spans="21:40" ht="12.75" customHeight="1" x14ac:dyDescent="0.2"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</row>
    <row r="1073" spans="21:40" ht="12.75" customHeight="1" x14ac:dyDescent="0.2"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</row>
    <row r="1074" spans="21:40" ht="12.75" customHeight="1" x14ac:dyDescent="0.2"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</row>
    <row r="1075" spans="21:40" ht="12.75" customHeight="1" x14ac:dyDescent="0.2"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</row>
    <row r="1076" spans="21:40" ht="12.75" customHeight="1" x14ac:dyDescent="0.2"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</row>
    <row r="1077" spans="21:40" ht="12.75" customHeight="1" x14ac:dyDescent="0.2"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</row>
    <row r="1078" spans="21:40" ht="12.75" customHeight="1" x14ac:dyDescent="0.2"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</row>
    <row r="1079" spans="21:40" ht="12.75" customHeight="1" x14ac:dyDescent="0.2"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</row>
    <row r="1080" spans="21:40" ht="12.75" customHeight="1" x14ac:dyDescent="0.2"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</row>
    <row r="1081" spans="21:40" ht="12.75" customHeight="1" x14ac:dyDescent="0.2"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</row>
    <row r="1082" spans="21:40" ht="12.75" customHeight="1" x14ac:dyDescent="0.2"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</row>
    <row r="1083" spans="21:40" ht="12.75" customHeight="1" x14ac:dyDescent="0.2"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</row>
    <row r="1084" spans="21:40" ht="12.75" customHeight="1" x14ac:dyDescent="0.2"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</row>
    <row r="1085" spans="21:40" ht="12.75" customHeight="1" x14ac:dyDescent="0.2"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</row>
    <row r="1086" spans="21:40" ht="12.75" customHeight="1" x14ac:dyDescent="0.2"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</row>
    <row r="1087" spans="21:40" ht="12.75" customHeight="1" x14ac:dyDescent="0.2"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</row>
    <row r="1088" spans="21:40" ht="12.75" customHeight="1" x14ac:dyDescent="0.2"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</row>
    <row r="1089" spans="20:40" ht="12.75" customHeight="1" x14ac:dyDescent="0.2"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</row>
    <row r="1090" spans="20:40" ht="12.75" customHeight="1" x14ac:dyDescent="0.2"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</row>
    <row r="1091" spans="20:40" ht="12.75" customHeight="1" x14ac:dyDescent="0.2"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</row>
    <row r="1092" spans="20:40" ht="12.75" customHeight="1" x14ac:dyDescent="0.2"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</row>
    <row r="1093" spans="20:40" ht="12.75" customHeight="1" x14ac:dyDescent="0.2"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</row>
    <row r="1094" spans="20:40" ht="12.75" customHeight="1" x14ac:dyDescent="0.2"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</row>
    <row r="1101" spans="20:40" ht="12.75" customHeight="1" thickBot="1" x14ac:dyDescent="0.25"/>
    <row r="1102" spans="20:40" ht="12.75" customHeight="1" x14ac:dyDescent="0.2">
      <c r="T1102" s="177" t="s">
        <v>79</v>
      </c>
      <c r="U1102" s="47"/>
      <c r="V1102" s="48"/>
      <c r="W1102" s="455" t="s">
        <v>39</v>
      </c>
      <c r="X1102" s="456"/>
      <c r="Y1102" s="465" t="s">
        <v>32</v>
      </c>
      <c r="Z1102" s="463" t="s">
        <v>40</v>
      </c>
      <c r="AA1102" s="464"/>
      <c r="AB1102" s="46"/>
      <c r="AC1102" s="49" t="s">
        <v>17</v>
      </c>
      <c r="AD1102" s="50" t="s">
        <v>32</v>
      </c>
      <c r="AE1102" s="51"/>
      <c r="AF1102" s="461" t="s">
        <v>41</v>
      </c>
      <c r="AG1102" s="462"/>
      <c r="AH1102" s="52"/>
      <c r="AI1102" s="49" t="s">
        <v>17</v>
      </c>
      <c r="AJ1102" s="50" t="s">
        <v>32</v>
      </c>
      <c r="AK1102" s="53"/>
      <c r="AL1102" s="452" t="s">
        <v>42</v>
      </c>
      <c r="AM1102" s="453"/>
      <c r="AN1102" s="54" t="s">
        <v>43</v>
      </c>
    </row>
    <row r="1103" spans="20:40" ht="12.75" customHeight="1" x14ac:dyDescent="0.2">
      <c r="U1103" s="55" t="s">
        <v>44</v>
      </c>
      <c r="V1103" s="41" t="s">
        <v>43</v>
      </c>
      <c r="W1103" s="457" t="s">
        <v>42</v>
      </c>
      <c r="X1103" s="458"/>
      <c r="Y1103" s="466"/>
      <c r="Z1103" s="459" t="s">
        <v>45</v>
      </c>
      <c r="AA1103" s="460"/>
      <c r="AB1103" s="46"/>
      <c r="AC1103" s="58"/>
      <c r="AD1103" s="59"/>
      <c r="AE1103" s="57"/>
      <c r="AF1103" s="60" t="s">
        <v>46</v>
      </c>
      <c r="AG1103" s="61" t="s">
        <v>47</v>
      </c>
      <c r="AH1103" s="52"/>
      <c r="AI1103" s="58"/>
      <c r="AJ1103" s="59"/>
      <c r="AK1103" s="57"/>
      <c r="AL1103" s="57" t="s">
        <v>46</v>
      </c>
      <c r="AM1103" s="62" t="s">
        <v>47</v>
      </c>
      <c r="AN1103" s="63"/>
    </row>
    <row r="1104" spans="20:40" ht="12.75" customHeight="1" x14ac:dyDescent="0.2">
      <c r="U1104" s="64" t="s">
        <v>48</v>
      </c>
      <c r="V1104" s="41" t="s">
        <v>39</v>
      </c>
      <c r="W1104" s="56" t="s">
        <v>46</v>
      </c>
      <c r="X1104" s="57" t="s">
        <v>47</v>
      </c>
      <c r="Y1104" s="466"/>
      <c r="Z1104" s="459" t="s">
        <v>49</v>
      </c>
      <c r="AA1104" s="460"/>
      <c r="AB1104" s="65"/>
      <c r="AC1104" s="58"/>
      <c r="AD1104" s="59"/>
      <c r="AE1104" s="65"/>
      <c r="AF1104" s="66"/>
      <c r="AG1104" s="67"/>
      <c r="AH1104" s="65"/>
      <c r="AI1104" s="68"/>
      <c r="AJ1104" s="69"/>
      <c r="AK1104" s="70"/>
      <c r="AL1104" s="71"/>
      <c r="AM1104" s="72"/>
      <c r="AN1104" s="73"/>
    </row>
    <row r="1105" spans="21:40" ht="12.75" customHeight="1" x14ac:dyDescent="0.2">
      <c r="U1105" s="74"/>
      <c r="V1105" s="42"/>
      <c r="W1105" s="75"/>
      <c r="X1105" s="71"/>
      <c r="Y1105" s="467"/>
      <c r="Z1105" s="115"/>
      <c r="AA1105" s="63"/>
      <c r="AB1105" s="65"/>
      <c r="AC1105" s="68"/>
      <c r="AD1105" s="69"/>
      <c r="AE1105" s="70"/>
      <c r="AF1105" s="76"/>
      <c r="AG1105" s="77"/>
      <c r="AH1105" s="65"/>
      <c r="AI1105" s="78" t="s">
        <v>50</v>
      </c>
      <c r="AJ1105" s="59">
        <v>15</v>
      </c>
      <c r="AK1105" s="65"/>
      <c r="AL1105" s="79">
        <f>II2Ext!$H$30</f>
        <v>40</v>
      </c>
      <c r="AM1105" s="62">
        <f>AL1106+0.5</f>
        <v>38.5</v>
      </c>
      <c r="AN1105" s="63">
        <f t="shared" ref="AN1105:AN1119" si="99">IF(AM1105&gt;AL1105,"ALARM",AL1105-AL1106)</f>
        <v>2</v>
      </c>
    </row>
    <row r="1106" spans="21:40" ht="12.75" customHeight="1" x14ac:dyDescent="0.2">
      <c r="U1106" s="108">
        <f>+II2Ext!A43</f>
        <v>0</v>
      </c>
      <c r="V1106" s="110">
        <f>IF(II2Ext!$H$32="M",AN1105+U1106,AN1148+U1106)</f>
        <v>2</v>
      </c>
      <c r="W1106" s="380">
        <f>II2Ext!$H$30</f>
        <v>40</v>
      </c>
      <c r="X1106" s="353">
        <f>W1107+0.5</f>
        <v>38.5</v>
      </c>
      <c r="Y1106" s="56">
        <v>15</v>
      </c>
      <c r="Z1106" s="117" t="str">
        <f>IF(ABS(IF(II2Ext!$H$32="M",AL1105-W1106,AL1148-W1106))&gt;1,"ALARM"," ")</f>
        <v xml:space="preserve"> </v>
      </c>
      <c r="AA1106" s="114" t="str">
        <f>IF(ABS(IF(II2Ext!$H$32="M",AM1105-X1106,AM1148-X1106))&gt;1,"ALARM"," ")</f>
        <v xml:space="preserve"> </v>
      </c>
      <c r="AB1106" s="65"/>
      <c r="AC1106" s="78" t="s">
        <v>50</v>
      </c>
      <c r="AD1106" s="59">
        <v>15</v>
      </c>
      <c r="AE1106" s="65"/>
      <c r="AF1106" s="60">
        <f>II2Ext!$H$35+12*(100-II2Ext!$H$35)/12</f>
        <v>100</v>
      </c>
      <c r="AG1106" s="61">
        <f t="shared" ref="AG1106:AG1117" si="100">AF1107+0.1</f>
        <v>95.1</v>
      </c>
      <c r="AH1106" s="65"/>
      <c r="AI1106" s="58">
        <v>1</v>
      </c>
      <c r="AJ1106" s="59">
        <v>14</v>
      </c>
      <c r="AK1106" s="65"/>
      <c r="AL1106" s="57">
        <f>ROUNDDOWN(II2Ext!$H$30*AF1107/500,1)*5</f>
        <v>38</v>
      </c>
      <c r="AM1106" s="352">
        <f t="shared" ref="AM1106:AM1118" si="101">AL1107+0.5</f>
        <v>36.5</v>
      </c>
      <c r="AN1106" s="63">
        <f t="shared" si="99"/>
        <v>2</v>
      </c>
    </row>
    <row r="1107" spans="21:40" ht="12.75" customHeight="1" x14ac:dyDescent="0.2">
      <c r="U1107" s="108">
        <f>+II2Ext!A44</f>
        <v>0</v>
      </c>
      <c r="V1107" s="111">
        <f>IF(II2Ext!$H$32="M",AN1106+U1107,AN1149+U1107)</f>
        <v>2</v>
      </c>
      <c r="W1107" s="380">
        <f t="shared" ref="W1107:W1121" si="102">W1106-V1106</f>
        <v>38</v>
      </c>
      <c r="X1107" s="353">
        <f t="shared" ref="X1107:X1120" si="103">W1108+0.5</f>
        <v>36.5</v>
      </c>
      <c r="Y1107" s="56">
        <v>14</v>
      </c>
      <c r="Z1107" s="115" t="str">
        <f>IF(ABS(IF(II2Ext!$H$32="M",AL1106-W1107,AL1149-W1107))&gt;1,"ALARM"," ")</f>
        <v xml:space="preserve"> </v>
      </c>
      <c r="AA1107" s="63" t="str">
        <f>IF(ABS(IF(II2Ext!$H$32="M",AM1106-X1107,AM1149-X1107))&gt;1,"ALARM"," ")</f>
        <v xml:space="preserve"> </v>
      </c>
      <c r="AB1107" s="65"/>
      <c r="AC1107" s="58">
        <v>1</v>
      </c>
      <c r="AD1107" s="59">
        <v>14</v>
      </c>
      <c r="AE1107" s="65"/>
      <c r="AF1107" s="60">
        <f>II2Ext!$H$35+11*(100-II2Ext!$H$35)/12</f>
        <v>95</v>
      </c>
      <c r="AG1107" s="61">
        <f t="shared" si="100"/>
        <v>90.1</v>
      </c>
      <c r="AH1107" s="65"/>
      <c r="AI1107" s="81" t="s">
        <v>22</v>
      </c>
      <c r="AJ1107" s="69">
        <v>13</v>
      </c>
      <c r="AK1107" s="70"/>
      <c r="AL1107" s="383">
        <f>ROUNDDOWN(II2Ext!$H$30*AF1108/500,1)*5</f>
        <v>36</v>
      </c>
      <c r="AM1107" s="352">
        <f t="shared" si="101"/>
        <v>34.5</v>
      </c>
      <c r="AN1107" s="73">
        <f t="shared" si="99"/>
        <v>2</v>
      </c>
    </row>
    <row r="1108" spans="21:40" ht="12.75" customHeight="1" x14ac:dyDescent="0.2">
      <c r="U1108" s="108">
        <f>+II2Ext!A45</f>
        <v>0</v>
      </c>
      <c r="V1108" s="111">
        <f>IF(II2Ext!$H$32="M",AN1107+U1108,AN1150+U1108)</f>
        <v>2</v>
      </c>
      <c r="W1108" s="381">
        <f t="shared" si="102"/>
        <v>36</v>
      </c>
      <c r="X1108" s="353">
        <f t="shared" si="103"/>
        <v>34.5</v>
      </c>
      <c r="Y1108" s="75">
        <v>13</v>
      </c>
      <c r="Z1108" s="118" t="str">
        <f>IF(ABS(IF(II2Ext!$H$32="M",AL1107-W1108,AL1150-W1108))&gt;1,"ALARM"," ")</f>
        <v xml:space="preserve"> </v>
      </c>
      <c r="AA1108" s="73" t="str">
        <f>IF(ABS(IF(II2Ext!$H$32="M",AM1107-X1108,AM1150-X1108))&gt;1,"ALARM"," ")</f>
        <v xml:space="preserve"> </v>
      </c>
      <c r="AB1108" s="65"/>
      <c r="AC1108" s="81" t="s">
        <v>22</v>
      </c>
      <c r="AD1108" s="69">
        <v>13</v>
      </c>
      <c r="AE1108" s="70"/>
      <c r="AF1108" s="82">
        <f>II2Ext!$H$35+10*(100-II2Ext!$H$35)/12</f>
        <v>90</v>
      </c>
      <c r="AG1108" s="83">
        <f t="shared" si="100"/>
        <v>85.1</v>
      </c>
      <c r="AH1108" s="65"/>
      <c r="AI1108" s="78" t="s">
        <v>50</v>
      </c>
      <c r="AJ1108" s="59">
        <v>12</v>
      </c>
      <c r="AK1108" s="65"/>
      <c r="AL1108" s="383">
        <f>ROUNDDOWN(II2Ext!$H$30*AF1109/500,1)*5</f>
        <v>34</v>
      </c>
      <c r="AM1108" s="352">
        <f t="shared" si="101"/>
        <v>32.5</v>
      </c>
      <c r="AN1108" s="63">
        <f t="shared" si="99"/>
        <v>2</v>
      </c>
    </row>
    <row r="1109" spans="21:40" ht="12.75" customHeight="1" x14ac:dyDescent="0.2">
      <c r="U1109" s="108">
        <f>+II2Ext!A46</f>
        <v>0</v>
      </c>
      <c r="V1109" s="110">
        <f>IF(II2Ext!$H$32="M",AN1108+U1109,AN1151+U1109)</f>
        <v>2</v>
      </c>
      <c r="W1109" s="380">
        <f t="shared" si="102"/>
        <v>34</v>
      </c>
      <c r="X1109" s="353">
        <f t="shared" si="103"/>
        <v>32.5</v>
      </c>
      <c r="Y1109" s="56">
        <v>12</v>
      </c>
      <c r="Z1109" s="115" t="str">
        <f>IF(ABS(IF(II2Ext!$H$32="M",AL1108-W1109,AL1151-W1109))&gt;1,"ALARM"," ")</f>
        <v xml:space="preserve"> </v>
      </c>
      <c r="AA1109" s="63" t="str">
        <f>IF(ABS(IF(II2Ext!$H$32="M",AM1108-X1109,AM1151-X1109))&gt;1,"ALARM"," ")</f>
        <v xml:space="preserve"> </v>
      </c>
      <c r="AB1109" s="65"/>
      <c r="AC1109" s="78" t="s">
        <v>50</v>
      </c>
      <c r="AD1109" s="59">
        <v>12</v>
      </c>
      <c r="AE1109" s="65"/>
      <c r="AF1109" s="60">
        <f>II2Ext!$H$35+9*(100-II2Ext!$H$35)/12</f>
        <v>85</v>
      </c>
      <c r="AG1109" s="61">
        <f t="shared" si="100"/>
        <v>80.099999999999994</v>
      </c>
      <c r="AH1109" s="65"/>
      <c r="AI1109" s="58">
        <v>2</v>
      </c>
      <c r="AJ1109" s="59">
        <v>11</v>
      </c>
      <c r="AK1109" s="65"/>
      <c r="AL1109" s="383">
        <f>ROUNDDOWN(II2Ext!$H$30*AF1110/500,1)*5</f>
        <v>32</v>
      </c>
      <c r="AM1109" s="352">
        <f t="shared" si="101"/>
        <v>30.5</v>
      </c>
      <c r="AN1109" s="63">
        <f t="shared" si="99"/>
        <v>2</v>
      </c>
    </row>
    <row r="1110" spans="21:40" ht="12.75" customHeight="1" x14ac:dyDescent="0.2">
      <c r="U1110" s="108">
        <f>+II2Ext!A47</f>
        <v>0</v>
      </c>
      <c r="V1110" s="111">
        <f>IF(II2Ext!$H$32="M",AN1109+U1110,AN1152+U1110)</f>
        <v>2</v>
      </c>
      <c r="W1110" s="380">
        <f t="shared" si="102"/>
        <v>32</v>
      </c>
      <c r="X1110" s="353">
        <f t="shared" si="103"/>
        <v>30.5</v>
      </c>
      <c r="Y1110" s="56">
        <v>11</v>
      </c>
      <c r="Z1110" s="115" t="str">
        <f>IF(ABS(IF(II2Ext!$H$32="M",AL1109-W1110,AL1152-W1110))&gt;1,"ALARM"," ")</f>
        <v xml:space="preserve"> </v>
      </c>
      <c r="AA1110" s="63" t="str">
        <f>IF(ABS(IF(II2Ext!$H$32="M",AM1109-X1110,AM1152-X1110))&gt;1,"ALARM"," ")</f>
        <v xml:space="preserve"> </v>
      </c>
      <c r="AB1110" s="65"/>
      <c r="AC1110" s="58">
        <v>2</v>
      </c>
      <c r="AD1110" s="59">
        <v>11</v>
      </c>
      <c r="AE1110" s="65"/>
      <c r="AF1110" s="60">
        <f>II2Ext!$H$35+8*(100-II2Ext!$H$35)/12</f>
        <v>80</v>
      </c>
      <c r="AG1110" s="61">
        <f t="shared" si="100"/>
        <v>75.099999999999994</v>
      </c>
      <c r="AH1110" s="65"/>
      <c r="AI1110" s="81" t="s">
        <v>22</v>
      </c>
      <c r="AJ1110" s="69">
        <v>10</v>
      </c>
      <c r="AK1110" s="70"/>
      <c r="AL1110" s="383">
        <f>ROUNDDOWN(II2Ext!$H$30*AF1111/500,1)*5</f>
        <v>30</v>
      </c>
      <c r="AM1110" s="352">
        <f t="shared" si="101"/>
        <v>28.5</v>
      </c>
      <c r="AN1110" s="73">
        <f t="shared" si="99"/>
        <v>2</v>
      </c>
    </row>
    <row r="1111" spans="21:40" ht="12.75" customHeight="1" x14ac:dyDescent="0.2">
      <c r="U1111" s="108">
        <f>+II2Ext!A48</f>
        <v>0</v>
      </c>
      <c r="V1111" s="113">
        <f>IF(II2Ext!$H$32="M",AN1110+U1111,AN1153+U1111)</f>
        <v>2</v>
      </c>
      <c r="W1111" s="381">
        <f t="shared" si="102"/>
        <v>30</v>
      </c>
      <c r="X1111" s="353">
        <f t="shared" si="103"/>
        <v>28.5</v>
      </c>
      <c r="Y1111" s="75">
        <v>10</v>
      </c>
      <c r="Z1111" s="115" t="str">
        <f>IF(ABS(IF(II2Ext!$H$32="M",AL1110-W1111,AL1153-W1111))&gt;1,"ALARM"," ")</f>
        <v xml:space="preserve"> </v>
      </c>
      <c r="AA1111" s="63" t="str">
        <f>IF(ABS(IF(II2Ext!$H$32="M",AM1110-X1111,AM1153-X1111))&gt;1,"ALARM"," ")</f>
        <v xml:space="preserve"> </v>
      </c>
      <c r="AB1111" s="65"/>
      <c r="AC1111" s="81" t="s">
        <v>22</v>
      </c>
      <c r="AD1111" s="69">
        <v>10</v>
      </c>
      <c r="AE1111" s="70"/>
      <c r="AF1111" s="82">
        <f>II2Ext!$H$35+7*(100-II2Ext!$H$35)/12</f>
        <v>75</v>
      </c>
      <c r="AG1111" s="83">
        <f t="shared" si="100"/>
        <v>70.099999999999994</v>
      </c>
      <c r="AH1111" s="65"/>
      <c r="AI1111" s="78" t="s">
        <v>50</v>
      </c>
      <c r="AJ1111" s="59">
        <v>9</v>
      </c>
      <c r="AK1111" s="65"/>
      <c r="AL1111" s="383">
        <f>ROUNDDOWN(II2Ext!$H$30*AF1112/500,1)*5</f>
        <v>28</v>
      </c>
      <c r="AM1111" s="352">
        <f t="shared" si="101"/>
        <v>26.5</v>
      </c>
      <c r="AN1111" s="63">
        <f t="shared" si="99"/>
        <v>2</v>
      </c>
    </row>
    <row r="1112" spans="21:40" ht="12.75" customHeight="1" x14ac:dyDescent="0.2">
      <c r="U1112" s="108">
        <f>+II2Ext!A49</f>
        <v>0</v>
      </c>
      <c r="V1112" s="111">
        <f>IF(II2Ext!$H$32="M",AN1111+U1112,AN1154+U1112)</f>
        <v>2</v>
      </c>
      <c r="W1112" s="380">
        <f t="shared" si="102"/>
        <v>28</v>
      </c>
      <c r="X1112" s="353">
        <f t="shared" si="103"/>
        <v>26.5</v>
      </c>
      <c r="Y1112" s="56">
        <v>9</v>
      </c>
      <c r="Z1112" s="117" t="str">
        <f>IF(ABS(IF(II2Ext!$H$32="M",AL1111-W1112,AL1154-W1112))&gt;1,"ALARM"," ")</f>
        <v xml:space="preserve"> </v>
      </c>
      <c r="AA1112" s="114" t="str">
        <f>IF(ABS(IF(II2Ext!$H$32="M",AM1111-X1112,AM1154-X1112))&gt;1,"ALARM"," ")</f>
        <v xml:space="preserve"> </v>
      </c>
      <c r="AB1112" s="65"/>
      <c r="AC1112" s="78" t="s">
        <v>50</v>
      </c>
      <c r="AD1112" s="59">
        <v>9</v>
      </c>
      <c r="AE1112" s="65"/>
      <c r="AF1112" s="60">
        <f>II2Ext!$H$35+6*(100-II2Ext!$H$35)/12</f>
        <v>70</v>
      </c>
      <c r="AG1112" s="61">
        <f t="shared" si="100"/>
        <v>65.099999999999994</v>
      </c>
      <c r="AH1112" s="65"/>
      <c r="AI1112" s="58">
        <v>3</v>
      </c>
      <c r="AJ1112" s="59">
        <v>8</v>
      </c>
      <c r="AK1112" s="65"/>
      <c r="AL1112" s="383">
        <f>ROUNDDOWN(II2Ext!$H$30*AF1113/500,1)*5</f>
        <v>26</v>
      </c>
      <c r="AM1112" s="352">
        <f t="shared" si="101"/>
        <v>24.5</v>
      </c>
      <c r="AN1112" s="63">
        <f t="shared" si="99"/>
        <v>2</v>
      </c>
    </row>
    <row r="1113" spans="21:40" ht="12.75" customHeight="1" x14ac:dyDescent="0.2">
      <c r="U1113" s="108">
        <f>+II2Ext!A50</f>
        <v>0</v>
      </c>
      <c r="V1113" s="111">
        <f>IF(II2Ext!$H$32="M",AN1112+U1113,AN1155+U1113)</f>
        <v>2</v>
      </c>
      <c r="W1113" s="380">
        <f t="shared" si="102"/>
        <v>26</v>
      </c>
      <c r="X1113" s="353">
        <f t="shared" si="103"/>
        <v>24.5</v>
      </c>
      <c r="Y1113" s="56">
        <v>8</v>
      </c>
      <c r="Z1113" s="115" t="str">
        <f>IF(ABS(IF(II2Ext!$H$32="M",AL1112-W1113,AL1155-W1113))&gt;1,"ALARM"," ")</f>
        <v xml:space="preserve"> </v>
      </c>
      <c r="AA1113" s="63" t="str">
        <f>IF(ABS(IF(II2Ext!$H$32="M",AM1112-X1113,AM1155-X1113))&gt;1,"ALARM"," ")</f>
        <v xml:space="preserve"> </v>
      </c>
      <c r="AB1113" s="65"/>
      <c r="AC1113" s="58">
        <v>3</v>
      </c>
      <c r="AD1113" s="59">
        <v>8</v>
      </c>
      <c r="AE1113" s="65"/>
      <c r="AF1113" s="60">
        <f>II2Ext!$H$35+5*(100-II2Ext!$H$35)/12</f>
        <v>65</v>
      </c>
      <c r="AG1113" s="61">
        <f t="shared" si="100"/>
        <v>60.1</v>
      </c>
      <c r="AH1113" s="65"/>
      <c r="AI1113" s="81" t="s">
        <v>22</v>
      </c>
      <c r="AJ1113" s="69">
        <v>7</v>
      </c>
      <c r="AK1113" s="70"/>
      <c r="AL1113" s="383">
        <f>ROUNDDOWN(II2Ext!$H$30*AF1114/500,1)*5</f>
        <v>24</v>
      </c>
      <c r="AM1113" s="352">
        <f t="shared" si="101"/>
        <v>22.5</v>
      </c>
      <c r="AN1113" s="73">
        <f t="shared" si="99"/>
        <v>2</v>
      </c>
    </row>
    <row r="1114" spans="21:40" ht="12.75" customHeight="1" x14ac:dyDescent="0.2">
      <c r="U1114" s="108">
        <f>+II2Ext!A51</f>
        <v>0</v>
      </c>
      <c r="V1114" s="111">
        <f>IF(II2Ext!$H$32="M",AN1113+U1114,AN1156+U1114)</f>
        <v>2</v>
      </c>
      <c r="W1114" s="381">
        <f t="shared" si="102"/>
        <v>24</v>
      </c>
      <c r="X1114" s="353">
        <f t="shared" si="103"/>
        <v>22.5</v>
      </c>
      <c r="Y1114" s="75">
        <v>7</v>
      </c>
      <c r="Z1114" s="118" t="str">
        <f>IF(ABS(IF(II2Ext!$H$32="M",AL1113-W1114,AL1156-W1114))&gt;1,"ALARM"," ")</f>
        <v xml:space="preserve"> </v>
      </c>
      <c r="AA1114" s="73" t="str">
        <f>IF(ABS(IF(II2Ext!$H$32="M",AM1113-X1114,AM1156-X1114))&gt;1,"ALARM"," ")</f>
        <v xml:space="preserve"> </v>
      </c>
      <c r="AB1114" s="65"/>
      <c r="AC1114" s="81" t="s">
        <v>22</v>
      </c>
      <c r="AD1114" s="69">
        <v>7</v>
      </c>
      <c r="AE1114" s="70"/>
      <c r="AF1114" s="82">
        <f>II2Ext!$H$35+4*(100-II2Ext!$H$35)/12</f>
        <v>60</v>
      </c>
      <c r="AG1114" s="83">
        <f t="shared" si="100"/>
        <v>55.1</v>
      </c>
      <c r="AH1114" s="65"/>
      <c r="AI1114" s="78" t="s">
        <v>50</v>
      </c>
      <c r="AJ1114" s="59">
        <v>6</v>
      </c>
      <c r="AK1114" s="65"/>
      <c r="AL1114" s="383">
        <f>ROUNDDOWN(II2Ext!$H$30*AF1115/500,1)*5</f>
        <v>22</v>
      </c>
      <c r="AM1114" s="352">
        <f t="shared" si="101"/>
        <v>20.5</v>
      </c>
      <c r="AN1114" s="63">
        <f t="shared" si="99"/>
        <v>2</v>
      </c>
    </row>
    <row r="1115" spans="21:40" ht="12.75" customHeight="1" x14ac:dyDescent="0.2">
      <c r="U1115" s="108">
        <f>+II2Ext!A52</f>
        <v>0</v>
      </c>
      <c r="V1115" s="110">
        <f>IF(II2Ext!$H$32="M",AN1114+U1115,AN1157+U1115)</f>
        <v>2</v>
      </c>
      <c r="W1115" s="380">
        <f t="shared" si="102"/>
        <v>22</v>
      </c>
      <c r="X1115" s="353">
        <f t="shared" si="103"/>
        <v>20.5</v>
      </c>
      <c r="Y1115" s="56">
        <v>6</v>
      </c>
      <c r="Z1115" s="115" t="str">
        <f>IF(ABS(IF(II2Ext!$H$32="M",AL1114-W1115,AL1157-W1115))&gt;1,"ALARM"," ")</f>
        <v xml:space="preserve"> </v>
      </c>
      <c r="AA1115" s="63" t="str">
        <f>IF(ABS(IF(II2Ext!$H$32="M",AM1114-X1115,AM1157-X1115))&gt;1,"ALARM"," ")</f>
        <v xml:space="preserve"> </v>
      </c>
      <c r="AB1115" s="65"/>
      <c r="AC1115" s="78" t="s">
        <v>50</v>
      </c>
      <c r="AD1115" s="59">
        <v>6</v>
      </c>
      <c r="AE1115" s="65"/>
      <c r="AF1115" s="60">
        <f>II2Ext!$H$35+3*(100-II2Ext!$H$35)/12</f>
        <v>55</v>
      </c>
      <c r="AG1115" s="61">
        <f t="shared" si="100"/>
        <v>50.1</v>
      </c>
      <c r="AH1115" s="65"/>
      <c r="AI1115" s="58">
        <v>4</v>
      </c>
      <c r="AJ1115" s="59">
        <v>5</v>
      </c>
      <c r="AK1115" s="65"/>
      <c r="AL1115" s="383">
        <f>ROUNDDOWN(II2Ext!$H$30*AF1116/500,1)*5</f>
        <v>20</v>
      </c>
      <c r="AM1115" s="352">
        <f t="shared" si="101"/>
        <v>18.5</v>
      </c>
      <c r="AN1115" s="63">
        <f t="shared" si="99"/>
        <v>2</v>
      </c>
    </row>
    <row r="1116" spans="21:40" ht="12.75" customHeight="1" x14ac:dyDescent="0.2">
      <c r="U1116" s="108">
        <f>+II2Ext!A53</f>
        <v>0</v>
      </c>
      <c r="V1116" s="111">
        <f>IF(II2Ext!$H$32="M",AN1115+U1116,AN1158+U1116)</f>
        <v>2</v>
      </c>
      <c r="W1116" s="380">
        <f t="shared" si="102"/>
        <v>20</v>
      </c>
      <c r="X1116" s="353">
        <f t="shared" si="103"/>
        <v>18.5</v>
      </c>
      <c r="Y1116" s="56">
        <v>5</v>
      </c>
      <c r="Z1116" s="115" t="str">
        <f>IF(ABS(IF(II2Ext!$H$32="M",AL1115-W1116,AL1158-W1116))&gt;1,"ALARM"," ")</f>
        <v xml:space="preserve"> </v>
      </c>
      <c r="AA1116" s="63" t="str">
        <f>IF(ABS(IF(II2Ext!$H$32="M",AM1115-X1116,AM1158-X1116))&gt;1,"ALARM"," ")</f>
        <v xml:space="preserve"> </v>
      </c>
      <c r="AB1116" s="65"/>
      <c r="AC1116" s="58">
        <v>4</v>
      </c>
      <c r="AD1116" s="59">
        <v>5</v>
      </c>
      <c r="AE1116" s="65"/>
      <c r="AF1116" s="60">
        <f>II2Ext!$H$35+2*(100-II2Ext!$H$35)/12</f>
        <v>50</v>
      </c>
      <c r="AG1116" s="61">
        <f t="shared" si="100"/>
        <v>45.1</v>
      </c>
      <c r="AH1116" s="65"/>
      <c r="AI1116" s="81" t="s">
        <v>22</v>
      </c>
      <c r="AJ1116" s="69">
        <v>4</v>
      </c>
      <c r="AK1116" s="70"/>
      <c r="AL1116" s="383">
        <f>ROUNDDOWN(II2Ext!$H$30*AF1117/500,1)*5</f>
        <v>18</v>
      </c>
      <c r="AM1116" s="352">
        <f t="shared" si="101"/>
        <v>16.5</v>
      </c>
      <c r="AN1116" s="73">
        <f t="shared" si="99"/>
        <v>2</v>
      </c>
    </row>
    <row r="1117" spans="21:40" ht="12.75" customHeight="1" x14ac:dyDescent="0.2">
      <c r="U1117" s="108">
        <f>+II2Ext!A54</f>
        <v>0</v>
      </c>
      <c r="V1117" s="113">
        <f>IF(II2Ext!$H$32="M",AN1116+U1117,AN1159+U1117)</f>
        <v>2</v>
      </c>
      <c r="W1117" s="381">
        <f t="shared" si="102"/>
        <v>18</v>
      </c>
      <c r="X1117" s="353">
        <f t="shared" si="103"/>
        <v>16.5</v>
      </c>
      <c r="Y1117" s="75">
        <v>4</v>
      </c>
      <c r="Z1117" s="115" t="str">
        <f>IF(ABS(IF(II2Ext!$H$32="M",AL1116-W1117,AL1159-W1117))&gt;1,"ALARM"," ")</f>
        <v xml:space="preserve"> </v>
      </c>
      <c r="AA1117" s="63" t="str">
        <f>IF(ABS(IF(II2Ext!$H$32="M",AM1116-X1117,AM1159-X1117))&gt;1,"ALARM"," ")</f>
        <v xml:space="preserve"> </v>
      </c>
      <c r="AB1117" s="65"/>
      <c r="AC1117" s="81" t="s">
        <v>22</v>
      </c>
      <c r="AD1117" s="69">
        <v>4</v>
      </c>
      <c r="AE1117" s="70"/>
      <c r="AF1117" s="82">
        <f>II2Ext!$H$35+1*(100-II2Ext!$H$35)/12</f>
        <v>45</v>
      </c>
      <c r="AG1117" s="83">
        <f t="shared" si="100"/>
        <v>40.1</v>
      </c>
      <c r="AH1117" s="65"/>
      <c r="AI1117" s="78" t="s">
        <v>50</v>
      </c>
      <c r="AJ1117" s="59">
        <v>3</v>
      </c>
      <c r="AK1117" s="65"/>
      <c r="AL1117" s="383">
        <f>ROUNDDOWN(II2Ext!$H$30*AF1118/500,1)*5</f>
        <v>16</v>
      </c>
      <c r="AM1117" s="352">
        <f t="shared" si="101"/>
        <v>13.5</v>
      </c>
      <c r="AN1117" s="63">
        <f t="shared" si="99"/>
        <v>3</v>
      </c>
    </row>
    <row r="1118" spans="21:40" ht="12.75" customHeight="1" x14ac:dyDescent="0.2">
      <c r="U1118" s="108">
        <f>+II2Ext!A55</f>
        <v>0</v>
      </c>
      <c r="V1118" s="110">
        <f>IF(II2Ext!$H$32="M",AN1117+U1118,AN1160+U1118)</f>
        <v>3</v>
      </c>
      <c r="W1118" s="380">
        <f t="shared" si="102"/>
        <v>16</v>
      </c>
      <c r="X1118" s="353">
        <f t="shared" si="103"/>
        <v>13.5</v>
      </c>
      <c r="Y1118" s="56">
        <v>3</v>
      </c>
      <c r="Z1118" s="117" t="str">
        <f>IF(ABS(IF(II2Ext!$H$32="M",AL1117-W1118,AL1160-W1118))&gt;1,"ALARM"," ")</f>
        <v xml:space="preserve"> </v>
      </c>
      <c r="AA1118" s="114" t="str">
        <f>IF(ABS(IF(II2Ext!$H$32="M",AM1117-X1118,AM1160-X1118))&gt;1,"ALARM"," ")</f>
        <v xml:space="preserve"> </v>
      </c>
      <c r="AB1118" s="65"/>
      <c r="AC1118" s="78" t="s">
        <v>50</v>
      </c>
      <c r="AD1118" s="59">
        <v>3</v>
      </c>
      <c r="AE1118" s="65"/>
      <c r="AF1118" s="60">
        <f>II2Ext!$H$35</f>
        <v>40</v>
      </c>
      <c r="AG1118" s="61">
        <f>AF1119+0.01</f>
        <v>33.343333333333334</v>
      </c>
      <c r="AH1118" s="65"/>
      <c r="AI1118" s="58">
        <v>5</v>
      </c>
      <c r="AJ1118" s="59">
        <v>2</v>
      </c>
      <c r="AK1118" s="65"/>
      <c r="AL1118" s="383">
        <f>ROUNDDOWN(II2Ext!$H$30*AF1119/500,1)*5</f>
        <v>13</v>
      </c>
      <c r="AM1118" s="352">
        <f t="shared" si="101"/>
        <v>11</v>
      </c>
      <c r="AN1118" s="63">
        <f t="shared" si="99"/>
        <v>2.5</v>
      </c>
    </row>
    <row r="1119" spans="21:40" ht="12.75" customHeight="1" x14ac:dyDescent="0.2">
      <c r="U1119" s="108">
        <f>+II2Ext!A56</f>
        <v>0</v>
      </c>
      <c r="V1119" s="111">
        <f>IF(II2Ext!$H$32="M",AN1118+U1119,AN1161+U1119)</f>
        <v>2.5</v>
      </c>
      <c r="W1119" s="380">
        <f t="shared" si="102"/>
        <v>13</v>
      </c>
      <c r="X1119" s="353">
        <f t="shared" si="103"/>
        <v>11</v>
      </c>
      <c r="Y1119" s="56">
        <v>2</v>
      </c>
      <c r="Z1119" s="115" t="str">
        <f>IF(ABS(IF(II2Ext!$H$32="M",AL1118-W1119,AL1161-W1119))&gt;1,"ALARM"," ")</f>
        <v xml:space="preserve"> </v>
      </c>
      <c r="AA1119" s="63" t="str">
        <f>IF(ABS(IF(II2Ext!$H$32="M",AM1118-X1119,AM1161-X1119))&gt;1,"ALARM"," ")</f>
        <v xml:space="preserve"> </v>
      </c>
      <c r="AB1119" s="65"/>
      <c r="AC1119" s="58">
        <v>5</v>
      </c>
      <c r="AD1119" s="59">
        <v>2</v>
      </c>
      <c r="AE1119" s="65"/>
      <c r="AF1119" s="60">
        <f>AG1120+2*(AF1118-AG1120)/3</f>
        <v>33.333333333333336</v>
      </c>
      <c r="AG1119" s="61">
        <f>AF1120+0.01</f>
        <v>26.676666666666669</v>
      </c>
      <c r="AH1119" s="65"/>
      <c r="AI1119" s="81" t="s">
        <v>22</v>
      </c>
      <c r="AJ1119" s="69">
        <v>1</v>
      </c>
      <c r="AK1119" s="70"/>
      <c r="AL1119" s="383">
        <f>ROUNDDOWN(II2Ext!$H$30*AF1120/500,1)*5</f>
        <v>10.5</v>
      </c>
      <c r="AM1119" s="72">
        <f>ROUNDUP(II2Ext!$H$30*(II2Ext!$H$34/500),1)*5</f>
        <v>8</v>
      </c>
      <c r="AN1119" s="73">
        <f t="shared" si="99"/>
        <v>3</v>
      </c>
    </row>
    <row r="1120" spans="21:40" ht="12.75" customHeight="1" thickBot="1" x14ac:dyDescent="0.25">
      <c r="U1120" s="108">
        <f>+II2Ext!A57</f>
        <v>0</v>
      </c>
      <c r="V1120" s="113">
        <f>IF(II2Ext!$H$32="M",AN1119+U1120,AN1162+U1120)</f>
        <v>3</v>
      </c>
      <c r="W1120" s="381">
        <f t="shared" si="102"/>
        <v>10.5</v>
      </c>
      <c r="X1120" s="353">
        <f t="shared" si="103"/>
        <v>8</v>
      </c>
      <c r="Y1120" s="75">
        <v>1</v>
      </c>
      <c r="Z1120" s="118" t="str">
        <f>IF(ABS(IF(II2Ext!$H$32="M",AL1119-W1120,AL1162-W1120))&gt;1,"ALARM"," ")</f>
        <v xml:space="preserve"> </v>
      </c>
      <c r="AA1120" s="73" t="str">
        <f>IF(ABS(IF(II2Ext!$H$32="M",AM1119-X1120,AM1162-X1120))&gt;1,"ALARM"," ")</f>
        <v xml:space="preserve"> </v>
      </c>
      <c r="AB1120" s="65"/>
      <c r="AC1120" s="81" t="s">
        <v>22</v>
      </c>
      <c r="AD1120" s="69">
        <v>1</v>
      </c>
      <c r="AE1120" s="70"/>
      <c r="AF1120" s="82">
        <f>AG1120+(AF1118-AG1120)/3</f>
        <v>26.666666666666668</v>
      </c>
      <c r="AG1120" s="83">
        <f>II2Ext!$H$34</f>
        <v>20</v>
      </c>
      <c r="AH1120" s="65"/>
      <c r="AI1120" s="89">
        <v>6</v>
      </c>
      <c r="AJ1120" s="90">
        <v>0</v>
      </c>
      <c r="AK1120" s="91"/>
      <c r="AL1120" s="92">
        <f>AM1119-0.5</f>
        <v>7.5</v>
      </c>
      <c r="AM1120" s="93">
        <v>0</v>
      </c>
      <c r="AN1120" s="94">
        <f>IF(AM1120&gt;AM1119,"ALARM",AL1120)</f>
        <v>7.5</v>
      </c>
    </row>
    <row r="1121" spans="21:40" ht="12.75" customHeight="1" thickBot="1" x14ac:dyDescent="0.25">
      <c r="U1121" s="43" t="s">
        <v>51</v>
      </c>
      <c r="V1121" s="112">
        <f>IF(II2Ext!$H$32="M",+W1121,W1163)</f>
        <v>7.5</v>
      </c>
      <c r="W1121" s="384">
        <f t="shared" si="102"/>
        <v>7.5</v>
      </c>
      <c r="X1121" s="362">
        <v>0</v>
      </c>
      <c r="Y1121" s="95">
        <v>0</v>
      </c>
      <c r="Z1121" s="116" t="str">
        <f>IF(ABS(IF(II2Ext!$H$32="M",AL1120-W1121,AL1163-W1121))&gt;1,"ALARM"," ")</f>
        <v xml:space="preserve"> </v>
      </c>
      <c r="AA1121" s="94" t="str">
        <f>IF(ABS(IF(II2Ext!$H$32="M",AM1120-X1121,AM1163-X1121))&gt;1,"ALARM"," ")</f>
        <v xml:space="preserve"> </v>
      </c>
      <c r="AB1121" s="65"/>
      <c r="AC1121" s="89">
        <v>6</v>
      </c>
      <c r="AD1121" s="90">
        <v>0</v>
      </c>
      <c r="AE1121" s="91"/>
      <c r="AF1121" s="96">
        <f>II2Ext!$H$34-0.1</f>
        <v>19.899999999999999</v>
      </c>
      <c r="AG1121" s="97">
        <v>0</v>
      </c>
      <c r="AH1121" s="65"/>
      <c r="AI1121" s="65"/>
      <c r="AJ1121" s="65"/>
      <c r="AK1121" s="65"/>
      <c r="AL1121" s="65"/>
      <c r="AM1121" s="65"/>
      <c r="AN1121" s="65"/>
    </row>
    <row r="1122" spans="21:40" ht="12.75" customHeight="1" x14ac:dyDescent="0.2"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</row>
    <row r="1123" spans="21:40" ht="12.75" customHeight="1" x14ac:dyDescent="0.2"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</row>
    <row r="1124" spans="21:40" ht="12.75" customHeight="1" x14ac:dyDescent="0.2">
      <c r="U1124" s="46"/>
      <c r="V1124" s="359">
        <f t="shared" ref="V1124:V1139" si="104">+X1124</f>
        <v>0</v>
      </c>
      <c r="W1124" s="359">
        <f>+W1121</f>
        <v>7.5</v>
      </c>
      <c r="X1124" s="359">
        <f>+X1121</f>
        <v>0</v>
      </c>
      <c r="Y1124" s="46">
        <f>+Y1121</f>
        <v>0</v>
      </c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</row>
    <row r="1125" spans="21:40" ht="12.75" customHeight="1" x14ac:dyDescent="0.2">
      <c r="U1125" s="46"/>
      <c r="V1125" s="359">
        <f t="shared" si="104"/>
        <v>8</v>
      </c>
      <c r="W1125" s="359">
        <f>+W1120</f>
        <v>10.5</v>
      </c>
      <c r="X1125" s="359">
        <f>+X1120</f>
        <v>8</v>
      </c>
      <c r="Y1125" s="46">
        <f>+Y1120</f>
        <v>1</v>
      </c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</row>
    <row r="1126" spans="21:40" ht="12.75" customHeight="1" x14ac:dyDescent="0.2">
      <c r="U1126" s="46"/>
      <c r="V1126" s="359">
        <f t="shared" si="104"/>
        <v>11</v>
      </c>
      <c r="W1126" s="359">
        <f>+W1119</f>
        <v>13</v>
      </c>
      <c r="X1126" s="359">
        <f>+X1119</f>
        <v>11</v>
      </c>
      <c r="Y1126" s="46">
        <f>+Y1119</f>
        <v>2</v>
      </c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</row>
    <row r="1127" spans="21:40" ht="12.75" customHeight="1" x14ac:dyDescent="0.2">
      <c r="U1127" s="46"/>
      <c r="V1127" s="359">
        <f t="shared" si="104"/>
        <v>13.5</v>
      </c>
      <c r="W1127" s="359">
        <f>+W1118</f>
        <v>16</v>
      </c>
      <c r="X1127" s="359">
        <f>+X1118</f>
        <v>13.5</v>
      </c>
      <c r="Y1127" s="46">
        <f>+Y1118</f>
        <v>3</v>
      </c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</row>
    <row r="1128" spans="21:40" ht="12.75" customHeight="1" x14ac:dyDescent="0.2">
      <c r="U1128" s="46"/>
      <c r="V1128" s="359">
        <f t="shared" si="104"/>
        <v>16.5</v>
      </c>
      <c r="W1128" s="359">
        <f>+W1117</f>
        <v>18</v>
      </c>
      <c r="X1128" s="359">
        <f>+X1117</f>
        <v>16.5</v>
      </c>
      <c r="Y1128" s="46">
        <f>+Y1117</f>
        <v>4</v>
      </c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</row>
    <row r="1129" spans="21:40" ht="12.75" customHeight="1" x14ac:dyDescent="0.2">
      <c r="U1129" s="46"/>
      <c r="V1129" s="359">
        <f t="shared" si="104"/>
        <v>18.5</v>
      </c>
      <c r="W1129" s="359">
        <f>+W1116</f>
        <v>20</v>
      </c>
      <c r="X1129" s="359">
        <f>+X1116</f>
        <v>18.5</v>
      </c>
      <c r="Y1129" s="46">
        <f>+Y1116</f>
        <v>5</v>
      </c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</row>
    <row r="1130" spans="21:40" ht="12.75" customHeight="1" x14ac:dyDescent="0.2">
      <c r="U1130" s="46"/>
      <c r="V1130" s="359">
        <f t="shared" si="104"/>
        <v>20.5</v>
      </c>
      <c r="W1130" s="359">
        <f>+W1115</f>
        <v>22</v>
      </c>
      <c r="X1130" s="359">
        <f>+X1115</f>
        <v>20.5</v>
      </c>
      <c r="Y1130" s="46">
        <f>+Y1115</f>
        <v>6</v>
      </c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</row>
    <row r="1131" spans="21:40" ht="12.75" customHeight="1" x14ac:dyDescent="0.2">
      <c r="U1131" s="46"/>
      <c r="V1131" s="359">
        <f t="shared" si="104"/>
        <v>22.5</v>
      </c>
      <c r="W1131" s="359">
        <f>+W1114</f>
        <v>24</v>
      </c>
      <c r="X1131" s="359">
        <f>+X1114</f>
        <v>22.5</v>
      </c>
      <c r="Y1131" s="46">
        <f>+Y1114</f>
        <v>7</v>
      </c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</row>
    <row r="1132" spans="21:40" ht="12.75" customHeight="1" x14ac:dyDescent="0.2">
      <c r="U1132" s="46"/>
      <c r="V1132" s="359">
        <f t="shared" si="104"/>
        <v>24.5</v>
      </c>
      <c r="W1132" s="359">
        <f>+W1113</f>
        <v>26</v>
      </c>
      <c r="X1132" s="359">
        <f>+X1113</f>
        <v>24.5</v>
      </c>
      <c r="Y1132" s="46">
        <f>+Y1113</f>
        <v>8</v>
      </c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</row>
    <row r="1133" spans="21:40" ht="12.75" customHeight="1" x14ac:dyDescent="0.2">
      <c r="U1133" s="46"/>
      <c r="V1133" s="359">
        <f t="shared" si="104"/>
        <v>26.5</v>
      </c>
      <c r="W1133" s="359">
        <f>+W1112</f>
        <v>28</v>
      </c>
      <c r="X1133" s="359">
        <f>+X1112</f>
        <v>26.5</v>
      </c>
      <c r="Y1133" s="46">
        <f>+Y1112</f>
        <v>9</v>
      </c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</row>
    <row r="1134" spans="21:40" ht="12.75" customHeight="1" x14ac:dyDescent="0.2">
      <c r="U1134" s="46"/>
      <c r="V1134" s="359">
        <f t="shared" si="104"/>
        <v>28.5</v>
      </c>
      <c r="W1134" s="359">
        <f>+W1111</f>
        <v>30</v>
      </c>
      <c r="X1134" s="359">
        <f>+X1111</f>
        <v>28.5</v>
      </c>
      <c r="Y1134" s="46">
        <f>+Y1111</f>
        <v>10</v>
      </c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</row>
    <row r="1135" spans="21:40" ht="12.75" customHeight="1" x14ac:dyDescent="0.2">
      <c r="U1135" s="46"/>
      <c r="V1135" s="359">
        <f t="shared" si="104"/>
        <v>30.5</v>
      </c>
      <c r="W1135" s="359">
        <f>+W1110</f>
        <v>32</v>
      </c>
      <c r="X1135" s="359">
        <f>+X1110</f>
        <v>30.5</v>
      </c>
      <c r="Y1135" s="46">
        <f>+Y1110</f>
        <v>11</v>
      </c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</row>
    <row r="1136" spans="21:40" ht="12.75" customHeight="1" x14ac:dyDescent="0.2">
      <c r="U1136" s="46"/>
      <c r="V1136" s="359">
        <f t="shared" si="104"/>
        <v>32.5</v>
      </c>
      <c r="W1136" s="359">
        <f>+W1109</f>
        <v>34</v>
      </c>
      <c r="X1136" s="359">
        <f>+X1109</f>
        <v>32.5</v>
      </c>
      <c r="Y1136" s="46">
        <f>+Y1109</f>
        <v>12</v>
      </c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</row>
    <row r="1137" spans="21:40" ht="12.75" customHeight="1" x14ac:dyDescent="0.2">
      <c r="U1137" s="46"/>
      <c r="V1137" s="359">
        <f t="shared" si="104"/>
        <v>34.5</v>
      </c>
      <c r="W1137" s="359">
        <f>+W1108</f>
        <v>36</v>
      </c>
      <c r="X1137" s="359">
        <f>+X1108</f>
        <v>34.5</v>
      </c>
      <c r="Y1137" s="46">
        <f>+Y1108</f>
        <v>13</v>
      </c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</row>
    <row r="1138" spans="21:40" ht="12.75" customHeight="1" x14ac:dyDescent="0.2">
      <c r="U1138" s="46"/>
      <c r="V1138" s="359">
        <f t="shared" si="104"/>
        <v>36.5</v>
      </c>
      <c r="W1138" s="359">
        <f>+W1107</f>
        <v>38</v>
      </c>
      <c r="X1138" s="359">
        <f>+X1107</f>
        <v>36.5</v>
      </c>
      <c r="Y1138" s="46">
        <f>+Y1107</f>
        <v>14</v>
      </c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</row>
    <row r="1139" spans="21:40" ht="12.75" customHeight="1" x14ac:dyDescent="0.2">
      <c r="U1139" s="46"/>
      <c r="V1139" s="359">
        <f t="shared" si="104"/>
        <v>38.5</v>
      </c>
      <c r="W1139" s="359">
        <f>+W1106</f>
        <v>40</v>
      </c>
      <c r="X1139" s="359">
        <f>+X1106</f>
        <v>38.5</v>
      </c>
      <c r="Y1139" s="98">
        <f>+Y1106</f>
        <v>15</v>
      </c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</row>
    <row r="1140" spans="21:40" ht="12.75" customHeight="1" x14ac:dyDescent="0.2"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</row>
    <row r="1141" spans="21:40" ht="12.75" customHeight="1" x14ac:dyDescent="0.2"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</row>
    <row r="1142" spans="21:40" ht="12.75" customHeight="1" x14ac:dyDescent="0.2"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</row>
    <row r="1143" spans="21:40" ht="12.75" customHeight="1" x14ac:dyDescent="0.2"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52"/>
      <c r="AI1143" s="57"/>
      <c r="AJ1143" s="60"/>
      <c r="AK1143" s="60"/>
      <c r="AL1143" s="52"/>
      <c r="AM1143" s="88"/>
      <c r="AN1143" s="57"/>
    </row>
    <row r="1144" spans="21:40" ht="12.75" customHeight="1" thickBot="1" x14ac:dyDescent="0.25">
      <c r="U1144" s="360"/>
      <c r="V1144" s="375"/>
      <c r="W1144" s="454"/>
      <c r="X1144" s="454"/>
      <c r="Y1144" s="65"/>
      <c r="Z1144" s="454"/>
      <c r="AA1144" s="454"/>
      <c r="AB1144" s="46"/>
      <c r="AC1144" s="65"/>
      <c r="AD1144" s="57"/>
      <c r="AE1144" s="57"/>
      <c r="AF1144" s="60"/>
      <c r="AG1144" s="60"/>
      <c r="AH1144" s="52"/>
      <c r="AI1144" s="65"/>
      <c r="AJ1144" s="57"/>
      <c r="AK1144" s="65"/>
      <c r="AL1144" s="57"/>
      <c r="AM1144" s="57"/>
      <c r="AN1144" s="57"/>
    </row>
    <row r="1145" spans="21:40" ht="12.75" customHeight="1" x14ac:dyDescent="0.2">
      <c r="U1145" s="376"/>
      <c r="V1145" s="375"/>
      <c r="W1145" s="458"/>
      <c r="X1145" s="458"/>
      <c r="Y1145" s="65"/>
      <c r="Z1145" s="454"/>
      <c r="AA1145" s="454"/>
      <c r="AB1145" s="46"/>
      <c r="AC1145" s="49" t="s">
        <v>17</v>
      </c>
      <c r="AD1145" s="50" t="s">
        <v>32</v>
      </c>
      <c r="AE1145" s="51"/>
      <c r="AF1145" s="461" t="s">
        <v>41</v>
      </c>
      <c r="AG1145" s="462"/>
      <c r="AH1145" s="52"/>
      <c r="AI1145" s="49" t="s">
        <v>17</v>
      </c>
      <c r="AJ1145" s="50" t="s">
        <v>32</v>
      </c>
      <c r="AK1145" s="53"/>
      <c r="AL1145" s="452" t="s">
        <v>42</v>
      </c>
      <c r="AM1145" s="453"/>
      <c r="AN1145" s="54" t="s">
        <v>43</v>
      </c>
    </row>
    <row r="1146" spans="21:40" ht="12.75" customHeight="1" x14ac:dyDescent="0.2">
      <c r="U1146" s="377"/>
      <c r="V1146" s="375"/>
      <c r="W1146" s="360"/>
      <c r="X1146" s="360"/>
      <c r="Y1146" s="65"/>
      <c r="Z1146" s="454"/>
      <c r="AA1146" s="454"/>
      <c r="AB1146" s="46"/>
      <c r="AC1146" s="58"/>
      <c r="AD1146" s="59"/>
      <c r="AE1146" s="57"/>
      <c r="AF1146" s="60" t="s">
        <v>46</v>
      </c>
      <c r="AG1146" s="61" t="s">
        <v>47</v>
      </c>
      <c r="AH1146" s="52"/>
      <c r="AI1146" s="58"/>
      <c r="AJ1146" s="59"/>
      <c r="AK1146" s="57"/>
      <c r="AL1146" s="57" t="s">
        <v>46</v>
      </c>
      <c r="AM1146" s="62" t="s">
        <v>47</v>
      </c>
      <c r="AN1146" s="63"/>
    </row>
    <row r="1147" spans="21:40" ht="12.75" customHeight="1" x14ac:dyDescent="0.2">
      <c r="U1147" s="65"/>
      <c r="V1147" s="375"/>
      <c r="W1147" s="360"/>
      <c r="X1147" s="360"/>
      <c r="Y1147" s="65"/>
      <c r="Z1147" s="360"/>
      <c r="AA1147" s="360"/>
      <c r="AB1147" s="46"/>
      <c r="AC1147" s="68"/>
      <c r="AD1147" s="69"/>
      <c r="AE1147" s="70"/>
      <c r="AF1147" s="76"/>
      <c r="AG1147" s="77"/>
      <c r="AH1147" s="65"/>
      <c r="AI1147" s="68"/>
      <c r="AJ1147" s="69"/>
      <c r="AK1147" s="70"/>
      <c r="AL1147" s="71"/>
      <c r="AM1147" s="72"/>
      <c r="AN1147" s="73"/>
    </row>
    <row r="1148" spans="21:40" ht="12.75" customHeight="1" x14ac:dyDescent="0.2">
      <c r="U1148" s="376"/>
      <c r="V1148" s="375"/>
      <c r="W1148" s="79"/>
      <c r="X1148" s="360"/>
      <c r="Y1148" s="65"/>
      <c r="Z1148" s="360"/>
      <c r="AA1148" s="360"/>
      <c r="AB1148" s="46"/>
      <c r="AC1148" s="78" t="s">
        <v>50</v>
      </c>
      <c r="AD1148" s="59">
        <v>15</v>
      </c>
      <c r="AE1148" s="65"/>
      <c r="AF1148" s="60">
        <f>II2Ext!$H$35+30*(100-II2Ext!$H$35)/30</f>
        <v>100</v>
      </c>
      <c r="AG1148" s="61">
        <f t="shared" ref="AG1148:AG1159" si="105">AF1149+0.1</f>
        <v>94.1</v>
      </c>
      <c r="AH1148" s="65"/>
      <c r="AI1148" s="78" t="s">
        <v>50</v>
      </c>
      <c r="AJ1148" s="59">
        <v>15</v>
      </c>
      <c r="AK1148" s="65"/>
      <c r="AL1148" s="60">
        <f>II2Ext!$H$30</f>
        <v>40</v>
      </c>
      <c r="AM1148" s="353">
        <f>AL1149+0.5</f>
        <v>38</v>
      </c>
      <c r="AN1148" s="63">
        <f t="shared" ref="AN1148:AN1162" si="106">IF(AM1148&gt;AL1148,"ALARM",AL1148-AL1149)</f>
        <v>2.5</v>
      </c>
    </row>
    <row r="1149" spans="21:40" ht="12.75" customHeight="1" x14ac:dyDescent="0.2">
      <c r="U1149" s="376"/>
      <c r="V1149" s="375"/>
      <c r="W1149" s="360"/>
      <c r="X1149" s="360"/>
      <c r="Y1149" s="65"/>
      <c r="Z1149" s="360"/>
      <c r="AA1149" s="360"/>
      <c r="AB1149" s="46"/>
      <c r="AC1149" s="58">
        <v>1</v>
      </c>
      <c r="AD1149" s="59">
        <v>14</v>
      </c>
      <c r="AE1149" s="65"/>
      <c r="AF1149" s="60">
        <f>II2Ext!$H$35+27*(100-II2Ext!$H$35)/30</f>
        <v>94</v>
      </c>
      <c r="AG1149" s="61">
        <f t="shared" si="105"/>
        <v>88.1</v>
      </c>
      <c r="AH1149" s="65"/>
      <c r="AI1149" s="58">
        <v>1</v>
      </c>
      <c r="AJ1149" s="59">
        <v>14</v>
      </c>
      <c r="AK1149" s="65"/>
      <c r="AL1149" s="60">
        <f>ROUNDDOWN(II2Ext!$H$30*AF1149/500,1)*5</f>
        <v>37.5</v>
      </c>
      <c r="AM1149" s="353">
        <f t="shared" ref="AM1149:AM1161" si="107">AL1150+0.5</f>
        <v>35.5</v>
      </c>
      <c r="AN1149" s="63">
        <f t="shared" si="106"/>
        <v>2.5</v>
      </c>
    </row>
    <row r="1150" spans="21:40" ht="12.75" customHeight="1" x14ac:dyDescent="0.2">
      <c r="U1150" s="376"/>
      <c r="V1150" s="375"/>
      <c r="W1150" s="360"/>
      <c r="X1150" s="360"/>
      <c r="Y1150" s="65"/>
      <c r="Z1150" s="360"/>
      <c r="AA1150" s="360"/>
      <c r="AB1150" s="46"/>
      <c r="AC1150" s="81" t="s">
        <v>22</v>
      </c>
      <c r="AD1150" s="69">
        <v>13</v>
      </c>
      <c r="AE1150" s="70"/>
      <c r="AF1150" s="82">
        <f>II2Ext!$H$35+24*(100-II2Ext!$H$35)/30</f>
        <v>88</v>
      </c>
      <c r="AG1150" s="83">
        <f t="shared" si="105"/>
        <v>82.1</v>
      </c>
      <c r="AH1150" s="65"/>
      <c r="AI1150" s="81" t="s">
        <v>22</v>
      </c>
      <c r="AJ1150" s="69">
        <v>13</v>
      </c>
      <c r="AK1150" s="70"/>
      <c r="AL1150" s="60">
        <f>ROUNDDOWN(II2Ext!$H$30*AF1150/500,1)*5</f>
        <v>35</v>
      </c>
      <c r="AM1150" s="353">
        <f t="shared" si="107"/>
        <v>33</v>
      </c>
      <c r="AN1150" s="73">
        <f t="shared" si="106"/>
        <v>2.5</v>
      </c>
    </row>
    <row r="1151" spans="21:40" ht="12.75" customHeight="1" x14ac:dyDescent="0.2">
      <c r="U1151" s="376"/>
      <c r="V1151" s="375"/>
      <c r="W1151" s="360"/>
      <c r="X1151" s="360"/>
      <c r="Y1151" s="65"/>
      <c r="Z1151" s="360"/>
      <c r="AA1151" s="360"/>
      <c r="AB1151" s="46"/>
      <c r="AC1151" s="78" t="s">
        <v>50</v>
      </c>
      <c r="AD1151" s="59">
        <v>12</v>
      </c>
      <c r="AE1151" s="65"/>
      <c r="AF1151" s="60">
        <f>II2Ext!$H$35+21*(100-II2Ext!$H$35)/30</f>
        <v>82</v>
      </c>
      <c r="AG1151" s="61">
        <f t="shared" si="105"/>
        <v>76.099999999999994</v>
      </c>
      <c r="AH1151" s="65"/>
      <c r="AI1151" s="78" t="s">
        <v>50</v>
      </c>
      <c r="AJ1151" s="59">
        <v>12</v>
      </c>
      <c r="AK1151" s="65"/>
      <c r="AL1151" s="60">
        <f>ROUNDDOWN(II2Ext!$H$30*AF1151/500,1)*5</f>
        <v>32.5</v>
      </c>
      <c r="AM1151" s="353">
        <f t="shared" si="107"/>
        <v>30.5</v>
      </c>
      <c r="AN1151" s="63">
        <f t="shared" si="106"/>
        <v>2.5</v>
      </c>
    </row>
    <row r="1152" spans="21:40" ht="12.75" customHeight="1" x14ac:dyDescent="0.2">
      <c r="U1152" s="376"/>
      <c r="V1152" s="375"/>
      <c r="W1152" s="360"/>
      <c r="X1152" s="360"/>
      <c r="Y1152" s="65"/>
      <c r="Z1152" s="360"/>
      <c r="AA1152" s="360"/>
      <c r="AB1152" s="46"/>
      <c r="AC1152" s="58">
        <v>2</v>
      </c>
      <c r="AD1152" s="59">
        <v>11</v>
      </c>
      <c r="AE1152" s="65"/>
      <c r="AF1152" s="60">
        <f>II2Ext!$H$35+18*(100-II2Ext!$H$35)/30</f>
        <v>76</v>
      </c>
      <c r="AG1152" s="61">
        <f t="shared" si="105"/>
        <v>70.099999999999994</v>
      </c>
      <c r="AH1152" s="65"/>
      <c r="AI1152" s="58">
        <v>2</v>
      </c>
      <c r="AJ1152" s="59">
        <v>11</v>
      </c>
      <c r="AK1152" s="65"/>
      <c r="AL1152" s="60">
        <f>ROUNDDOWN(II2Ext!$H$30*AF1152/500,1)*5</f>
        <v>30</v>
      </c>
      <c r="AM1152" s="353">
        <f t="shared" si="107"/>
        <v>28.5</v>
      </c>
      <c r="AN1152" s="63">
        <f t="shared" si="106"/>
        <v>2</v>
      </c>
    </row>
    <row r="1153" spans="21:40" ht="12.75" customHeight="1" x14ac:dyDescent="0.2">
      <c r="U1153" s="376"/>
      <c r="V1153" s="375"/>
      <c r="W1153" s="360"/>
      <c r="X1153" s="360"/>
      <c r="Y1153" s="65"/>
      <c r="Z1153" s="360"/>
      <c r="AA1153" s="360"/>
      <c r="AB1153" s="46"/>
      <c r="AC1153" s="81" t="s">
        <v>22</v>
      </c>
      <c r="AD1153" s="69">
        <v>10</v>
      </c>
      <c r="AE1153" s="70"/>
      <c r="AF1153" s="82">
        <f>II2Ext!$H$35+15*(100-II2Ext!$H$35)/30</f>
        <v>70</v>
      </c>
      <c r="AG1153" s="83">
        <f t="shared" si="105"/>
        <v>64.099999999999994</v>
      </c>
      <c r="AH1153" s="65"/>
      <c r="AI1153" s="81" t="s">
        <v>22</v>
      </c>
      <c r="AJ1153" s="69">
        <v>10</v>
      </c>
      <c r="AK1153" s="70"/>
      <c r="AL1153" s="60">
        <f>ROUNDDOWN(II2Ext!$H$30*AF1153/500,1)*5</f>
        <v>28</v>
      </c>
      <c r="AM1153" s="353">
        <f t="shared" si="107"/>
        <v>26</v>
      </c>
      <c r="AN1153" s="73">
        <f t="shared" si="106"/>
        <v>2.5</v>
      </c>
    </row>
    <row r="1154" spans="21:40" ht="12.75" customHeight="1" x14ac:dyDescent="0.2">
      <c r="U1154" s="376"/>
      <c r="V1154" s="375"/>
      <c r="W1154" s="360"/>
      <c r="X1154" s="360"/>
      <c r="Y1154" s="65"/>
      <c r="Z1154" s="360"/>
      <c r="AA1154" s="360"/>
      <c r="AB1154" s="46"/>
      <c r="AC1154" s="78" t="s">
        <v>50</v>
      </c>
      <c r="AD1154" s="59">
        <v>9</v>
      </c>
      <c r="AE1154" s="65"/>
      <c r="AF1154" s="60">
        <f>II2Ext!$H$35+12*(100-II2Ext!$H$35)/30</f>
        <v>64</v>
      </c>
      <c r="AG1154" s="61">
        <f t="shared" si="105"/>
        <v>60.1</v>
      </c>
      <c r="AH1154" s="65"/>
      <c r="AI1154" s="78" t="s">
        <v>50</v>
      </c>
      <c r="AJ1154" s="59">
        <v>9</v>
      </c>
      <c r="AK1154" s="65"/>
      <c r="AL1154" s="60">
        <f>ROUNDDOWN(II2Ext!$H$30*AF1154/500,1)*5</f>
        <v>25.5</v>
      </c>
      <c r="AM1154" s="353">
        <f t="shared" si="107"/>
        <v>24.5</v>
      </c>
      <c r="AN1154" s="63">
        <f t="shared" si="106"/>
        <v>1.5</v>
      </c>
    </row>
    <row r="1155" spans="21:40" ht="12.75" customHeight="1" x14ac:dyDescent="0.2">
      <c r="U1155" s="376"/>
      <c r="V1155" s="375"/>
      <c r="W1155" s="360"/>
      <c r="X1155" s="360"/>
      <c r="Y1155" s="65"/>
      <c r="Z1155" s="360"/>
      <c r="AA1155" s="360"/>
      <c r="AB1155" s="46"/>
      <c r="AC1155" s="58">
        <v>3</v>
      </c>
      <c r="AD1155" s="59">
        <v>8</v>
      </c>
      <c r="AE1155" s="65"/>
      <c r="AF1155" s="60">
        <f>II2Ext!$H$35+10*(100-II2Ext!$H$35)/30</f>
        <v>60</v>
      </c>
      <c r="AG1155" s="61">
        <f t="shared" si="105"/>
        <v>56.1</v>
      </c>
      <c r="AH1155" s="65"/>
      <c r="AI1155" s="58">
        <v>3</v>
      </c>
      <c r="AJ1155" s="59">
        <v>8</v>
      </c>
      <c r="AK1155" s="65"/>
      <c r="AL1155" s="60">
        <f>ROUNDDOWN(II2Ext!$H$30*AF1155/500,1)*5</f>
        <v>24</v>
      </c>
      <c r="AM1155" s="353">
        <f t="shared" si="107"/>
        <v>22.5</v>
      </c>
      <c r="AN1155" s="63">
        <f t="shared" si="106"/>
        <v>2</v>
      </c>
    </row>
    <row r="1156" spans="21:40" ht="12.75" customHeight="1" x14ac:dyDescent="0.2">
      <c r="U1156" s="376"/>
      <c r="V1156" s="375"/>
      <c r="W1156" s="360"/>
      <c r="X1156" s="360"/>
      <c r="Y1156" s="65"/>
      <c r="Z1156" s="360"/>
      <c r="AA1156" s="360"/>
      <c r="AB1156" s="46"/>
      <c r="AC1156" s="81" t="s">
        <v>22</v>
      </c>
      <c r="AD1156" s="69">
        <v>7</v>
      </c>
      <c r="AE1156" s="70"/>
      <c r="AF1156" s="82">
        <f>II2Ext!$H$35+8*(100-II2Ext!$H$35)/30</f>
        <v>56</v>
      </c>
      <c r="AG1156" s="83">
        <f t="shared" si="105"/>
        <v>52.1</v>
      </c>
      <c r="AH1156" s="65"/>
      <c r="AI1156" s="81" t="s">
        <v>22</v>
      </c>
      <c r="AJ1156" s="69">
        <v>7</v>
      </c>
      <c r="AK1156" s="70"/>
      <c r="AL1156" s="60">
        <f>ROUNDDOWN(II2Ext!$H$30*AF1156/500,1)*5</f>
        <v>22</v>
      </c>
      <c r="AM1156" s="353">
        <f t="shared" si="107"/>
        <v>21</v>
      </c>
      <c r="AN1156" s="73">
        <f t="shared" si="106"/>
        <v>1.5</v>
      </c>
    </row>
    <row r="1157" spans="21:40" ht="12.75" customHeight="1" x14ac:dyDescent="0.2">
      <c r="U1157" s="376"/>
      <c r="V1157" s="375"/>
      <c r="W1157" s="360"/>
      <c r="X1157" s="360"/>
      <c r="Y1157" s="65"/>
      <c r="Z1157" s="360"/>
      <c r="AA1157" s="360"/>
      <c r="AB1157" s="46"/>
      <c r="AC1157" s="78" t="s">
        <v>50</v>
      </c>
      <c r="AD1157" s="59">
        <v>6</v>
      </c>
      <c r="AE1157" s="65"/>
      <c r="AF1157" s="60">
        <f>II2Ext!$H$35+6*(100-II2Ext!$H$35)/30</f>
        <v>52</v>
      </c>
      <c r="AG1157" s="61">
        <f t="shared" si="105"/>
        <v>48.1</v>
      </c>
      <c r="AH1157" s="65"/>
      <c r="AI1157" s="78" t="s">
        <v>50</v>
      </c>
      <c r="AJ1157" s="59">
        <v>6</v>
      </c>
      <c r="AK1157" s="65"/>
      <c r="AL1157" s="60">
        <f>ROUNDDOWN(II2Ext!$H$30*AF1157/500,1)*5</f>
        <v>20.5</v>
      </c>
      <c r="AM1157" s="353">
        <f t="shared" si="107"/>
        <v>19.5</v>
      </c>
      <c r="AN1157" s="63">
        <f t="shared" si="106"/>
        <v>1.5</v>
      </c>
    </row>
    <row r="1158" spans="21:40" ht="12.75" customHeight="1" x14ac:dyDescent="0.2">
      <c r="U1158" s="376"/>
      <c r="V1158" s="375"/>
      <c r="W1158" s="360"/>
      <c r="X1158" s="360"/>
      <c r="Y1158" s="65"/>
      <c r="Z1158" s="360"/>
      <c r="AA1158" s="360"/>
      <c r="AB1158" s="46"/>
      <c r="AC1158" s="58">
        <v>4</v>
      </c>
      <c r="AD1158" s="59">
        <v>5</v>
      </c>
      <c r="AE1158" s="65"/>
      <c r="AF1158" s="60">
        <f>II2Ext!$H$35+4*(100-II2Ext!$H$35)/30</f>
        <v>48</v>
      </c>
      <c r="AG1158" s="61">
        <f t="shared" si="105"/>
        <v>44.1</v>
      </c>
      <c r="AH1158" s="65"/>
      <c r="AI1158" s="58">
        <v>4</v>
      </c>
      <c r="AJ1158" s="59">
        <v>5</v>
      </c>
      <c r="AK1158" s="65"/>
      <c r="AL1158" s="60">
        <f>ROUNDDOWN(II2Ext!$H$30*AF1158/500,1)*5</f>
        <v>19</v>
      </c>
      <c r="AM1158" s="353">
        <f t="shared" si="107"/>
        <v>18</v>
      </c>
      <c r="AN1158" s="63">
        <f t="shared" si="106"/>
        <v>1.5</v>
      </c>
    </row>
    <row r="1159" spans="21:40" ht="12.75" customHeight="1" x14ac:dyDescent="0.2">
      <c r="U1159" s="376"/>
      <c r="V1159" s="375"/>
      <c r="W1159" s="360"/>
      <c r="X1159" s="360"/>
      <c r="Y1159" s="65"/>
      <c r="Z1159" s="360"/>
      <c r="AA1159" s="360"/>
      <c r="AB1159" s="46"/>
      <c r="AC1159" s="81" t="s">
        <v>22</v>
      </c>
      <c r="AD1159" s="69">
        <v>4</v>
      </c>
      <c r="AE1159" s="70"/>
      <c r="AF1159" s="82">
        <f>II2Ext!$H$35+2*(100-II2Ext!$H$35)/30</f>
        <v>44</v>
      </c>
      <c r="AG1159" s="83">
        <f t="shared" si="105"/>
        <v>40.1</v>
      </c>
      <c r="AH1159" s="65"/>
      <c r="AI1159" s="81" t="s">
        <v>22</v>
      </c>
      <c r="AJ1159" s="69">
        <v>4</v>
      </c>
      <c r="AK1159" s="70"/>
      <c r="AL1159" s="60">
        <f>ROUNDDOWN(II2Ext!$H$30*AF1159/500,1)*5</f>
        <v>17.5</v>
      </c>
      <c r="AM1159" s="353">
        <f t="shared" si="107"/>
        <v>16.5</v>
      </c>
      <c r="AN1159" s="73">
        <f t="shared" si="106"/>
        <v>1.5</v>
      </c>
    </row>
    <row r="1160" spans="21:40" ht="12.75" customHeight="1" x14ac:dyDescent="0.2">
      <c r="U1160" s="376"/>
      <c r="V1160" s="375"/>
      <c r="W1160" s="360"/>
      <c r="X1160" s="360"/>
      <c r="Y1160" s="65"/>
      <c r="Z1160" s="360"/>
      <c r="AA1160" s="360"/>
      <c r="AB1160" s="46"/>
      <c r="AC1160" s="78" t="s">
        <v>50</v>
      </c>
      <c r="AD1160" s="59">
        <v>3</v>
      </c>
      <c r="AE1160" s="65"/>
      <c r="AF1160" s="60">
        <f>II2Ext!$H$35</f>
        <v>40</v>
      </c>
      <c r="AG1160" s="61">
        <f>AF1161+0.01</f>
        <v>33.343333333333334</v>
      </c>
      <c r="AH1160" s="65"/>
      <c r="AI1160" s="78" t="s">
        <v>50</v>
      </c>
      <c r="AJ1160" s="59">
        <v>3</v>
      </c>
      <c r="AK1160" s="65"/>
      <c r="AL1160" s="60">
        <f>ROUNDDOWN(II2Ext!$H$30*AF1160/500,1)*5</f>
        <v>16</v>
      </c>
      <c r="AM1160" s="353">
        <f t="shared" si="107"/>
        <v>13.5</v>
      </c>
      <c r="AN1160" s="63">
        <f t="shared" si="106"/>
        <v>3</v>
      </c>
    </row>
    <row r="1161" spans="21:40" ht="12.75" customHeight="1" x14ac:dyDescent="0.2">
      <c r="U1161" s="376"/>
      <c r="V1161" s="375"/>
      <c r="W1161" s="360"/>
      <c r="X1161" s="360"/>
      <c r="Y1161" s="65"/>
      <c r="Z1161" s="360"/>
      <c r="AA1161" s="360"/>
      <c r="AB1161" s="46"/>
      <c r="AC1161" s="58">
        <v>5</v>
      </c>
      <c r="AD1161" s="59">
        <v>2</v>
      </c>
      <c r="AE1161" s="65"/>
      <c r="AF1161" s="60">
        <f>AG1162+2*(AF1160-AG1162)/3</f>
        <v>33.333333333333336</v>
      </c>
      <c r="AG1161" s="61">
        <f>AF1162+0.01</f>
        <v>26.676666666666669</v>
      </c>
      <c r="AH1161" s="65"/>
      <c r="AI1161" s="58">
        <v>5</v>
      </c>
      <c r="AJ1161" s="59">
        <v>2</v>
      </c>
      <c r="AK1161" s="65"/>
      <c r="AL1161" s="60">
        <f>ROUNDDOWN(II2Ext!$H$30*AF1161/500,1)*5</f>
        <v>13</v>
      </c>
      <c r="AM1161" s="353">
        <f t="shared" si="107"/>
        <v>11</v>
      </c>
      <c r="AN1161" s="63">
        <f t="shared" si="106"/>
        <v>2.5</v>
      </c>
    </row>
    <row r="1162" spans="21:40" ht="12.75" customHeight="1" x14ac:dyDescent="0.2">
      <c r="U1162" s="376"/>
      <c r="V1162" s="375"/>
      <c r="W1162" s="360"/>
      <c r="X1162" s="375"/>
      <c r="Y1162" s="65"/>
      <c r="Z1162" s="360"/>
      <c r="AA1162" s="360"/>
      <c r="AB1162" s="46"/>
      <c r="AC1162" s="81" t="s">
        <v>22</v>
      </c>
      <c r="AD1162" s="69">
        <v>1</v>
      </c>
      <c r="AE1162" s="70"/>
      <c r="AF1162" s="82">
        <f>AG1162+(AF1160-AG1162)/3</f>
        <v>26.666666666666668</v>
      </c>
      <c r="AG1162" s="83">
        <f>II2Ext!$H$34</f>
        <v>20</v>
      </c>
      <c r="AH1162" s="65"/>
      <c r="AI1162" s="81" t="s">
        <v>22</v>
      </c>
      <c r="AJ1162" s="69">
        <v>1</v>
      </c>
      <c r="AK1162" s="70"/>
      <c r="AL1162" s="60">
        <f>ROUNDDOWN(II2Ext!$H$30*AF1162/500,1)*5</f>
        <v>10.5</v>
      </c>
      <c r="AM1162" s="361">
        <f>ROUNDUP(II2Ext!$H$30*(II2Ext!$H$34/500),1)*5</f>
        <v>8</v>
      </c>
      <c r="AN1162" s="73">
        <f t="shared" si="106"/>
        <v>3</v>
      </c>
    </row>
    <row r="1163" spans="21:40" ht="12.75" customHeight="1" thickBot="1" x14ac:dyDescent="0.25">
      <c r="U1163" s="375"/>
      <c r="V1163" s="375"/>
      <c r="W1163" s="360"/>
      <c r="X1163" s="360"/>
      <c r="Y1163" s="65"/>
      <c r="Z1163" s="360"/>
      <c r="AA1163" s="360"/>
      <c r="AB1163" s="46"/>
      <c r="AC1163" s="89">
        <v>6</v>
      </c>
      <c r="AD1163" s="90">
        <v>0</v>
      </c>
      <c r="AE1163" s="91"/>
      <c r="AF1163" s="96">
        <f>II2Ext!$H$34-0.1</f>
        <v>19.899999999999999</v>
      </c>
      <c r="AG1163" s="97">
        <v>0</v>
      </c>
      <c r="AH1163" s="65"/>
      <c r="AI1163" s="89">
        <v>6</v>
      </c>
      <c r="AJ1163" s="90">
        <v>0</v>
      </c>
      <c r="AK1163" s="91"/>
      <c r="AL1163" s="96">
        <f>AM1162-0.5</f>
        <v>7.5</v>
      </c>
      <c r="AM1163" s="362">
        <v>0</v>
      </c>
      <c r="AN1163" s="94">
        <f>IF(AM1163&gt;AM1162,"ALARM",AL1163)</f>
        <v>7.5</v>
      </c>
    </row>
    <row r="1164" spans="21:40" ht="12.75" customHeight="1" x14ac:dyDescent="0.2"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</row>
    <row r="1165" spans="21:40" ht="12.75" customHeight="1" x14ac:dyDescent="0.2"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</row>
    <row r="1166" spans="21:40" ht="12.75" customHeight="1" x14ac:dyDescent="0.2"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</row>
    <row r="1167" spans="21:40" ht="12.75" customHeight="1" x14ac:dyDescent="0.2"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</row>
    <row r="1168" spans="21:40" ht="12.75" customHeight="1" x14ac:dyDescent="0.2"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</row>
    <row r="1169" spans="21:40" ht="12.75" customHeight="1" x14ac:dyDescent="0.2"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</row>
    <row r="1170" spans="21:40" ht="12.75" customHeight="1" x14ac:dyDescent="0.2"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</row>
    <row r="1171" spans="21:40" ht="12.75" customHeight="1" x14ac:dyDescent="0.2"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</row>
    <row r="1172" spans="21:40" ht="12.75" customHeight="1" x14ac:dyDescent="0.2"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</row>
    <row r="1173" spans="21:40" ht="12.75" customHeight="1" x14ac:dyDescent="0.2"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</row>
    <row r="1174" spans="21:40" ht="12.75" customHeight="1" x14ac:dyDescent="0.2"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</row>
    <row r="1175" spans="21:40" ht="12.75" customHeight="1" x14ac:dyDescent="0.2"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</row>
    <row r="1176" spans="21:40" ht="12.75" customHeight="1" x14ac:dyDescent="0.2"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</row>
    <row r="1177" spans="21:40" ht="12.75" customHeight="1" x14ac:dyDescent="0.2"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</row>
    <row r="1178" spans="21:40" ht="12.75" customHeight="1" x14ac:dyDescent="0.2"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</row>
    <row r="1179" spans="21:40" ht="12.75" customHeight="1" x14ac:dyDescent="0.2"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</row>
    <row r="1180" spans="21:40" ht="12.75" customHeight="1" x14ac:dyDescent="0.2"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</row>
    <row r="1181" spans="21:40" ht="12.75" customHeight="1" x14ac:dyDescent="0.2"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</row>
    <row r="1182" spans="21:40" ht="12.75" customHeight="1" x14ac:dyDescent="0.2"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</row>
    <row r="1183" spans="21:40" ht="12.75" customHeight="1" x14ac:dyDescent="0.2"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</row>
    <row r="1184" spans="21:40" ht="12.75" customHeight="1" x14ac:dyDescent="0.2"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</row>
    <row r="1185" spans="21:40" ht="12.75" customHeight="1" x14ac:dyDescent="0.2"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</row>
    <row r="1186" spans="21:40" ht="12.75" customHeight="1" x14ac:dyDescent="0.2"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</row>
    <row r="1187" spans="21:40" ht="12.75" customHeight="1" x14ac:dyDescent="0.2"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</row>
    <row r="1188" spans="21:40" ht="12.75" customHeight="1" x14ac:dyDescent="0.2"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</row>
    <row r="1189" spans="21:40" ht="12.75" customHeight="1" x14ac:dyDescent="0.2"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</row>
    <row r="1190" spans="21:40" ht="12.75" customHeight="1" x14ac:dyDescent="0.2"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</row>
    <row r="1191" spans="21:40" ht="12.75" customHeight="1" x14ac:dyDescent="0.2"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</row>
    <row r="1192" spans="21:40" ht="12.75" customHeight="1" x14ac:dyDescent="0.2"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</row>
    <row r="1193" spans="21:40" ht="12.75" customHeight="1" x14ac:dyDescent="0.2"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</row>
    <row r="1194" spans="21:40" ht="12.75" customHeight="1" x14ac:dyDescent="0.2"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</row>
    <row r="1201" spans="20:40" ht="12.75" customHeight="1" thickBot="1" x14ac:dyDescent="0.25"/>
    <row r="1202" spans="20:40" ht="12.75" customHeight="1" x14ac:dyDescent="0.2">
      <c r="T1202" s="177" t="s">
        <v>80</v>
      </c>
      <c r="U1202" s="47"/>
      <c r="V1202" s="48"/>
      <c r="W1202" s="455" t="s">
        <v>39</v>
      </c>
      <c r="X1202" s="456"/>
      <c r="Y1202" s="465" t="s">
        <v>32</v>
      </c>
      <c r="Z1202" s="463" t="s">
        <v>40</v>
      </c>
      <c r="AA1202" s="464"/>
      <c r="AB1202" s="46"/>
      <c r="AC1202" s="49" t="s">
        <v>17</v>
      </c>
      <c r="AD1202" s="50" t="s">
        <v>32</v>
      </c>
      <c r="AE1202" s="51"/>
      <c r="AF1202" s="461" t="s">
        <v>41</v>
      </c>
      <c r="AG1202" s="462"/>
      <c r="AH1202" s="52"/>
      <c r="AI1202" s="49" t="s">
        <v>17</v>
      </c>
      <c r="AJ1202" s="50" t="s">
        <v>32</v>
      </c>
      <c r="AK1202" s="53"/>
      <c r="AL1202" s="452" t="s">
        <v>42</v>
      </c>
      <c r="AM1202" s="453"/>
      <c r="AN1202" s="54" t="s">
        <v>43</v>
      </c>
    </row>
    <row r="1203" spans="20:40" ht="12.75" customHeight="1" x14ac:dyDescent="0.2">
      <c r="U1203" s="55" t="s">
        <v>44</v>
      </c>
      <c r="V1203" s="41" t="s">
        <v>43</v>
      </c>
      <c r="W1203" s="457" t="s">
        <v>42</v>
      </c>
      <c r="X1203" s="458"/>
      <c r="Y1203" s="466"/>
      <c r="Z1203" s="459" t="s">
        <v>45</v>
      </c>
      <c r="AA1203" s="460"/>
      <c r="AB1203" s="46"/>
      <c r="AC1203" s="58"/>
      <c r="AD1203" s="59"/>
      <c r="AE1203" s="57"/>
      <c r="AF1203" s="60" t="s">
        <v>46</v>
      </c>
      <c r="AG1203" s="61" t="s">
        <v>47</v>
      </c>
      <c r="AH1203" s="52"/>
      <c r="AI1203" s="58"/>
      <c r="AJ1203" s="59"/>
      <c r="AK1203" s="57"/>
      <c r="AL1203" s="57" t="s">
        <v>46</v>
      </c>
      <c r="AM1203" s="62" t="s">
        <v>47</v>
      </c>
      <c r="AN1203" s="63"/>
    </row>
    <row r="1204" spans="20:40" ht="12.75" customHeight="1" x14ac:dyDescent="0.2">
      <c r="U1204" s="64" t="s">
        <v>48</v>
      </c>
      <c r="V1204" s="41" t="s">
        <v>39</v>
      </c>
      <c r="W1204" s="56" t="s">
        <v>46</v>
      </c>
      <c r="X1204" s="57" t="s">
        <v>47</v>
      </c>
      <c r="Y1204" s="466"/>
      <c r="Z1204" s="459" t="s">
        <v>49</v>
      </c>
      <c r="AA1204" s="460"/>
      <c r="AB1204" s="65"/>
      <c r="AC1204" s="58"/>
      <c r="AD1204" s="59"/>
      <c r="AE1204" s="65"/>
      <c r="AF1204" s="66"/>
      <c r="AG1204" s="67"/>
      <c r="AH1204" s="65"/>
      <c r="AI1204" s="68"/>
      <c r="AJ1204" s="69"/>
      <c r="AK1204" s="70"/>
      <c r="AL1204" s="71"/>
      <c r="AM1204" s="72"/>
      <c r="AN1204" s="73"/>
    </row>
    <row r="1205" spans="20:40" ht="12.75" customHeight="1" x14ac:dyDescent="0.2">
      <c r="U1205" s="74"/>
      <c r="V1205" s="42"/>
      <c r="W1205" s="75"/>
      <c r="X1205" s="71"/>
      <c r="Y1205" s="467"/>
      <c r="Z1205" s="115"/>
      <c r="AA1205" s="63"/>
      <c r="AB1205" s="65"/>
      <c r="AC1205" s="68"/>
      <c r="AD1205" s="69"/>
      <c r="AE1205" s="70"/>
      <c r="AF1205" s="76"/>
      <c r="AG1205" s="77"/>
      <c r="AH1205" s="65"/>
      <c r="AI1205" s="78" t="s">
        <v>50</v>
      </c>
      <c r="AJ1205" s="59">
        <v>15</v>
      </c>
      <c r="AK1205" s="65"/>
      <c r="AL1205" s="79">
        <f>II3Ext!$H$30</f>
        <v>40</v>
      </c>
      <c r="AM1205" s="62">
        <f>AL1206+0.5</f>
        <v>38.5</v>
      </c>
      <c r="AN1205" s="63">
        <f t="shared" ref="AN1205:AN1219" si="108">IF(AM1205&gt;AL1205,"ALARM",AL1205-AL1206)</f>
        <v>2</v>
      </c>
    </row>
    <row r="1206" spans="20:40" ht="12.75" customHeight="1" x14ac:dyDescent="0.2">
      <c r="U1206" s="108">
        <f>+II3Ext!A43</f>
        <v>0</v>
      </c>
      <c r="V1206" s="110">
        <f>IF(II3Ext!$H$32="M",AN1205+U1206,AN1248+U1206)</f>
        <v>2</v>
      </c>
      <c r="W1206" s="80">
        <f>II3Ext!$H$30</f>
        <v>40</v>
      </c>
      <c r="X1206" s="62">
        <f>W1207+0.5</f>
        <v>38.5</v>
      </c>
      <c r="Y1206" s="56">
        <v>15</v>
      </c>
      <c r="Z1206" s="117" t="str">
        <f>IF(ABS(IF(II3Ext!$H$32="M",AL1205-W1206,AL1248-W1206))&gt;1,"ALARM"," ")</f>
        <v xml:space="preserve"> </v>
      </c>
      <c r="AA1206" s="114" t="str">
        <f>IF(ABS(IF(II3Ext!$H$32="M",AM1205-X1206,AM1248-X1206))&gt;1,"ALARM"," ")</f>
        <v xml:space="preserve"> </v>
      </c>
      <c r="AB1206" s="65"/>
      <c r="AC1206" s="78" t="s">
        <v>50</v>
      </c>
      <c r="AD1206" s="59">
        <v>15</v>
      </c>
      <c r="AE1206" s="65"/>
      <c r="AF1206" s="60">
        <f>II3Ext!$H$35+12*(100-II3Ext!$H$35)/12</f>
        <v>100</v>
      </c>
      <c r="AG1206" s="61">
        <f t="shared" ref="AG1206:AG1217" si="109">AF1207+0.1</f>
        <v>95.1</v>
      </c>
      <c r="AH1206" s="65"/>
      <c r="AI1206" s="58">
        <v>1</v>
      </c>
      <c r="AJ1206" s="59">
        <v>14</v>
      </c>
      <c r="AK1206" s="65"/>
      <c r="AL1206" s="57">
        <f>ROUNDDOWN(II3Ext!$H$30*AF1207/500,1)*5</f>
        <v>38</v>
      </c>
      <c r="AM1206" s="352">
        <f t="shared" ref="AM1206:AM1218" si="110">AL1207+0.5</f>
        <v>36.5</v>
      </c>
      <c r="AN1206" s="63">
        <f t="shared" si="108"/>
        <v>2</v>
      </c>
    </row>
    <row r="1207" spans="20:40" ht="12.75" customHeight="1" x14ac:dyDescent="0.2">
      <c r="U1207" s="108">
        <f>+II3Ext!A44</f>
        <v>0</v>
      </c>
      <c r="V1207" s="111">
        <f>IF(II3Ext!$H$32="M",AN1206+U1207,AN1249+U1207)</f>
        <v>2</v>
      </c>
      <c r="W1207" s="56">
        <f t="shared" ref="W1207:W1221" si="111">W1206-V1206</f>
        <v>38</v>
      </c>
      <c r="X1207" s="352">
        <f t="shared" ref="X1207:X1220" si="112">W1208+0.5</f>
        <v>36.5</v>
      </c>
      <c r="Y1207" s="56">
        <v>14</v>
      </c>
      <c r="Z1207" s="115" t="str">
        <f>IF(ABS(IF(II3Ext!$H$32="M",AL1206-W1207,AL1249-W1207))&gt;1,"ALARM"," ")</f>
        <v xml:space="preserve"> </v>
      </c>
      <c r="AA1207" s="63" t="str">
        <f>IF(ABS(IF(II3Ext!$H$32="M",AM1206-X1207,AM1249-X1207))&gt;1,"ALARM"," ")</f>
        <v xml:space="preserve"> </v>
      </c>
      <c r="AB1207" s="65"/>
      <c r="AC1207" s="58">
        <v>1</v>
      </c>
      <c r="AD1207" s="59">
        <v>14</v>
      </c>
      <c r="AE1207" s="65"/>
      <c r="AF1207" s="60">
        <f>II3Ext!$H$35+11*(100-II3Ext!$H$35)/12</f>
        <v>95</v>
      </c>
      <c r="AG1207" s="61">
        <f t="shared" si="109"/>
        <v>90.1</v>
      </c>
      <c r="AH1207" s="65"/>
      <c r="AI1207" s="81" t="s">
        <v>22</v>
      </c>
      <c r="AJ1207" s="69">
        <v>13</v>
      </c>
      <c r="AK1207" s="70"/>
      <c r="AL1207" s="383">
        <f>ROUNDDOWN(II3Ext!$H$30*AF1208/500,1)*5</f>
        <v>36</v>
      </c>
      <c r="AM1207" s="352">
        <f t="shared" si="110"/>
        <v>34.5</v>
      </c>
      <c r="AN1207" s="73">
        <f t="shared" si="108"/>
        <v>2</v>
      </c>
    </row>
    <row r="1208" spans="20:40" ht="12.75" customHeight="1" x14ac:dyDescent="0.2">
      <c r="U1208" s="108">
        <f>+II3Ext!A45</f>
        <v>0</v>
      </c>
      <c r="V1208" s="111">
        <f>IF(II3Ext!$H$32="M",AN1207+U1208,AN1250+U1208)</f>
        <v>2</v>
      </c>
      <c r="W1208" s="75">
        <f t="shared" si="111"/>
        <v>36</v>
      </c>
      <c r="X1208" s="352">
        <f t="shared" si="112"/>
        <v>34.5</v>
      </c>
      <c r="Y1208" s="75">
        <v>13</v>
      </c>
      <c r="Z1208" s="118" t="str">
        <f>IF(ABS(IF(II3Ext!$H$32="M",AL1207-W1208,AL1250-W1208))&gt;1,"ALARM"," ")</f>
        <v xml:space="preserve"> </v>
      </c>
      <c r="AA1208" s="73" t="str">
        <f>IF(ABS(IF(II3Ext!$H$32="M",AM1207-X1208,AM1250-X1208))&gt;1,"ALARM"," ")</f>
        <v xml:space="preserve"> </v>
      </c>
      <c r="AB1208" s="65"/>
      <c r="AC1208" s="81" t="s">
        <v>22</v>
      </c>
      <c r="AD1208" s="69">
        <v>13</v>
      </c>
      <c r="AE1208" s="70"/>
      <c r="AF1208" s="82">
        <f>II3Ext!$H$35+10*(100-II3Ext!$H$35)/12</f>
        <v>90</v>
      </c>
      <c r="AG1208" s="83">
        <f t="shared" si="109"/>
        <v>85.1</v>
      </c>
      <c r="AH1208" s="65"/>
      <c r="AI1208" s="78" t="s">
        <v>50</v>
      </c>
      <c r="AJ1208" s="59">
        <v>12</v>
      </c>
      <c r="AK1208" s="65"/>
      <c r="AL1208" s="383">
        <f>ROUNDDOWN(II3Ext!$H$30*AF1209/500,1)*5</f>
        <v>34</v>
      </c>
      <c r="AM1208" s="352">
        <f t="shared" si="110"/>
        <v>32.5</v>
      </c>
      <c r="AN1208" s="63">
        <f t="shared" si="108"/>
        <v>2</v>
      </c>
    </row>
    <row r="1209" spans="20:40" ht="12.75" customHeight="1" x14ac:dyDescent="0.2">
      <c r="U1209" s="108">
        <f>+II3Ext!A46</f>
        <v>0</v>
      </c>
      <c r="V1209" s="110">
        <f>IF(II3Ext!$H$32="M",AN1208+U1209,AN1251+U1209)</f>
        <v>2</v>
      </c>
      <c r="W1209" s="56">
        <f t="shared" si="111"/>
        <v>34</v>
      </c>
      <c r="X1209" s="352">
        <f t="shared" si="112"/>
        <v>32.5</v>
      </c>
      <c r="Y1209" s="56">
        <v>12</v>
      </c>
      <c r="Z1209" s="115" t="str">
        <f>IF(ABS(IF(II3Ext!$H$32="M",AL1208-W1209,AL1251-W1209))&gt;1,"ALARM"," ")</f>
        <v xml:space="preserve"> </v>
      </c>
      <c r="AA1209" s="63" t="str">
        <f>IF(ABS(IF(II3Ext!$H$32="M",AM1208-X1209,AM1251-X1209))&gt;1,"ALARM"," ")</f>
        <v xml:space="preserve"> </v>
      </c>
      <c r="AB1209" s="65"/>
      <c r="AC1209" s="78" t="s">
        <v>50</v>
      </c>
      <c r="AD1209" s="59">
        <v>12</v>
      </c>
      <c r="AE1209" s="65"/>
      <c r="AF1209" s="60">
        <f>II3Ext!$H$35+9*(100-II3Ext!$H$35)/12</f>
        <v>85</v>
      </c>
      <c r="AG1209" s="61">
        <f t="shared" si="109"/>
        <v>80.099999999999994</v>
      </c>
      <c r="AH1209" s="65"/>
      <c r="AI1209" s="58">
        <v>2</v>
      </c>
      <c r="AJ1209" s="59">
        <v>11</v>
      </c>
      <c r="AK1209" s="65"/>
      <c r="AL1209" s="383">
        <f>ROUNDDOWN(II3Ext!$H$30*AF1210/500,1)*5</f>
        <v>32</v>
      </c>
      <c r="AM1209" s="352">
        <f t="shared" si="110"/>
        <v>30.5</v>
      </c>
      <c r="AN1209" s="63">
        <f t="shared" si="108"/>
        <v>2</v>
      </c>
    </row>
    <row r="1210" spans="20:40" ht="12.75" customHeight="1" x14ac:dyDescent="0.2">
      <c r="U1210" s="108">
        <f>+II3Ext!A47</f>
        <v>0</v>
      </c>
      <c r="V1210" s="111">
        <f>IF(II3Ext!$H$32="M",AN1209+U1210,AN1252+U1210)</f>
        <v>2</v>
      </c>
      <c r="W1210" s="56">
        <f t="shared" si="111"/>
        <v>32</v>
      </c>
      <c r="X1210" s="352">
        <f t="shared" si="112"/>
        <v>30.5</v>
      </c>
      <c r="Y1210" s="56">
        <v>11</v>
      </c>
      <c r="Z1210" s="115" t="str">
        <f>IF(ABS(IF(II3Ext!$H$32="M",AL1209-W1210,AL1252-W1210))&gt;1,"ALARM"," ")</f>
        <v xml:space="preserve"> </v>
      </c>
      <c r="AA1210" s="63" t="str">
        <f>IF(ABS(IF(II3Ext!$H$32="M",AM1209-X1210,AM1252-X1210))&gt;1,"ALARM"," ")</f>
        <v xml:space="preserve"> </v>
      </c>
      <c r="AB1210" s="65"/>
      <c r="AC1210" s="58">
        <v>2</v>
      </c>
      <c r="AD1210" s="59">
        <v>11</v>
      </c>
      <c r="AE1210" s="65"/>
      <c r="AF1210" s="60">
        <f>II3Ext!$H$35+8*(100-II3Ext!$H$35)/12</f>
        <v>80</v>
      </c>
      <c r="AG1210" s="61">
        <f t="shared" si="109"/>
        <v>75.099999999999994</v>
      </c>
      <c r="AH1210" s="65"/>
      <c r="AI1210" s="81" t="s">
        <v>22</v>
      </c>
      <c r="AJ1210" s="69">
        <v>10</v>
      </c>
      <c r="AK1210" s="70"/>
      <c r="AL1210" s="383">
        <f>ROUNDDOWN(II3Ext!$H$30*AF1211/500,1)*5</f>
        <v>30</v>
      </c>
      <c r="AM1210" s="352">
        <f t="shared" si="110"/>
        <v>28.5</v>
      </c>
      <c r="AN1210" s="73">
        <f t="shared" si="108"/>
        <v>2</v>
      </c>
    </row>
    <row r="1211" spans="20:40" ht="12.75" customHeight="1" x14ac:dyDescent="0.2">
      <c r="U1211" s="108">
        <f>+II3Ext!A48</f>
        <v>0</v>
      </c>
      <c r="V1211" s="113">
        <f>IF(II3Ext!$H$32="M",AN1210+U1211,AN1253+U1211)</f>
        <v>2</v>
      </c>
      <c r="W1211" s="75">
        <f t="shared" si="111"/>
        <v>30</v>
      </c>
      <c r="X1211" s="352">
        <f t="shared" si="112"/>
        <v>28.5</v>
      </c>
      <c r="Y1211" s="75">
        <v>10</v>
      </c>
      <c r="Z1211" s="115" t="str">
        <f>IF(ABS(IF(II3Ext!$H$32="M",AL1210-W1211,AL1253-W1211))&gt;1,"ALARM"," ")</f>
        <v xml:space="preserve"> </v>
      </c>
      <c r="AA1211" s="63" t="str">
        <f>IF(ABS(IF(II3Ext!$H$32="M",AM1210-X1211,AM1253-X1211))&gt;1,"ALARM"," ")</f>
        <v xml:space="preserve"> </v>
      </c>
      <c r="AB1211" s="65"/>
      <c r="AC1211" s="81" t="s">
        <v>22</v>
      </c>
      <c r="AD1211" s="69">
        <v>10</v>
      </c>
      <c r="AE1211" s="70"/>
      <c r="AF1211" s="82">
        <f>II3Ext!$H$35+7*(100-II3Ext!$H$35)/12</f>
        <v>75</v>
      </c>
      <c r="AG1211" s="83">
        <f t="shared" si="109"/>
        <v>70.099999999999994</v>
      </c>
      <c r="AH1211" s="65"/>
      <c r="AI1211" s="78" t="s">
        <v>50</v>
      </c>
      <c r="AJ1211" s="59">
        <v>9</v>
      </c>
      <c r="AK1211" s="65"/>
      <c r="AL1211" s="383">
        <f>ROUNDDOWN(II3Ext!$H$30*AF1212/500,1)*5</f>
        <v>28</v>
      </c>
      <c r="AM1211" s="352">
        <f t="shared" si="110"/>
        <v>26.5</v>
      </c>
      <c r="AN1211" s="63">
        <f t="shared" si="108"/>
        <v>2</v>
      </c>
    </row>
    <row r="1212" spans="20:40" ht="12.75" customHeight="1" x14ac:dyDescent="0.2">
      <c r="U1212" s="108">
        <f>+II3Ext!A49</f>
        <v>0</v>
      </c>
      <c r="V1212" s="111">
        <f>IF(II3Ext!$H$32="M",AN1211+U1212,AN1254+U1212)</f>
        <v>2</v>
      </c>
      <c r="W1212" s="56">
        <f t="shared" si="111"/>
        <v>28</v>
      </c>
      <c r="X1212" s="352">
        <f t="shared" si="112"/>
        <v>26.5</v>
      </c>
      <c r="Y1212" s="56">
        <v>9</v>
      </c>
      <c r="Z1212" s="117" t="str">
        <f>IF(ABS(IF(II3Ext!$H$32="M",AL1211-W1212,AL1254-W1212))&gt;1,"ALARM"," ")</f>
        <v xml:space="preserve"> </v>
      </c>
      <c r="AA1212" s="114" t="str">
        <f>IF(ABS(IF(II3Ext!$H$32="M",AM1211-X1212,AM1254-X1212))&gt;1,"ALARM"," ")</f>
        <v xml:space="preserve"> </v>
      </c>
      <c r="AB1212" s="65"/>
      <c r="AC1212" s="78" t="s">
        <v>50</v>
      </c>
      <c r="AD1212" s="59">
        <v>9</v>
      </c>
      <c r="AE1212" s="65"/>
      <c r="AF1212" s="60">
        <f>II3Ext!$H$35+6*(100-II3Ext!$H$35)/12</f>
        <v>70</v>
      </c>
      <c r="AG1212" s="61">
        <f t="shared" si="109"/>
        <v>65.099999999999994</v>
      </c>
      <c r="AH1212" s="65"/>
      <c r="AI1212" s="58">
        <v>3</v>
      </c>
      <c r="AJ1212" s="59">
        <v>8</v>
      </c>
      <c r="AK1212" s="65"/>
      <c r="AL1212" s="383">
        <f>ROUNDDOWN(II3Ext!$H$30*AF1213/500,1)*5</f>
        <v>26</v>
      </c>
      <c r="AM1212" s="352">
        <f t="shared" si="110"/>
        <v>24.5</v>
      </c>
      <c r="AN1212" s="63">
        <f t="shared" si="108"/>
        <v>2</v>
      </c>
    </row>
    <row r="1213" spans="20:40" ht="12.75" customHeight="1" x14ac:dyDescent="0.2">
      <c r="U1213" s="108">
        <f>+II3Ext!A50</f>
        <v>0</v>
      </c>
      <c r="V1213" s="111">
        <f>IF(II3Ext!$H$32="M",AN1212+U1213,AN1255+U1213)</f>
        <v>2</v>
      </c>
      <c r="W1213" s="56">
        <f t="shared" si="111"/>
        <v>26</v>
      </c>
      <c r="X1213" s="352">
        <f t="shared" si="112"/>
        <v>24.5</v>
      </c>
      <c r="Y1213" s="56">
        <v>8</v>
      </c>
      <c r="Z1213" s="115" t="str">
        <f>IF(ABS(IF(II3Ext!$H$32="M",AL1212-W1213,AL1255-W1213))&gt;1,"ALARM"," ")</f>
        <v xml:space="preserve"> </v>
      </c>
      <c r="AA1213" s="63" t="str">
        <f>IF(ABS(IF(II3Ext!$H$32="M",AM1212-X1213,AM1255-X1213))&gt;1,"ALARM"," ")</f>
        <v xml:space="preserve"> </v>
      </c>
      <c r="AB1213" s="65"/>
      <c r="AC1213" s="58">
        <v>3</v>
      </c>
      <c r="AD1213" s="59">
        <v>8</v>
      </c>
      <c r="AE1213" s="65"/>
      <c r="AF1213" s="60">
        <f>II3Ext!$H$35+5*(100-II3Ext!$H$35)/12</f>
        <v>65</v>
      </c>
      <c r="AG1213" s="61">
        <f t="shared" si="109"/>
        <v>60.1</v>
      </c>
      <c r="AH1213" s="65"/>
      <c r="AI1213" s="81" t="s">
        <v>22</v>
      </c>
      <c r="AJ1213" s="69">
        <v>7</v>
      </c>
      <c r="AK1213" s="70"/>
      <c r="AL1213" s="383">
        <f>ROUNDDOWN(II3Ext!$H$30*AF1214/500,1)*5</f>
        <v>24</v>
      </c>
      <c r="AM1213" s="352">
        <f t="shared" si="110"/>
        <v>22.5</v>
      </c>
      <c r="AN1213" s="73">
        <f t="shared" si="108"/>
        <v>2</v>
      </c>
    </row>
    <row r="1214" spans="20:40" ht="12.75" customHeight="1" x14ac:dyDescent="0.2">
      <c r="U1214" s="108">
        <f>+II3Ext!A51</f>
        <v>0</v>
      </c>
      <c r="V1214" s="111">
        <f>IF(II3Ext!$H$32="M",AN1213+U1214,AN1256+U1214)</f>
        <v>2</v>
      </c>
      <c r="W1214" s="75">
        <f t="shared" si="111"/>
        <v>24</v>
      </c>
      <c r="X1214" s="352">
        <f t="shared" si="112"/>
        <v>22.5</v>
      </c>
      <c r="Y1214" s="75">
        <v>7</v>
      </c>
      <c r="Z1214" s="118" t="str">
        <f>IF(ABS(IF(II3Ext!$H$32="M",AL1213-W1214,AL1256-W1214))&gt;1,"ALARM"," ")</f>
        <v xml:space="preserve"> </v>
      </c>
      <c r="AA1214" s="73" t="str">
        <f>IF(ABS(IF(II3Ext!$H$32="M",AM1213-X1214,AM1256-X1214))&gt;1,"ALARM"," ")</f>
        <v xml:space="preserve"> </v>
      </c>
      <c r="AB1214" s="65"/>
      <c r="AC1214" s="81" t="s">
        <v>22</v>
      </c>
      <c r="AD1214" s="69">
        <v>7</v>
      </c>
      <c r="AE1214" s="70"/>
      <c r="AF1214" s="82">
        <f>II3Ext!$H$35+4*(100-II3Ext!$H$35)/12</f>
        <v>60</v>
      </c>
      <c r="AG1214" s="83">
        <f t="shared" si="109"/>
        <v>55.1</v>
      </c>
      <c r="AH1214" s="65"/>
      <c r="AI1214" s="78" t="s">
        <v>50</v>
      </c>
      <c r="AJ1214" s="59">
        <v>6</v>
      </c>
      <c r="AK1214" s="65"/>
      <c r="AL1214" s="383">
        <f>ROUNDDOWN(II3Ext!$H$30*AF1215/500,1)*5</f>
        <v>22</v>
      </c>
      <c r="AM1214" s="352">
        <f t="shared" si="110"/>
        <v>20.5</v>
      </c>
      <c r="AN1214" s="63">
        <f t="shared" si="108"/>
        <v>2</v>
      </c>
    </row>
    <row r="1215" spans="20:40" ht="12.75" customHeight="1" x14ac:dyDescent="0.2">
      <c r="U1215" s="108">
        <f>+II3Ext!A52</f>
        <v>0</v>
      </c>
      <c r="V1215" s="110">
        <f>IF(II3Ext!$H$32="M",AN1214+U1215,AN1257+U1215)</f>
        <v>2</v>
      </c>
      <c r="W1215" s="56">
        <f t="shared" si="111"/>
        <v>22</v>
      </c>
      <c r="X1215" s="352">
        <f t="shared" si="112"/>
        <v>20.5</v>
      </c>
      <c r="Y1215" s="56">
        <v>6</v>
      </c>
      <c r="Z1215" s="115" t="str">
        <f>IF(ABS(IF(II3Ext!$H$32="M",AL1214-W1215,AL1257-W1215))&gt;1,"ALARM"," ")</f>
        <v xml:space="preserve"> </v>
      </c>
      <c r="AA1215" s="63" t="str">
        <f>IF(ABS(IF(II3Ext!$H$32="M",AM1214-X1215,AM1257-X1215))&gt;1,"ALARM"," ")</f>
        <v xml:space="preserve"> </v>
      </c>
      <c r="AB1215" s="65"/>
      <c r="AC1215" s="78" t="s">
        <v>50</v>
      </c>
      <c r="AD1215" s="59">
        <v>6</v>
      </c>
      <c r="AE1215" s="65"/>
      <c r="AF1215" s="60">
        <f>II3Ext!$H$35+3*(100-II3Ext!$H$35)/12</f>
        <v>55</v>
      </c>
      <c r="AG1215" s="61">
        <f t="shared" si="109"/>
        <v>50.1</v>
      </c>
      <c r="AH1215" s="65"/>
      <c r="AI1215" s="58">
        <v>4</v>
      </c>
      <c r="AJ1215" s="59">
        <v>5</v>
      </c>
      <c r="AK1215" s="65"/>
      <c r="AL1215" s="383">
        <f>ROUNDDOWN(II3Ext!$H$30*AF1216/500,1)*5</f>
        <v>20</v>
      </c>
      <c r="AM1215" s="352">
        <f t="shared" si="110"/>
        <v>18.5</v>
      </c>
      <c r="AN1215" s="63">
        <f t="shared" si="108"/>
        <v>2</v>
      </c>
    </row>
    <row r="1216" spans="20:40" ht="12.75" customHeight="1" x14ac:dyDescent="0.2">
      <c r="U1216" s="108">
        <f>+II3Ext!A53</f>
        <v>0</v>
      </c>
      <c r="V1216" s="111">
        <f>IF(II3Ext!$H$32="M",AN1215+U1216,AN1258+U1216)</f>
        <v>2</v>
      </c>
      <c r="W1216" s="56">
        <f t="shared" si="111"/>
        <v>20</v>
      </c>
      <c r="X1216" s="352">
        <f t="shared" si="112"/>
        <v>18.5</v>
      </c>
      <c r="Y1216" s="56">
        <v>5</v>
      </c>
      <c r="Z1216" s="115" t="str">
        <f>IF(ABS(IF(II3Ext!$H$32="M",AL1215-W1216,AL1258-W1216))&gt;1,"ALARM"," ")</f>
        <v xml:space="preserve"> </v>
      </c>
      <c r="AA1216" s="63" t="str">
        <f>IF(ABS(IF(II3Ext!$H$32="M",AM1215-X1216,AM1258-X1216))&gt;1,"ALARM"," ")</f>
        <v xml:space="preserve"> </v>
      </c>
      <c r="AB1216" s="65"/>
      <c r="AC1216" s="58">
        <v>4</v>
      </c>
      <c r="AD1216" s="59">
        <v>5</v>
      </c>
      <c r="AE1216" s="65"/>
      <c r="AF1216" s="60">
        <f>II3Ext!$H$35+2*(100-II3Ext!$H$35)/12</f>
        <v>50</v>
      </c>
      <c r="AG1216" s="61">
        <f t="shared" si="109"/>
        <v>45.1</v>
      </c>
      <c r="AH1216" s="65"/>
      <c r="AI1216" s="81" t="s">
        <v>22</v>
      </c>
      <c r="AJ1216" s="69">
        <v>4</v>
      </c>
      <c r="AK1216" s="70"/>
      <c r="AL1216" s="383">
        <f>ROUNDDOWN(II3Ext!$H$30*AF1217/500,1)*5</f>
        <v>18</v>
      </c>
      <c r="AM1216" s="352">
        <f t="shared" si="110"/>
        <v>16.5</v>
      </c>
      <c r="AN1216" s="73">
        <f t="shared" si="108"/>
        <v>2</v>
      </c>
    </row>
    <row r="1217" spans="21:40" ht="12.75" customHeight="1" x14ac:dyDescent="0.2">
      <c r="U1217" s="108">
        <f>+II3Ext!A54</f>
        <v>0</v>
      </c>
      <c r="V1217" s="113">
        <f>IF(II3Ext!$H$32="M",AN1216+U1217,AN1259+U1217)</f>
        <v>2</v>
      </c>
      <c r="W1217" s="75">
        <f t="shared" si="111"/>
        <v>18</v>
      </c>
      <c r="X1217" s="352">
        <f t="shared" si="112"/>
        <v>16.5</v>
      </c>
      <c r="Y1217" s="75">
        <v>4</v>
      </c>
      <c r="Z1217" s="115" t="str">
        <f>IF(ABS(IF(II3Ext!$H$32="M",AL1216-W1217,AL1259-W1217))&gt;1,"ALARM"," ")</f>
        <v xml:space="preserve"> </v>
      </c>
      <c r="AA1217" s="63" t="str">
        <f>IF(ABS(IF(II3Ext!$H$32="M",AM1216-X1217,AM1259-X1217))&gt;1,"ALARM"," ")</f>
        <v xml:space="preserve"> </v>
      </c>
      <c r="AB1217" s="65"/>
      <c r="AC1217" s="81" t="s">
        <v>22</v>
      </c>
      <c r="AD1217" s="69">
        <v>4</v>
      </c>
      <c r="AE1217" s="70"/>
      <c r="AF1217" s="82">
        <f>II3Ext!$H$35+1*(100-II3Ext!$H$35)/12</f>
        <v>45</v>
      </c>
      <c r="AG1217" s="83">
        <f t="shared" si="109"/>
        <v>40.1</v>
      </c>
      <c r="AH1217" s="65"/>
      <c r="AI1217" s="78" t="s">
        <v>50</v>
      </c>
      <c r="AJ1217" s="59">
        <v>3</v>
      </c>
      <c r="AK1217" s="65"/>
      <c r="AL1217" s="383">
        <f>ROUNDDOWN(II3Ext!$H$30*AF1218/500,1)*5</f>
        <v>16</v>
      </c>
      <c r="AM1217" s="352">
        <f t="shared" si="110"/>
        <v>13.5</v>
      </c>
      <c r="AN1217" s="63">
        <f t="shared" si="108"/>
        <v>3</v>
      </c>
    </row>
    <row r="1218" spans="21:40" ht="12.75" customHeight="1" x14ac:dyDescent="0.2">
      <c r="U1218" s="108">
        <f>+II3Ext!A55</f>
        <v>0</v>
      </c>
      <c r="V1218" s="110">
        <f>IF(II3Ext!$H$32="M",AN1217+U1218,AN1260+U1218)</f>
        <v>3</v>
      </c>
      <c r="W1218" s="56">
        <f t="shared" si="111"/>
        <v>16</v>
      </c>
      <c r="X1218" s="352">
        <f t="shared" si="112"/>
        <v>13.5</v>
      </c>
      <c r="Y1218" s="56">
        <v>3</v>
      </c>
      <c r="Z1218" s="117" t="str">
        <f>IF(ABS(IF(II3Ext!$H$32="M",AL1217-W1218,AL1260-W1218))&gt;1,"ALARM"," ")</f>
        <v xml:space="preserve"> </v>
      </c>
      <c r="AA1218" s="114" t="str">
        <f>IF(ABS(IF(II3Ext!$H$32="M",AM1217-X1218,AM1260-X1218))&gt;1,"ALARM"," ")</f>
        <v xml:space="preserve"> </v>
      </c>
      <c r="AB1218" s="65"/>
      <c r="AC1218" s="78" t="s">
        <v>50</v>
      </c>
      <c r="AD1218" s="59">
        <v>3</v>
      </c>
      <c r="AE1218" s="65"/>
      <c r="AF1218" s="60">
        <f>II3Ext!$H$35</f>
        <v>40</v>
      </c>
      <c r="AG1218" s="61">
        <f>AF1219+0.01</f>
        <v>33.343333333333334</v>
      </c>
      <c r="AH1218" s="65"/>
      <c r="AI1218" s="58">
        <v>5</v>
      </c>
      <c r="AJ1218" s="59">
        <v>2</v>
      </c>
      <c r="AK1218" s="65"/>
      <c r="AL1218" s="383">
        <f>ROUNDDOWN(II3Ext!$H$30*AF1219/500,1)*5</f>
        <v>13</v>
      </c>
      <c r="AM1218" s="352">
        <f t="shared" si="110"/>
        <v>11</v>
      </c>
      <c r="AN1218" s="63">
        <f t="shared" si="108"/>
        <v>2.5</v>
      </c>
    </row>
    <row r="1219" spans="21:40" ht="12.75" customHeight="1" x14ac:dyDescent="0.2">
      <c r="U1219" s="108">
        <f>+II3Ext!A56</f>
        <v>0</v>
      </c>
      <c r="V1219" s="111">
        <f>IF(II3Ext!$H$32="M",AN1218+U1219,AN1261+U1219)</f>
        <v>2.5</v>
      </c>
      <c r="W1219" s="56">
        <f t="shared" si="111"/>
        <v>13</v>
      </c>
      <c r="X1219" s="352">
        <f t="shared" si="112"/>
        <v>11</v>
      </c>
      <c r="Y1219" s="56">
        <v>2</v>
      </c>
      <c r="Z1219" s="115" t="str">
        <f>IF(ABS(IF(II3Ext!$H$32="M",AL1218-W1219,AL1261-W1219))&gt;1,"ALARM"," ")</f>
        <v xml:space="preserve"> </v>
      </c>
      <c r="AA1219" s="63" t="str">
        <f>IF(ABS(IF(II3Ext!$H$32="M",AM1218-X1219,AM1261-X1219))&gt;1,"ALARM"," ")</f>
        <v xml:space="preserve"> </v>
      </c>
      <c r="AB1219" s="65"/>
      <c r="AC1219" s="58">
        <v>5</v>
      </c>
      <c r="AD1219" s="59">
        <v>2</v>
      </c>
      <c r="AE1219" s="65"/>
      <c r="AF1219" s="60">
        <f>AG1220+2*(AF1218-AG1220)/3</f>
        <v>33.333333333333336</v>
      </c>
      <c r="AG1219" s="61">
        <f>AF1220+0.01</f>
        <v>26.676666666666669</v>
      </c>
      <c r="AH1219" s="65"/>
      <c r="AI1219" s="81" t="s">
        <v>22</v>
      </c>
      <c r="AJ1219" s="69">
        <v>1</v>
      </c>
      <c r="AK1219" s="70"/>
      <c r="AL1219" s="383">
        <f>ROUNDDOWN(II3Ext!$H$30*AF1220/500,1)*5</f>
        <v>10.5</v>
      </c>
      <c r="AM1219" s="72">
        <f>ROUNDUP(II3Ext!$H$30*(II3Ext!$H$34/500),1)*5</f>
        <v>8</v>
      </c>
      <c r="AN1219" s="73">
        <f t="shared" si="108"/>
        <v>3</v>
      </c>
    </row>
    <row r="1220" spans="21:40" ht="12.75" customHeight="1" thickBot="1" x14ac:dyDescent="0.25">
      <c r="U1220" s="108">
        <f>+II3Ext!A57</f>
        <v>0</v>
      </c>
      <c r="V1220" s="113">
        <f>IF(II3Ext!$H$32="M",AN1219+U1220,AN1262+U1220)</f>
        <v>3</v>
      </c>
      <c r="W1220" s="75">
        <f t="shared" si="111"/>
        <v>10.5</v>
      </c>
      <c r="X1220" s="352">
        <f t="shared" si="112"/>
        <v>8</v>
      </c>
      <c r="Y1220" s="75">
        <v>1</v>
      </c>
      <c r="Z1220" s="118" t="str">
        <f>IF(ABS(IF(II3Ext!$H$32="M",AL1219-W1220,AL1262-W1220))&gt;1,"ALARM"," ")</f>
        <v xml:space="preserve"> </v>
      </c>
      <c r="AA1220" s="73" t="str">
        <f>IF(ABS(IF(II3Ext!$H$32="M",AM1219-X1220,AM1262-X1220))&gt;1,"ALARM"," ")</f>
        <v xml:space="preserve"> </v>
      </c>
      <c r="AB1220" s="65"/>
      <c r="AC1220" s="81" t="s">
        <v>22</v>
      </c>
      <c r="AD1220" s="69">
        <v>1</v>
      </c>
      <c r="AE1220" s="70"/>
      <c r="AF1220" s="82">
        <f>AG1220+(AF1218-AG1220)/3</f>
        <v>26.666666666666668</v>
      </c>
      <c r="AG1220" s="83">
        <f>II3Ext!$H$34</f>
        <v>20</v>
      </c>
      <c r="AH1220" s="65"/>
      <c r="AI1220" s="89">
        <v>6</v>
      </c>
      <c r="AJ1220" s="90">
        <v>0</v>
      </c>
      <c r="AK1220" s="91"/>
      <c r="AL1220" s="92">
        <f>AM1219-0.5</f>
        <v>7.5</v>
      </c>
      <c r="AM1220" s="93">
        <v>0</v>
      </c>
      <c r="AN1220" s="94">
        <f>IF(AM1220&gt;AM1219,"ALARM",AL1220)</f>
        <v>7.5</v>
      </c>
    </row>
    <row r="1221" spans="21:40" ht="12.75" customHeight="1" thickBot="1" x14ac:dyDescent="0.25">
      <c r="U1221" s="43" t="s">
        <v>51</v>
      </c>
      <c r="V1221" s="112">
        <f>IF(II3Ext!$H$32="M",+W1221,W1263)</f>
        <v>7.5</v>
      </c>
      <c r="W1221" s="95">
        <f t="shared" si="111"/>
        <v>7.5</v>
      </c>
      <c r="X1221" s="93">
        <v>0</v>
      </c>
      <c r="Y1221" s="95">
        <v>0</v>
      </c>
      <c r="Z1221" s="116" t="str">
        <f>IF(ABS(IF(II3Ext!$H$32="M",AL1220-W1221,AL1263-W1221))&gt;1,"ALARM"," ")</f>
        <v xml:space="preserve"> </v>
      </c>
      <c r="AA1221" s="94" t="str">
        <f>IF(ABS(IF(II3Ext!$H$32="M",AM1220-X1221,AM1263-X1221))&gt;1,"ALARM"," ")</f>
        <v xml:space="preserve"> </v>
      </c>
      <c r="AB1221" s="65"/>
      <c r="AC1221" s="89">
        <v>6</v>
      </c>
      <c r="AD1221" s="90">
        <v>0</v>
      </c>
      <c r="AE1221" s="91"/>
      <c r="AF1221" s="96">
        <f>II3Ext!$H$34-0.1</f>
        <v>19.899999999999999</v>
      </c>
      <c r="AG1221" s="97">
        <v>0</v>
      </c>
      <c r="AH1221" s="65"/>
      <c r="AI1221" s="65"/>
      <c r="AJ1221" s="65"/>
      <c r="AK1221" s="65"/>
      <c r="AL1221" s="65"/>
      <c r="AM1221" s="65"/>
      <c r="AN1221" s="65"/>
    </row>
    <row r="1222" spans="21:40" ht="12.75" customHeight="1" x14ac:dyDescent="0.2"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</row>
    <row r="1223" spans="21:40" ht="12.75" customHeight="1" x14ac:dyDescent="0.2"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</row>
    <row r="1224" spans="21:40" ht="12.75" customHeight="1" x14ac:dyDescent="0.2">
      <c r="U1224" s="46"/>
      <c r="V1224" s="359">
        <f t="shared" ref="V1224:V1239" si="113">+X1224</f>
        <v>0</v>
      </c>
      <c r="W1224" s="359">
        <f>+W1221</f>
        <v>7.5</v>
      </c>
      <c r="X1224" s="359">
        <f>+X1221</f>
        <v>0</v>
      </c>
      <c r="Y1224" s="46">
        <f>+Y1221</f>
        <v>0</v>
      </c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</row>
    <row r="1225" spans="21:40" ht="12.75" customHeight="1" x14ac:dyDescent="0.2">
      <c r="U1225" s="46"/>
      <c r="V1225" s="359">
        <f t="shared" si="113"/>
        <v>8</v>
      </c>
      <c r="W1225" s="359">
        <f>+W1220</f>
        <v>10.5</v>
      </c>
      <c r="X1225" s="359">
        <f>+X1220</f>
        <v>8</v>
      </c>
      <c r="Y1225" s="46">
        <f>+Y1220</f>
        <v>1</v>
      </c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</row>
    <row r="1226" spans="21:40" ht="12.75" customHeight="1" x14ac:dyDescent="0.2">
      <c r="U1226" s="46"/>
      <c r="V1226" s="359">
        <f t="shared" si="113"/>
        <v>11</v>
      </c>
      <c r="W1226" s="359">
        <f>+W1219</f>
        <v>13</v>
      </c>
      <c r="X1226" s="359">
        <f>+X1219</f>
        <v>11</v>
      </c>
      <c r="Y1226" s="46">
        <f>+Y1219</f>
        <v>2</v>
      </c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</row>
    <row r="1227" spans="21:40" ht="12.75" customHeight="1" x14ac:dyDescent="0.2">
      <c r="U1227" s="46"/>
      <c r="V1227" s="359">
        <f t="shared" si="113"/>
        <v>13.5</v>
      </c>
      <c r="W1227" s="359">
        <f>+W1218</f>
        <v>16</v>
      </c>
      <c r="X1227" s="359">
        <f>+X1218</f>
        <v>13.5</v>
      </c>
      <c r="Y1227" s="46">
        <f>+Y1218</f>
        <v>3</v>
      </c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</row>
    <row r="1228" spans="21:40" ht="12.75" customHeight="1" x14ac:dyDescent="0.2">
      <c r="U1228" s="46"/>
      <c r="V1228" s="359">
        <f t="shared" si="113"/>
        <v>16.5</v>
      </c>
      <c r="W1228" s="359">
        <f>+W1217</f>
        <v>18</v>
      </c>
      <c r="X1228" s="359">
        <f>+X1217</f>
        <v>16.5</v>
      </c>
      <c r="Y1228" s="46">
        <f>+Y1217</f>
        <v>4</v>
      </c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</row>
    <row r="1229" spans="21:40" ht="12.75" customHeight="1" x14ac:dyDescent="0.2">
      <c r="U1229" s="46"/>
      <c r="V1229" s="359">
        <f t="shared" si="113"/>
        <v>18.5</v>
      </c>
      <c r="W1229" s="359">
        <f>+W1216</f>
        <v>20</v>
      </c>
      <c r="X1229" s="359">
        <f>+X1216</f>
        <v>18.5</v>
      </c>
      <c r="Y1229" s="46">
        <f>+Y1216</f>
        <v>5</v>
      </c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</row>
    <row r="1230" spans="21:40" ht="12.75" customHeight="1" x14ac:dyDescent="0.2">
      <c r="U1230" s="46"/>
      <c r="V1230" s="359">
        <f t="shared" si="113"/>
        <v>20.5</v>
      </c>
      <c r="W1230" s="359">
        <f>+W1215</f>
        <v>22</v>
      </c>
      <c r="X1230" s="359">
        <f>+X1215</f>
        <v>20.5</v>
      </c>
      <c r="Y1230" s="46">
        <f>+Y1215</f>
        <v>6</v>
      </c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</row>
    <row r="1231" spans="21:40" ht="12.75" customHeight="1" x14ac:dyDescent="0.2">
      <c r="U1231" s="46"/>
      <c r="V1231" s="359">
        <f t="shared" si="113"/>
        <v>22.5</v>
      </c>
      <c r="W1231" s="359">
        <f>+W1214</f>
        <v>24</v>
      </c>
      <c r="X1231" s="359">
        <f>+X1214</f>
        <v>22.5</v>
      </c>
      <c r="Y1231" s="46">
        <f>+Y1214</f>
        <v>7</v>
      </c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</row>
    <row r="1232" spans="21:40" ht="12.75" customHeight="1" x14ac:dyDescent="0.2">
      <c r="U1232" s="46"/>
      <c r="V1232" s="359">
        <f t="shared" si="113"/>
        <v>24.5</v>
      </c>
      <c r="W1232" s="359">
        <f>+W1213</f>
        <v>26</v>
      </c>
      <c r="X1232" s="359">
        <f>+X1213</f>
        <v>24.5</v>
      </c>
      <c r="Y1232" s="46">
        <f>+Y1213</f>
        <v>8</v>
      </c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</row>
    <row r="1233" spans="21:40" ht="12.75" customHeight="1" x14ac:dyDescent="0.2">
      <c r="U1233" s="46"/>
      <c r="V1233" s="359">
        <f t="shared" si="113"/>
        <v>26.5</v>
      </c>
      <c r="W1233" s="359">
        <f>+W1212</f>
        <v>28</v>
      </c>
      <c r="X1233" s="359">
        <f>+X1212</f>
        <v>26.5</v>
      </c>
      <c r="Y1233" s="46">
        <f>+Y1212</f>
        <v>9</v>
      </c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</row>
    <row r="1234" spans="21:40" ht="12.75" customHeight="1" x14ac:dyDescent="0.2">
      <c r="U1234" s="46"/>
      <c r="V1234" s="359">
        <f t="shared" si="113"/>
        <v>28.5</v>
      </c>
      <c r="W1234" s="359">
        <f>+W1211</f>
        <v>30</v>
      </c>
      <c r="X1234" s="359">
        <f>+X1211</f>
        <v>28.5</v>
      </c>
      <c r="Y1234" s="46">
        <f>+Y1211</f>
        <v>10</v>
      </c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</row>
    <row r="1235" spans="21:40" ht="12.75" customHeight="1" x14ac:dyDescent="0.2">
      <c r="U1235" s="46"/>
      <c r="V1235" s="359">
        <f t="shared" si="113"/>
        <v>30.5</v>
      </c>
      <c r="W1235" s="359">
        <f>+W1210</f>
        <v>32</v>
      </c>
      <c r="X1235" s="359">
        <f>+X1210</f>
        <v>30.5</v>
      </c>
      <c r="Y1235" s="46">
        <f>+Y1210</f>
        <v>11</v>
      </c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</row>
    <row r="1236" spans="21:40" ht="12.75" customHeight="1" x14ac:dyDescent="0.2">
      <c r="U1236" s="46"/>
      <c r="V1236" s="359">
        <f t="shared" si="113"/>
        <v>32.5</v>
      </c>
      <c r="W1236" s="359">
        <f>+W1209</f>
        <v>34</v>
      </c>
      <c r="X1236" s="359">
        <f>+X1209</f>
        <v>32.5</v>
      </c>
      <c r="Y1236" s="46">
        <f>+Y1209</f>
        <v>12</v>
      </c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</row>
    <row r="1237" spans="21:40" ht="12.75" customHeight="1" x14ac:dyDescent="0.2">
      <c r="U1237" s="46"/>
      <c r="V1237" s="359">
        <f t="shared" si="113"/>
        <v>34.5</v>
      </c>
      <c r="W1237" s="359">
        <f>+W1208</f>
        <v>36</v>
      </c>
      <c r="X1237" s="359">
        <f>+X1208</f>
        <v>34.5</v>
      </c>
      <c r="Y1237" s="46">
        <f>+Y1208</f>
        <v>13</v>
      </c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</row>
    <row r="1238" spans="21:40" ht="12.75" customHeight="1" x14ac:dyDescent="0.2">
      <c r="U1238" s="46"/>
      <c r="V1238" s="359">
        <f t="shared" si="113"/>
        <v>36.5</v>
      </c>
      <c r="W1238" s="359">
        <f>+W1207</f>
        <v>38</v>
      </c>
      <c r="X1238" s="359">
        <f>+X1207</f>
        <v>36.5</v>
      </c>
      <c r="Y1238" s="46">
        <f>+Y1207</f>
        <v>14</v>
      </c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</row>
    <row r="1239" spans="21:40" ht="12.75" customHeight="1" x14ac:dyDescent="0.2">
      <c r="U1239" s="46"/>
      <c r="V1239" s="359">
        <f t="shared" si="113"/>
        <v>38.5</v>
      </c>
      <c r="W1239" s="359">
        <f>+W1206</f>
        <v>40</v>
      </c>
      <c r="X1239" s="359">
        <f>+X1206</f>
        <v>38.5</v>
      </c>
      <c r="Y1239" s="98">
        <f>+Y1206</f>
        <v>15</v>
      </c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</row>
    <row r="1240" spans="21:40" ht="12.75" customHeight="1" x14ac:dyDescent="0.2"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</row>
    <row r="1241" spans="21:40" ht="12.75" customHeight="1" x14ac:dyDescent="0.2"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</row>
    <row r="1242" spans="21:40" ht="12.75" customHeight="1" x14ac:dyDescent="0.2"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</row>
    <row r="1243" spans="21:40" ht="12.75" customHeight="1" x14ac:dyDescent="0.2"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52"/>
      <c r="AI1243" s="57"/>
      <c r="AJ1243" s="60"/>
      <c r="AK1243" s="60"/>
      <c r="AL1243" s="52"/>
      <c r="AM1243" s="88"/>
      <c r="AN1243" s="57"/>
    </row>
    <row r="1244" spans="21:40" ht="12.75" customHeight="1" thickBot="1" x14ac:dyDescent="0.25">
      <c r="U1244" s="360"/>
      <c r="V1244" s="375"/>
      <c r="W1244" s="454"/>
      <c r="X1244" s="454"/>
      <c r="Y1244" s="65"/>
      <c r="Z1244" s="454"/>
      <c r="AA1244" s="454"/>
      <c r="AB1244" s="46"/>
      <c r="AC1244" s="65"/>
      <c r="AD1244" s="57"/>
      <c r="AE1244" s="57"/>
      <c r="AF1244" s="60"/>
      <c r="AG1244" s="60"/>
      <c r="AH1244" s="52"/>
      <c r="AI1244" s="65"/>
      <c r="AJ1244" s="57"/>
      <c r="AK1244" s="65"/>
      <c r="AL1244" s="57"/>
      <c r="AM1244" s="57"/>
      <c r="AN1244" s="57"/>
    </row>
    <row r="1245" spans="21:40" ht="12.75" customHeight="1" x14ac:dyDescent="0.2">
      <c r="U1245" s="376"/>
      <c r="V1245" s="375"/>
      <c r="W1245" s="458"/>
      <c r="X1245" s="458"/>
      <c r="Y1245" s="65"/>
      <c r="Z1245" s="454"/>
      <c r="AA1245" s="454"/>
      <c r="AB1245" s="46"/>
      <c r="AC1245" s="49" t="s">
        <v>17</v>
      </c>
      <c r="AD1245" s="50" t="s">
        <v>32</v>
      </c>
      <c r="AE1245" s="51"/>
      <c r="AF1245" s="461" t="s">
        <v>41</v>
      </c>
      <c r="AG1245" s="462"/>
      <c r="AH1245" s="52"/>
      <c r="AI1245" s="49" t="s">
        <v>17</v>
      </c>
      <c r="AJ1245" s="50" t="s">
        <v>32</v>
      </c>
      <c r="AK1245" s="53"/>
      <c r="AL1245" s="452" t="s">
        <v>42</v>
      </c>
      <c r="AM1245" s="453"/>
      <c r="AN1245" s="54" t="s">
        <v>43</v>
      </c>
    </row>
    <row r="1246" spans="21:40" ht="12.75" customHeight="1" x14ac:dyDescent="0.2">
      <c r="U1246" s="377"/>
      <c r="V1246" s="375"/>
      <c r="W1246" s="360"/>
      <c r="X1246" s="360"/>
      <c r="Y1246" s="65"/>
      <c r="Z1246" s="454"/>
      <c r="AA1246" s="454"/>
      <c r="AB1246" s="46"/>
      <c r="AC1246" s="58"/>
      <c r="AD1246" s="59"/>
      <c r="AE1246" s="57"/>
      <c r="AF1246" s="60" t="s">
        <v>46</v>
      </c>
      <c r="AG1246" s="61" t="s">
        <v>47</v>
      </c>
      <c r="AH1246" s="52"/>
      <c r="AI1246" s="58"/>
      <c r="AJ1246" s="59"/>
      <c r="AK1246" s="57"/>
      <c r="AL1246" s="57" t="s">
        <v>46</v>
      </c>
      <c r="AM1246" s="62" t="s">
        <v>47</v>
      </c>
      <c r="AN1246" s="63"/>
    </row>
    <row r="1247" spans="21:40" ht="12.75" customHeight="1" x14ac:dyDescent="0.2">
      <c r="U1247" s="65"/>
      <c r="V1247" s="375"/>
      <c r="W1247" s="360"/>
      <c r="X1247" s="360"/>
      <c r="Y1247" s="65"/>
      <c r="Z1247" s="360"/>
      <c r="AA1247" s="360"/>
      <c r="AB1247" s="46"/>
      <c r="AC1247" s="68"/>
      <c r="AD1247" s="69"/>
      <c r="AE1247" s="70"/>
      <c r="AF1247" s="76"/>
      <c r="AG1247" s="77"/>
      <c r="AH1247" s="65"/>
      <c r="AI1247" s="68"/>
      <c r="AJ1247" s="69"/>
      <c r="AK1247" s="70"/>
      <c r="AL1247" s="71"/>
      <c r="AM1247" s="72"/>
      <c r="AN1247" s="73"/>
    </row>
    <row r="1248" spans="21:40" ht="12.75" customHeight="1" x14ac:dyDescent="0.2">
      <c r="U1248" s="376"/>
      <c r="V1248" s="375"/>
      <c r="W1248" s="79"/>
      <c r="X1248" s="360"/>
      <c r="Y1248" s="65"/>
      <c r="Z1248" s="360"/>
      <c r="AA1248" s="360"/>
      <c r="AB1248" s="46"/>
      <c r="AC1248" s="78" t="s">
        <v>50</v>
      </c>
      <c r="AD1248" s="59">
        <v>15</v>
      </c>
      <c r="AE1248" s="65"/>
      <c r="AF1248" s="60">
        <f>II3Ext!$H$35+30*(100-II3Ext!$H$35)/30</f>
        <v>100</v>
      </c>
      <c r="AG1248" s="61">
        <f t="shared" ref="AG1248:AG1259" si="114">AF1249+0.1</f>
        <v>94.1</v>
      </c>
      <c r="AH1248" s="65"/>
      <c r="AI1248" s="78" t="s">
        <v>50</v>
      </c>
      <c r="AJ1248" s="59">
        <v>15</v>
      </c>
      <c r="AK1248" s="65"/>
      <c r="AL1248" s="79">
        <f>II3Ext!$H$30</f>
        <v>40</v>
      </c>
      <c r="AM1248" s="62">
        <f>AL1249+0.5</f>
        <v>38</v>
      </c>
      <c r="AN1248" s="63">
        <f t="shared" ref="AN1248:AN1262" si="115">IF(AM1248&gt;AL1248,"ALARM",AL1248-AL1249)</f>
        <v>2.5</v>
      </c>
    </row>
    <row r="1249" spans="21:40" ht="12.75" customHeight="1" x14ac:dyDescent="0.2">
      <c r="U1249" s="376"/>
      <c r="V1249" s="375"/>
      <c r="W1249" s="360"/>
      <c r="X1249" s="360"/>
      <c r="Y1249" s="65"/>
      <c r="Z1249" s="360"/>
      <c r="AA1249" s="360"/>
      <c r="AB1249" s="46"/>
      <c r="AC1249" s="58">
        <v>1</v>
      </c>
      <c r="AD1249" s="59">
        <v>14</v>
      </c>
      <c r="AE1249" s="65"/>
      <c r="AF1249" s="60">
        <f>II3Ext!$H$35+27*(100-II3Ext!$H$35)/30</f>
        <v>94</v>
      </c>
      <c r="AG1249" s="61">
        <f t="shared" si="114"/>
        <v>88.1</v>
      </c>
      <c r="AH1249" s="65"/>
      <c r="AI1249" s="58">
        <v>1</v>
      </c>
      <c r="AJ1249" s="59">
        <v>14</v>
      </c>
      <c r="AK1249" s="65"/>
      <c r="AL1249" s="57">
        <f>ROUNDDOWN(II3Ext!$H$30*AF1249/500,1)*5</f>
        <v>37.5</v>
      </c>
      <c r="AM1249" s="352">
        <f t="shared" ref="AM1249:AM1261" si="116">AL1250+0.5</f>
        <v>35.5</v>
      </c>
      <c r="AN1249" s="63">
        <f t="shared" si="115"/>
        <v>2.5</v>
      </c>
    </row>
    <row r="1250" spans="21:40" ht="12.75" customHeight="1" x14ac:dyDescent="0.2">
      <c r="U1250" s="376"/>
      <c r="V1250" s="375"/>
      <c r="W1250" s="360"/>
      <c r="X1250" s="360"/>
      <c r="Y1250" s="65"/>
      <c r="Z1250" s="360"/>
      <c r="AA1250" s="360"/>
      <c r="AB1250" s="46"/>
      <c r="AC1250" s="81" t="s">
        <v>22</v>
      </c>
      <c r="AD1250" s="69">
        <v>13</v>
      </c>
      <c r="AE1250" s="70"/>
      <c r="AF1250" s="82">
        <f>II3Ext!$H$35+24*(100-II3Ext!$H$35)/30</f>
        <v>88</v>
      </c>
      <c r="AG1250" s="83">
        <f t="shared" si="114"/>
        <v>82.1</v>
      </c>
      <c r="AH1250" s="65"/>
      <c r="AI1250" s="81" t="s">
        <v>22</v>
      </c>
      <c r="AJ1250" s="69">
        <v>13</v>
      </c>
      <c r="AK1250" s="70"/>
      <c r="AL1250" s="383">
        <f>ROUNDDOWN(II3Ext!$H$30*AF1250/500,1)*5</f>
        <v>35</v>
      </c>
      <c r="AM1250" s="352">
        <f t="shared" si="116"/>
        <v>33</v>
      </c>
      <c r="AN1250" s="73">
        <f t="shared" si="115"/>
        <v>2.5</v>
      </c>
    </row>
    <row r="1251" spans="21:40" ht="12.75" customHeight="1" x14ac:dyDescent="0.2">
      <c r="U1251" s="376"/>
      <c r="V1251" s="375"/>
      <c r="W1251" s="360"/>
      <c r="X1251" s="360"/>
      <c r="Y1251" s="65"/>
      <c r="Z1251" s="360"/>
      <c r="AA1251" s="360"/>
      <c r="AB1251" s="46"/>
      <c r="AC1251" s="78" t="s">
        <v>50</v>
      </c>
      <c r="AD1251" s="59">
        <v>12</v>
      </c>
      <c r="AE1251" s="65"/>
      <c r="AF1251" s="60">
        <f>II3Ext!$H$35+21*(100-II3Ext!$H$35)/30</f>
        <v>82</v>
      </c>
      <c r="AG1251" s="61">
        <f t="shared" si="114"/>
        <v>76.099999999999994</v>
      </c>
      <c r="AH1251" s="65"/>
      <c r="AI1251" s="78" t="s">
        <v>50</v>
      </c>
      <c r="AJ1251" s="59">
        <v>12</v>
      </c>
      <c r="AK1251" s="65"/>
      <c r="AL1251" s="383">
        <f>ROUNDDOWN(II3Ext!$H$30*AF1251/500,1)*5</f>
        <v>32.5</v>
      </c>
      <c r="AM1251" s="352">
        <f t="shared" si="116"/>
        <v>30.5</v>
      </c>
      <c r="AN1251" s="63">
        <f t="shared" si="115"/>
        <v>2.5</v>
      </c>
    </row>
    <row r="1252" spans="21:40" ht="12.75" customHeight="1" x14ac:dyDescent="0.2">
      <c r="U1252" s="376"/>
      <c r="V1252" s="375"/>
      <c r="W1252" s="360"/>
      <c r="X1252" s="360"/>
      <c r="Y1252" s="65"/>
      <c r="Z1252" s="360"/>
      <c r="AA1252" s="360"/>
      <c r="AB1252" s="46"/>
      <c r="AC1252" s="58">
        <v>2</v>
      </c>
      <c r="AD1252" s="59">
        <v>11</v>
      </c>
      <c r="AE1252" s="65"/>
      <c r="AF1252" s="60">
        <f>II3Ext!$H$35+18*(100-II3Ext!$H$35)/30</f>
        <v>76</v>
      </c>
      <c r="AG1252" s="61">
        <f t="shared" si="114"/>
        <v>70.099999999999994</v>
      </c>
      <c r="AH1252" s="65"/>
      <c r="AI1252" s="58">
        <v>2</v>
      </c>
      <c r="AJ1252" s="59">
        <v>11</v>
      </c>
      <c r="AK1252" s="65"/>
      <c r="AL1252" s="383">
        <f>ROUNDDOWN(II3Ext!$H$30*AF1252/500,1)*5</f>
        <v>30</v>
      </c>
      <c r="AM1252" s="352">
        <f t="shared" si="116"/>
        <v>28.5</v>
      </c>
      <c r="AN1252" s="63">
        <f t="shared" si="115"/>
        <v>2</v>
      </c>
    </row>
    <row r="1253" spans="21:40" ht="12.75" customHeight="1" x14ac:dyDescent="0.2">
      <c r="U1253" s="376"/>
      <c r="V1253" s="375"/>
      <c r="W1253" s="360"/>
      <c r="X1253" s="360"/>
      <c r="Y1253" s="65"/>
      <c r="Z1253" s="360"/>
      <c r="AA1253" s="360"/>
      <c r="AB1253" s="46"/>
      <c r="AC1253" s="81" t="s">
        <v>22</v>
      </c>
      <c r="AD1253" s="69">
        <v>10</v>
      </c>
      <c r="AE1253" s="70"/>
      <c r="AF1253" s="82">
        <f>II3Ext!$H$35+15*(100-II3Ext!$H$35)/30</f>
        <v>70</v>
      </c>
      <c r="AG1253" s="83">
        <f t="shared" si="114"/>
        <v>64.099999999999994</v>
      </c>
      <c r="AH1253" s="65"/>
      <c r="AI1253" s="81" t="s">
        <v>22</v>
      </c>
      <c r="AJ1253" s="69">
        <v>10</v>
      </c>
      <c r="AK1253" s="70"/>
      <c r="AL1253" s="383">
        <f>ROUNDDOWN(II3Ext!$H$30*AF1253/500,1)*5</f>
        <v>28</v>
      </c>
      <c r="AM1253" s="352">
        <f t="shared" si="116"/>
        <v>26</v>
      </c>
      <c r="AN1253" s="73">
        <f t="shared" si="115"/>
        <v>2.5</v>
      </c>
    </row>
    <row r="1254" spans="21:40" ht="12.75" customHeight="1" x14ac:dyDescent="0.2">
      <c r="U1254" s="376"/>
      <c r="V1254" s="375"/>
      <c r="W1254" s="360"/>
      <c r="X1254" s="360"/>
      <c r="Y1254" s="65"/>
      <c r="Z1254" s="360"/>
      <c r="AA1254" s="360"/>
      <c r="AB1254" s="46"/>
      <c r="AC1254" s="78" t="s">
        <v>50</v>
      </c>
      <c r="AD1254" s="59">
        <v>9</v>
      </c>
      <c r="AE1254" s="65"/>
      <c r="AF1254" s="60">
        <f>II3Ext!$H$35+12*(100-II3Ext!$H$35)/30</f>
        <v>64</v>
      </c>
      <c r="AG1254" s="61">
        <f t="shared" si="114"/>
        <v>60.1</v>
      </c>
      <c r="AH1254" s="65"/>
      <c r="AI1254" s="78" t="s">
        <v>50</v>
      </c>
      <c r="AJ1254" s="59">
        <v>9</v>
      </c>
      <c r="AK1254" s="65"/>
      <c r="AL1254" s="383">
        <f>ROUNDDOWN(II3Ext!$H$30*AF1254/500,1)*5</f>
        <v>25.5</v>
      </c>
      <c r="AM1254" s="352">
        <f t="shared" si="116"/>
        <v>24.5</v>
      </c>
      <c r="AN1254" s="63">
        <f t="shared" si="115"/>
        <v>1.5</v>
      </c>
    </row>
    <row r="1255" spans="21:40" ht="12.75" customHeight="1" x14ac:dyDescent="0.2">
      <c r="U1255" s="376"/>
      <c r="V1255" s="375"/>
      <c r="W1255" s="360"/>
      <c r="X1255" s="360"/>
      <c r="Y1255" s="65"/>
      <c r="Z1255" s="360"/>
      <c r="AA1255" s="360"/>
      <c r="AB1255" s="46"/>
      <c r="AC1255" s="58">
        <v>3</v>
      </c>
      <c r="AD1255" s="59">
        <v>8</v>
      </c>
      <c r="AE1255" s="65"/>
      <c r="AF1255" s="60">
        <f>II3Ext!$H$35+10*(100-II3Ext!$H$35)/30</f>
        <v>60</v>
      </c>
      <c r="AG1255" s="61">
        <f t="shared" si="114"/>
        <v>56.1</v>
      </c>
      <c r="AH1255" s="65"/>
      <c r="AI1255" s="58">
        <v>3</v>
      </c>
      <c r="AJ1255" s="59">
        <v>8</v>
      </c>
      <c r="AK1255" s="65"/>
      <c r="AL1255" s="383">
        <f>ROUNDDOWN(II3Ext!$H$30*AF1255/500,1)*5</f>
        <v>24</v>
      </c>
      <c r="AM1255" s="352">
        <f t="shared" si="116"/>
        <v>22.5</v>
      </c>
      <c r="AN1255" s="63">
        <f t="shared" si="115"/>
        <v>2</v>
      </c>
    </row>
    <row r="1256" spans="21:40" ht="12.75" customHeight="1" x14ac:dyDescent="0.2">
      <c r="U1256" s="376"/>
      <c r="V1256" s="375"/>
      <c r="W1256" s="360"/>
      <c r="X1256" s="360"/>
      <c r="Y1256" s="65"/>
      <c r="Z1256" s="360"/>
      <c r="AA1256" s="360"/>
      <c r="AB1256" s="46"/>
      <c r="AC1256" s="81" t="s">
        <v>22</v>
      </c>
      <c r="AD1256" s="69">
        <v>7</v>
      </c>
      <c r="AE1256" s="70"/>
      <c r="AF1256" s="82">
        <f>II3Ext!$H$35+8*(100-II3Ext!$H$35)/30</f>
        <v>56</v>
      </c>
      <c r="AG1256" s="83">
        <f t="shared" si="114"/>
        <v>52.1</v>
      </c>
      <c r="AH1256" s="65"/>
      <c r="AI1256" s="81" t="s">
        <v>22</v>
      </c>
      <c r="AJ1256" s="69">
        <v>7</v>
      </c>
      <c r="AK1256" s="70"/>
      <c r="AL1256" s="383">
        <f>ROUNDDOWN(II3Ext!$H$30*AF1256/500,1)*5</f>
        <v>22</v>
      </c>
      <c r="AM1256" s="352">
        <f t="shared" si="116"/>
        <v>21</v>
      </c>
      <c r="AN1256" s="73">
        <f t="shared" si="115"/>
        <v>1.5</v>
      </c>
    </row>
    <row r="1257" spans="21:40" ht="12.75" customHeight="1" x14ac:dyDescent="0.2">
      <c r="U1257" s="376"/>
      <c r="V1257" s="375"/>
      <c r="W1257" s="360"/>
      <c r="X1257" s="360"/>
      <c r="Y1257" s="65"/>
      <c r="Z1257" s="360"/>
      <c r="AA1257" s="360"/>
      <c r="AB1257" s="46"/>
      <c r="AC1257" s="78" t="s">
        <v>50</v>
      </c>
      <c r="AD1257" s="59">
        <v>6</v>
      </c>
      <c r="AE1257" s="65"/>
      <c r="AF1257" s="60">
        <f>II3Ext!$H$35+6*(100-II3Ext!$H$35)/30</f>
        <v>52</v>
      </c>
      <c r="AG1257" s="61">
        <f t="shared" si="114"/>
        <v>48.1</v>
      </c>
      <c r="AH1257" s="65"/>
      <c r="AI1257" s="78" t="s">
        <v>50</v>
      </c>
      <c r="AJ1257" s="59">
        <v>6</v>
      </c>
      <c r="AK1257" s="65"/>
      <c r="AL1257" s="383">
        <f>ROUNDDOWN(II3Ext!$H$30*AF1257/500,1)*5</f>
        <v>20.5</v>
      </c>
      <c r="AM1257" s="352">
        <f t="shared" si="116"/>
        <v>19.5</v>
      </c>
      <c r="AN1257" s="63">
        <f t="shared" si="115"/>
        <v>1.5</v>
      </c>
    </row>
    <row r="1258" spans="21:40" ht="12.75" customHeight="1" x14ac:dyDescent="0.2">
      <c r="U1258" s="376"/>
      <c r="V1258" s="375"/>
      <c r="W1258" s="360"/>
      <c r="X1258" s="360"/>
      <c r="Y1258" s="65"/>
      <c r="Z1258" s="360"/>
      <c r="AA1258" s="360"/>
      <c r="AB1258" s="46"/>
      <c r="AC1258" s="58">
        <v>4</v>
      </c>
      <c r="AD1258" s="59">
        <v>5</v>
      </c>
      <c r="AE1258" s="65"/>
      <c r="AF1258" s="60">
        <f>II3Ext!$H$35+4*(100-II3Ext!$H$35)/30</f>
        <v>48</v>
      </c>
      <c r="AG1258" s="61">
        <f t="shared" si="114"/>
        <v>44.1</v>
      </c>
      <c r="AH1258" s="65"/>
      <c r="AI1258" s="58">
        <v>4</v>
      </c>
      <c r="AJ1258" s="59">
        <v>5</v>
      </c>
      <c r="AK1258" s="65"/>
      <c r="AL1258" s="383">
        <f>ROUNDDOWN(II3Ext!$H$30*AF1258/500,1)*5</f>
        <v>19</v>
      </c>
      <c r="AM1258" s="352">
        <f t="shared" si="116"/>
        <v>18</v>
      </c>
      <c r="AN1258" s="63">
        <f t="shared" si="115"/>
        <v>1.5</v>
      </c>
    </row>
    <row r="1259" spans="21:40" ht="12.75" customHeight="1" x14ac:dyDescent="0.2">
      <c r="U1259" s="376"/>
      <c r="V1259" s="375"/>
      <c r="W1259" s="360"/>
      <c r="X1259" s="360"/>
      <c r="Y1259" s="65"/>
      <c r="Z1259" s="360"/>
      <c r="AA1259" s="360"/>
      <c r="AB1259" s="46"/>
      <c r="AC1259" s="81" t="s">
        <v>22</v>
      </c>
      <c r="AD1259" s="69">
        <v>4</v>
      </c>
      <c r="AE1259" s="70"/>
      <c r="AF1259" s="82">
        <f>II3Ext!$H$35+2*(100-II3Ext!$H$35)/30</f>
        <v>44</v>
      </c>
      <c r="AG1259" s="83">
        <f t="shared" si="114"/>
        <v>40.1</v>
      </c>
      <c r="AH1259" s="65"/>
      <c r="AI1259" s="81" t="s">
        <v>22</v>
      </c>
      <c r="AJ1259" s="69">
        <v>4</v>
      </c>
      <c r="AK1259" s="70"/>
      <c r="AL1259" s="383">
        <f>ROUNDDOWN(II3Ext!$H$30*AF1259/500,1)*5</f>
        <v>17.5</v>
      </c>
      <c r="AM1259" s="352">
        <f t="shared" si="116"/>
        <v>16.5</v>
      </c>
      <c r="AN1259" s="73">
        <f t="shared" si="115"/>
        <v>1.5</v>
      </c>
    </row>
    <row r="1260" spans="21:40" ht="12.75" customHeight="1" x14ac:dyDescent="0.2">
      <c r="U1260" s="376"/>
      <c r="V1260" s="375"/>
      <c r="W1260" s="360"/>
      <c r="X1260" s="360"/>
      <c r="Y1260" s="65"/>
      <c r="Z1260" s="360"/>
      <c r="AA1260" s="360"/>
      <c r="AB1260" s="46"/>
      <c r="AC1260" s="78" t="s">
        <v>50</v>
      </c>
      <c r="AD1260" s="59">
        <v>3</v>
      </c>
      <c r="AE1260" s="65"/>
      <c r="AF1260" s="60">
        <f>II3Ext!$H$35</f>
        <v>40</v>
      </c>
      <c r="AG1260" s="61">
        <f>AF1261+0.01</f>
        <v>33.343333333333334</v>
      </c>
      <c r="AH1260" s="65"/>
      <c r="AI1260" s="78" t="s">
        <v>50</v>
      </c>
      <c r="AJ1260" s="59">
        <v>3</v>
      </c>
      <c r="AK1260" s="65"/>
      <c r="AL1260" s="383">
        <f>ROUNDDOWN(II3Ext!$H$30*AF1260/500,1)*5</f>
        <v>16</v>
      </c>
      <c r="AM1260" s="352">
        <f t="shared" si="116"/>
        <v>13.5</v>
      </c>
      <c r="AN1260" s="63">
        <f t="shared" si="115"/>
        <v>3</v>
      </c>
    </row>
    <row r="1261" spans="21:40" ht="12.75" customHeight="1" x14ac:dyDescent="0.2">
      <c r="U1261" s="376"/>
      <c r="V1261" s="375"/>
      <c r="W1261" s="360"/>
      <c r="X1261" s="360"/>
      <c r="Y1261" s="65"/>
      <c r="Z1261" s="360"/>
      <c r="AA1261" s="360"/>
      <c r="AB1261" s="46"/>
      <c r="AC1261" s="58">
        <v>5</v>
      </c>
      <c r="AD1261" s="59">
        <v>2</v>
      </c>
      <c r="AE1261" s="65"/>
      <c r="AF1261" s="60">
        <f>AG1262+2*(AF1260-AG1262)/3</f>
        <v>33.333333333333336</v>
      </c>
      <c r="AG1261" s="61">
        <f>AF1262+0.01</f>
        <v>26.676666666666669</v>
      </c>
      <c r="AH1261" s="65"/>
      <c r="AI1261" s="58">
        <v>5</v>
      </c>
      <c r="AJ1261" s="59">
        <v>2</v>
      </c>
      <c r="AK1261" s="65"/>
      <c r="AL1261" s="383">
        <f>ROUNDDOWN(II3Ext!$H$30*AF1261/500,1)*5</f>
        <v>13</v>
      </c>
      <c r="AM1261" s="352">
        <f t="shared" si="116"/>
        <v>11</v>
      </c>
      <c r="AN1261" s="63">
        <f t="shared" si="115"/>
        <v>2.5</v>
      </c>
    </row>
    <row r="1262" spans="21:40" ht="12.75" customHeight="1" x14ac:dyDescent="0.2">
      <c r="U1262" s="376"/>
      <c r="V1262" s="375"/>
      <c r="W1262" s="360"/>
      <c r="X1262" s="375"/>
      <c r="Y1262" s="65"/>
      <c r="Z1262" s="360"/>
      <c r="AA1262" s="360"/>
      <c r="AB1262" s="46"/>
      <c r="AC1262" s="81" t="s">
        <v>22</v>
      </c>
      <c r="AD1262" s="69">
        <v>1</v>
      </c>
      <c r="AE1262" s="70"/>
      <c r="AF1262" s="82">
        <f>AG1262+(AF1260-AG1262)/3</f>
        <v>26.666666666666668</v>
      </c>
      <c r="AG1262" s="83">
        <f>II3Ext!$H$34</f>
        <v>20</v>
      </c>
      <c r="AH1262" s="65"/>
      <c r="AI1262" s="81" t="s">
        <v>22</v>
      </c>
      <c r="AJ1262" s="69">
        <v>1</v>
      </c>
      <c r="AK1262" s="70"/>
      <c r="AL1262" s="383">
        <f>ROUNDDOWN(II3Ext!$H$30*AF1262/500,1)*5</f>
        <v>10.5</v>
      </c>
      <c r="AM1262" s="72">
        <f>ROUNDUP(II3Ext!$H$30*(II3Ext!$H$34/500),1)*5</f>
        <v>8</v>
      </c>
      <c r="AN1262" s="73">
        <f t="shared" si="115"/>
        <v>3</v>
      </c>
    </row>
    <row r="1263" spans="21:40" ht="12.75" customHeight="1" thickBot="1" x14ac:dyDescent="0.25">
      <c r="U1263" s="375"/>
      <c r="V1263" s="375"/>
      <c r="W1263" s="360"/>
      <c r="X1263" s="360"/>
      <c r="Y1263" s="65"/>
      <c r="Z1263" s="360"/>
      <c r="AA1263" s="360"/>
      <c r="AB1263" s="46"/>
      <c r="AC1263" s="89">
        <v>6</v>
      </c>
      <c r="AD1263" s="90">
        <v>0</v>
      </c>
      <c r="AE1263" s="91"/>
      <c r="AF1263" s="96">
        <f>II3Ext!$H$34-0.1</f>
        <v>19.899999999999999</v>
      </c>
      <c r="AG1263" s="97">
        <v>0</v>
      </c>
      <c r="AH1263" s="65"/>
      <c r="AI1263" s="89">
        <v>6</v>
      </c>
      <c r="AJ1263" s="90">
        <v>0</v>
      </c>
      <c r="AK1263" s="91"/>
      <c r="AL1263" s="92">
        <f>AM1262-0.5</f>
        <v>7.5</v>
      </c>
      <c r="AM1263" s="93">
        <v>0</v>
      </c>
      <c r="AN1263" s="94">
        <f>IF(AM1263&gt;AM1262,"ALARM",AL1263)</f>
        <v>7.5</v>
      </c>
    </row>
    <row r="1264" spans="21:40" ht="12.75" customHeight="1" x14ac:dyDescent="0.2"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</row>
    <row r="1265" spans="21:40" ht="12.75" customHeight="1" x14ac:dyDescent="0.2"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</row>
    <row r="1266" spans="21:40" ht="12.75" customHeight="1" x14ac:dyDescent="0.2"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</row>
    <row r="1267" spans="21:40" ht="12.75" customHeight="1" x14ac:dyDescent="0.2"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</row>
    <row r="1268" spans="21:40" ht="12.75" customHeight="1" x14ac:dyDescent="0.2"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</row>
    <row r="1269" spans="21:40" ht="12.75" customHeight="1" x14ac:dyDescent="0.2"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</row>
    <row r="1270" spans="21:40" ht="12.75" customHeight="1" x14ac:dyDescent="0.2"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</row>
    <row r="1271" spans="21:40" ht="12.75" customHeight="1" x14ac:dyDescent="0.2"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</row>
    <row r="1272" spans="21:40" ht="12.75" customHeight="1" x14ac:dyDescent="0.2"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</row>
    <row r="1273" spans="21:40" ht="12.75" customHeight="1" x14ac:dyDescent="0.2"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</row>
    <row r="1274" spans="21:40" ht="12.75" customHeight="1" x14ac:dyDescent="0.2"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</row>
    <row r="1275" spans="21:40" ht="12.75" customHeight="1" x14ac:dyDescent="0.2"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</row>
    <row r="1276" spans="21:40" ht="12.75" customHeight="1" x14ac:dyDescent="0.2"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</row>
    <row r="1277" spans="21:40" ht="12.75" customHeight="1" x14ac:dyDescent="0.2"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</row>
    <row r="1278" spans="21:40" ht="12.75" customHeight="1" x14ac:dyDescent="0.2"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</row>
    <row r="1279" spans="21:40" ht="12.75" customHeight="1" x14ac:dyDescent="0.2"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</row>
    <row r="1280" spans="21:40" ht="12.75" customHeight="1" x14ac:dyDescent="0.2"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</row>
    <row r="1281" spans="21:40" ht="12.75" customHeight="1" x14ac:dyDescent="0.2"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</row>
    <row r="1282" spans="21:40" ht="12.75" customHeight="1" x14ac:dyDescent="0.2"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</row>
    <row r="1283" spans="21:40" ht="12.75" customHeight="1" x14ac:dyDescent="0.2"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</row>
    <row r="1284" spans="21:40" ht="12.75" customHeight="1" x14ac:dyDescent="0.2"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</row>
    <row r="1285" spans="21:40" ht="12.75" customHeight="1" x14ac:dyDescent="0.2"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</row>
    <row r="1286" spans="21:40" ht="12.75" customHeight="1" x14ac:dyDescent="0.2"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</row>
    <row r="1287" spans="21:40" ht="12.75" customHeight="1" x14ac:dyDescent="0.2"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</row>
    <row r="1288" spans="21:40" ht="12.75" customHeight="1" x14ac:dyDescent="0.2"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</row>
    <row r="1289" spans="21:40" ht="12.75" customHeight="1" x14ac:dyDescent="0.2"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</row>
    <row r="1290" spans="21:40" ht="12.75" customHeight="1" x14ac:dyDescent="0.2"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</row>
    <row r="1291" spans="21:40" ht="12.75" customHeight="1" x14ac:dyDescent="0.2"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</row>
    <row r="1292" spans="21:40" ht="12.75" customHeight="1" x14ac:dyDescent="0.2"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</row>
    <row r="1293" spans="21:40" ht="12.75" customHeight="1" x14ac:dyDescent="0.2"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</row>
    <row r="1294" spans="21:40" ht="12.75" customHeight="1" x14ac:dyDescent="0.2"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</row>
    <row r="1295" spans="21:40" ht="12.75" customHeight="1" x14ac:dyDescent="0.2"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</row>
    <row r="1301" spans="20:41" ht="12.75" customHeight="1" thickBot="1" x14ac:dyDescent="0.25"/>
    <row r="1302" spans="20:41" ht="12.75" customHeight="1" x14ac:dyDescent="0.25">
      <c r="T1302" s="177" t="s">
        <v>148</v>
      </c>
      <c r="U1302" s="47"/>
      <c r="V1302" s="48"/>
      <c r="W1302" s="455" t="s">
        <v>39</v>
      </c>
      <c r="X1302" s="456"/>
      <c r="Y1302" s="465" t="s">
        <v>32</v>
      </c>
      <c r="Z1302" s="463" t="s">
        <v>40</v>
      </c>
      <c r="AA1302" s="464"/>
      <c r="AB1302" s="374" t="s">
        <v>145</v>
      </c>
      <c r="AC1302" s="49" t="s">
        <v>17</v>
      </c>
      <c r="AD1302" s="50" t="s">
        <v>32</v>
      </c>
      <c r="AE1302" s="51"/>
      <c r="AF1302" s="461" t="s">
        <v>41</v>
      </c>
      <c r="AG1302" s="462"/>
      <c r="AH1302" s="52"/>
      <c r="AI1302" s="49" t="s">
        <v>17</v>
      </c>
      <c r="AJ1302" s="50" t="s">
        <v>32</v>
      </c>
      <c r="AK1302" s="53"/>
      <c r="AL1302" s="452" t="s">
        <v>42</v>
      </c>
      <c r="AM1302" s="453"/>
      <c r="AN1302" s="54" t="s">
        <v>43</v>
      </c>
      <c r="AO1302"/>
    </row>
    <row r="1303" spans="20:41" ht="12.75" customHeight="1" x14ac:dyDescent="0.2">
      <c r="U1303" s="55" t="s">
        <v>44</v>
      </c>
      <c r="V1303" s="41" t="s">
        <v>43</v>
      </c>
      <c r="W1303" s="457" t="s">
        <v>42</v>
      </c>
      <c r="X1303" s="458"/>
      <c r="Y1303" s="466"/>
      <c r="Z1303" s="459" t="s">
        <v>45</v>
      </c>
      <c r="AA1303" s="460"/>
      <c r="AB1303" s="46"/>
      <c r="AC1303" s="58"/>
      <c r="AD1303" s="59"/>
      <c r="AE1303" s="57"/>
      <c r="AF1303" s="60" t="s">
        <v>46</v>
      </c>
      <c r="AG1303" s="61" t="s">
        <v>47</v>
      </c>
      <c r="AH1303" s="52"/>
      <c r="AI1303" s="58"/>
      <c r="AJ1303" s="59"/>
      <c r="AK1303" s="57"/>
      <c r="AL1303" s="57" t="s">
        <v>46</v>
      </c>
      <c r="AM1303" s="62" t="s">
        <v>47</v>
      </c>
      <c r="AN1303" s="63"/>
      <c r="AO1303"/>
    </row>
    <row r="1304" spans="20:41" ht="12.75" customHeight="1" x14ac:dyDescent="0.2">
      <c r="U1304" s="64" t="s">
        <v>48</v>
      </c>
      <c r="V1304" s="41" t="s">
        <v>39</v>
      </c>
      <c r="W1304" s="56" t="s">
        <v>46</v>
      </c>
      <c r="X1304" s="57" t="s">
        <v>47</v>
      </c>
      <c r="Y1304" s="466"/>
      <c r="Z1304" s="459" t="s">
        <v>49</v>
      </c>
      <c r="AA1304" s="460"/>
      <c r="AB1304" s="65"/>
      <c r="AC1304" s="58"/>
      <c r="AD1304" s="59"/>
      <c r="AE1304" s="65"/>
      <c r="AF1304" s="66"/>
      <c r="AG1304" s="67"/>
      <c r="AH1304" s="65"/>
      <c r="AI1304" s="68"/>
      <c r="AJ1304" s="69"/>
      <c r="AK1304" s="70"/>
      <c r="AL1304" s="71"/>
      <c r="AM1304" s="72"/>
      <c r="AN1304" s="73"/>
      <c r="AO1304"/>
    </row>
    <row r="1305" spans="20:41" ht="12.75" customHeight="1" x14ac:dyDescent="0.2">
      <c r="U1305" s="74"/>
      <c r="V1305" s="42"/>
      <c r="W1305" s="75"/>
      <c r="X1305" s="71"/>
      <c r="Y1305" s="467"/>
      <c r="Z1305" s="115"/>
      <c r="AA1305" s="63"/>
      <c r="AB1305" s="65"/>
      <c r="AC1305" s="68"/>
      <c r="AD1305" s="69"/>
      <c r="AE1305" s="70"/>
      <c r="AF1305" s="76"/>
      <c r="AG1305" s="77"/>
      <c r="AH1305" s="65"/>
      <c r="AI1305" s="78" t="s">
        <v>50</v>
      </c>
      <c r="AJ1305" s="59">
        <v>15</v>
      </c>
      <c r="AK1305" s="65"/>
      <c r="AL1305" s="60">
        <f>II4Ext!$H$30</f>
        <v>40</v>
      </c>
      <c r="AM1305" s="353">
        <f t="shared" ref="AM1305:AM1318" si="117">AL1306+0.5</f>
        <v>38.5</v>
      </c>
      <c r="AN1305" s="63">
        <f t="shared" ref="AN1305:AN1319" si="118">IF(AM1305&gt;AL1305,"ALARM",AL1305-AL1306)</f>
        <v>2</v>
      </c>
      <c r="AO1305"/>
    </row>
    <row r="1306" spans="20:41" ht="12.75" customHeight="1" x14ac:dyDescent="0.2">
      <c r="U1306" s="108">
        <f>+II4Ext!A43</f>
        <v>0</v>
      </c>
      <c r="V1306" s="110">
        <f>IF(II4Ext!$H$32="M",AN1305+U1306,AN1348+U1306)</f>
        <v>2</v>
      </c>
      <c r="W1306" s="380">
        <f>II4Ext!$H$30</f>
        <v>40</v>
      </c>
      <c r="X1306" s="353">
        <f t="shared" ref="X1306:X1320" si="119">W1307+0.5</f>
        <v>38.5</v>
      </c>
      <c r="Y1306" s="56">
        <v>15</v>
      </c>
      <c r="Z1306" s="117" t="str">
        <f>IF(ABS(IF(II4Ext!$H$32="M",AL1305-W1306,AL1348-W1306))&gt;1,"ALARM"," ")</f>
        <v xml:space="preserve"> </v>
      </c>
      <c r="AA1306" s="114" t="str">
        <f>IF(ABS(IF(II4Ext!$H$32="M",AM1305-X1306,AM1348-X1306))&gt;1,"ALARM"," ")</f>
        <v xml:space="preserve"> </v>
      </c>
      <c r="AB1306" s="65"/>
      <c r="AC1306" s="78" t="s">
        <v>50</v>
      </c>
      <c r="AD1306" s="59">
        <v>15</v>
      </c>
      <c r="AE1306" s="65"/>
      <c r="AF1306" s="60">
        <f>II4Ext!$H$35+12*(100-II4Ext!$H$35)/12</f>
        <v>100</v>
      </c>
      <c r="AG1306" s="61">
        <f t="shared" ref="AG1306:AG1317" si="120">AF1307+0.1</f>
        <v>95.1</v>
      </c>
      <c r="AH1306" s="65"/>
      <c r="AI1306" s="58">
        <v>1</v>
      </c>
      <c r="AJ1306" s="59">
        <v>14</v>
      </c>
      <c r="AK1306" s="65"/>
      <c r="AL1306" s="60">
        <f>ROUNDDOWN(II4Ext!$H$30*AF1307/500,1)*5</f>
        <v>38</v>
      </c>
      <c r="AM1306" s="353">
        <f t="shared" si="117"/>
        <v>36.5</v>
      </c>
      <c r="AN1306" s="63">
        <f t="shared" si="118"/>
        <v>2</v>
      </c>
      <c r="AO1306"/>
    </row>
    <row r="1307" spans="20:41" ht="12.75" customHeight="1" x14ac:dyDescent="0.2">
      <c r="U1307" s="108">
        <f>+II4Ext!A44</f>
        <v>0</v>
      </c>
      <c r="V1307" s="111">
        <f>IF(II4Ext!$H$32="M",AN1306+U1307,AN1349+U1307)</f>
        <v>2</v>
      </c>
      <c r="W1307" s="380">
        <f t="shared" ref="W1307:W1321" si="121">W1306-V1306</f>
        <v>38</v>
      </c>
      <c r="X1307" s="353">
        <f t="shared" si="119"/>
        <v>36.5</v>
      </c>
      <c r="Y1307" s="56">
        <v>14</v>
      </c>
      <c r="Z1307" s="115" t="str">
        <f>IF(ABS(IF(II4Ext!$H$32="M",AL1306-W1307,AL1349-W1307))&gt;1,"ALARM"," ")</f>
        <v xml:space="preserve"> </v>
      </c>
      <c r="AA1307" s="63" t="str">
        <f>IF(ABS(IF(II4Ext!$H$32="M",AM1306-X1307,AM1349-X1307))&gt;1,"ALARM"," ")</f>
        <v xml:space="preserve"> </v>
      </c>
      <c r="AB1307" s="65"/>
      <c r="AC1307" s="58">
        <v>1</v>
      </c>
      <c r="AD1307" s="59">
        <v>14</v>
      </c>
      <c r="AE1307" s="65"/>
      <c r="AF1307" s="60">
        <f>II4Ext!$H$35+11*(100-II4Ext!$H$35)/12</f>
        <v>95</v>
      </c>
      <c r="AG1307" s="61">
        <f t="shared" si="120"/>
        <v>90.1</v>
      </c>
      <c r="AH1307" s="65"/>
      <c r="AI1307" s="81" t="s">
        <v>22</v>
      </c>
      <c r="AJ1307" s="69">
        <v>13</v>
      </c>
      <c r="AK1307" s="70"/>
      <c r="AL1307" s="60">
        <f>ROUNDDOWN(II4Ext!$H$30*AF1308/500,1)*5</f>
        <v>36</v>
      </c>
      <c r="AM1307" s="353">
        <f t="shared" si="117"/>
        <v>34.5</v>
      </c>
      <c r="AN1307" s="73">
        <f t="shared" si="118"/>
        <v>2</v>
      </c>
      <c r="AO1307"/>
    </row>
    <row r="1308" spans="20:41" ht="12.75" customHeight="1" x14ac:dyDescent="0.2">
      <c r="U1308" s="108">
        <f>+II4Ext!A45</f>
        <v>0</v>
      </c>
      <c r="V1308" s="111">
        <f>IF(II4Ext!$H$32="M",AN1307+U1308,AN1350+U1308)</f>
        <v>2</v>
      </c>
      <c r="W1308" s="381">
        <f t="shared" si="121"/>
        <v>36</v>
      </c>
      <c r="X1308" s="353">
        <f t="shared" si="119"/>
        <v>34.5</v>
      </c>
      <c r="Y1308" s="75">
        <v>13</v>
      </c>
      <c r="Z1308" s="118" t="str">
        <f>IF(ABS(IF(II4Ext!$H$32="M",AL1307-W1308,AL1350-W1308))&gt;1,"ALARM"," ")</f>
        <v xml:space="preserve"> </v>
      </c>
      <c r="AA1308" s="73" t="str">
        <f>IF(ABS(IF(II4Ext!$H$32="M",AM1307-X1308,AM1350-X1308))&gt;1,"ALARM"," ")</f>
        <v xml:space="preserve"> </v>
      </c>
      <c r="AB1308" s="65"/>
      <c r="AC1308" s="81" t="s">
        <v>22</v>
      </c>
      <c r="AD1308" s="69">
        <v>13</v>
      </c>
      <c r="AE1308" s="70"/>
      <c r="AF1308" s="82">
        <f>II4Ext!$H$35+10*(100-II4Ext!$H$35)/12</f>
        <v>90</v>
      </c>
      <c r="AG1308" s="83">
        <f t="shared" si="120"/>
        <v>85.1</v>
      </c>
      <c r="AH1308" s="65"/>
      <c r="AI1308" s="78" t="s">
        <v>50</v>
      </c>
      <c r="AJ1308" s="59">
        <v>12</v>
      </c>
      <c r="AK1308" s="65"/>
      <c r="AL1308" s="60">
        <f>ROUNDDOWN(II4Ext!$H$30*AF1309/500,1)*5</f>
        <v>34</v>
      </c>
      <c r="AM1308" s="353">
        <f t="shared" si="117"/>
        <v>32.5</v>
      </c>
      <c r="AN1308" s="63">
        <f t="shared" si="118"/>
        <v>2</v>
      </c>
      <c r="AO1308"/>
    </row>
    <row r="1309" spans="20:41" ht="12.75" customHeight="1" x14ac:dyDescent="0.2">
      <c r="U1309" s="108">
        <f>+II4Ext!A46</f>
        <v>0</v>
      </c>
      <c r="V1309" s="110">
        <f>IF(II4Ext!$H$32="M",AN1308+U1309,AN1351+U1309)</f>
        <v>2</v>
      </c>
      <c r="W1309" s="380">
        <f t="shared" si="121"/>
        <v>34</v>
      </c>
      <c r="X1309" s="353">
        <f t="shared" si="119"/>
        <v>32.5</v>
      </c>
      <c r="Y1309" s="56">
        <v>12</v>
      </c>
      <c r="Z1309" s="115" t="str">
        <f>IF(ABS(IF(II4Ext!$H$32="M",AL1308-W1309,AL1351-W1309))&gt;1,"ALARM"," ")</f>
        <v xml:space="preserve"> </v>
      </c>
      <c r="AA1309" s="63" t="str">
        <f>IF(ABS(IF(II4Ext!$H$32="M",AM1308-X1309,AM1351-X1309))&gt;1,"ALARM"," ")</f>
        <v xml:space="preserve"> </v>
      </c>
      <c r="AB1309" s="65"/>
      <c r="AC1309" s="78" t="s">
        <v>50</v>
      </c>
      <c r="AD1309" s="59">
        <v>12</v>
      </c>
      <c r="AE1309" s="65"/>
      <c r="AF1309" s="60">
        <f>II4Ext!$H$35+9*(100-II4Ext!$H$35)/12</f>
        <v>85</v>
      </c>
      <c r="AG1309" s="61">
        <f t="shared" si="120"/>
        <v>80.099999999999994</v>
      </c>
      <c r="AH1309" s="65"/>
      <c r="AI1309" s="58">
        <v>2</v>
      </c>
      <c r="AJ1309" s="59">
        <v>11</v>
      </c>
      <c r="AK1309" s="65"/>
      <c r="AL1309" s="60">
        <f>ROUNDDOWN(II4Ext!$H$30*AF1310/500,1)*5</f>
        <v>32</v>
      </c>
      <c r="AM1309" s="353">
        <f t="shared" si="117"/>
        <v>30.5</v>
      </c>
      <c r="AN1309" s="63">
        <f t="shared" si="118"/>
        <v>2</v>
      </c>
      <c r="AO1309"/>
    </row>
    <row r="1310" spans="20:41" ht="12.75" customHeight="1" x14ac:dyDescent="0.2">
      <c r="U1310" s="108">
        <f>+II4Ext!A47</f>
        <v>0</v>
      </c>
      <c r="V1310" s="111">
        <f>IF(II4Ext!$H$32="M",AN1309+U1310,AN1352+U1310)</f>
        <v>2</v>
      </c>
      <c r="W1310" s="380">
        <f t="shared" si="121"/>
        <v>32</v>
      </c>
      <c r="X1310" s="353">
        <f t="shared" si="119"/>
        <v>30.5</v>
      </c>
      <c r="Y1310" s="56">
        <v>11</v>
      </c>
      <c r="Z1310" s="115" t="str">
        <f>IF(ABS(IF(II4Ext!$H$32="M",AL1309-W1310,AL1352-W1310))&gt;1,"ALARM"," ")</f>
        <v xml:space="preserve"> </v>
      </c>
      <c r="AA1310" s="63" t="str">
        <f>IF(ABS(IF(II4Ext!$H$32="M",AM1309-X1310,AM1352-X1310))&gt;1,"ALARM"," ")</f>
        <v xml:space="preserve"> </v>
      </c>
      <c r="AB1310" s="65"/>
      <c r="AC1310" s="58">
        <v>2</v>
      </c>
      <c r="AD1310" s="59">
        <v>11</v>
      </c>
      <c r="AE1310" s="65"/>
      <c r="AF1310" s="60">
        <f>II4Ext!$H$35+8*(100-II4Ext!$H$35)/12</f>
        <v>80</v>
      </c>
      <c r="AG1310" s="61">
        <f t="shared" si="120"/>
        <v>75.099999999999994</v>
      </c>
      <c r="AH1310" s="65"/>
      <c r="AI1310" s="81" t="s">
        <v>22</v>
      </c>
      <c r="AJ1310" s="69">
        <v>10</v>
      </c>
      <c r="AK1310" s="70"/>
      <c r="AL1310" s="60">
        <f>ROUNDDOWN(II4Ext!$H$30*AF1311/500,1)*5</f>
        <v>30</v>
      </c>
      <c r="AM1310" s="353">
        <f t="shared" si="117"/>
        <v>28.5</v>
      </c>
      <c r="AN1310" s="73">
        <f t="shared" si="118"/>
        <v>2</v>
      </c>
      <c r="AO1310"/>
    </row>
    <row r="1311" spans="20:41" ht="12.75" customHeight="1" x14ac:dyDescent="0.2">
      <c r="U1311" s="108">
        <f>+II4Ext!A48</f>
        <v>0</v>
      </c>
      <c r="V1311" s="113">
        <f>IF(II4Ext!$H$32="M",AN1310+U1311,AN1353+U1311)</f>
        <v>2</v>
      </c>
      <c r="W1311" s="381">
        <f t="shared" si="121"/>
        <v>30</v>
      </c>
      <c r="X1311" s="353">
        <f t="shared" si="119"/>
        <v>28.5</v>
      </c>
      <c r="Y1311" s="75">
        <v>10</v>
      </c>
      <c r="Z1311" s="115" t="str">
        <f>IF(ABS(IF(II4Ext!$H$32="M",AL1310-W1311,AL1353-W1311))&gt;1,"ALARM"," ")</f>
        <v xml:space="preserve"> </v>
      </c>
      <c r="AA1311" s="63" t="str">
        <f>IF(ABS(IF(II4Ext!$H$32="M",AM1310-X1311,AM1353-X1311))&gt;1,"ALARM"," ")</f>
        <v xml:space="preserve"> </v>
      </c>
      <c r="AB1311" s="65"/>
      <c r="AC1311" s="81" t="s">
        <v>22</v>
      </c>
      <c r="AD1311" s="69">
        <v>10</v>
      </c>
      <c r="AE1311" s="70"/>
      <c r="AF1311" s="82">
        <f>II4Ext!$H$35+7*(100-II4Ext!$H$35)/12</f>
        <v>75</v>
      </c>
      <c r="AG1311" s="83">
        <f t="shared" si="120"/>
        <v>70.099999999999994</v>
      </c>
      <c r="AH1311" s="65"/>
      <c r="AI1311" s="78" t="s">
        <v>50</v>
      </c>
      <c r="AJ1311" s="59">
        <v>9</v>
      </c>
      <c r="AK1311" s="65"/>
      <c r="AL1311" s="60">
        <f>ROUNDDOWN(II4Ext!$H$30*AF1312/500,1)*5</f>
        <v>28</v>
      </c>
      <c r="AM1311" s="353">
        <f t="shared" si="117"/>
        <v>26.5</v>
      </c>
      <c r="AN1311" s="63">
        <f t="shared" si="118"/>
        <v>2</v>
      </c>
      <c r="AO1311"/>
    </row>
    <row r="1312" spans="20:41" ht="12.75" customHeight="1" x14ac:dyDescent="0.2">
      <c r="U1312" s="108">
        <f>+II4Ext!A49</f>
        <v>0</v>
      </c>
      <c r="V1312" s="111">
        <f>IF(II4Ext!$H$32="M",AN1311+U1312,AN1354+U1312)</f>
        <v>2</v>
      </c>
      <c r="W1312" s="380">
        <f t="shared" si="121"/>
        <v>28</v>
      </c>
      <c r="X1312" s="353">
        <f t="shared" si="119"/>
        <v>26.5</v>
      </c>
      <c r="Y1312" s="56">
        <v>9</v>
      </c>
      <c r="Z1312" s="117" t="str">
        <f>IF(ABS(IF(II4Ext!$H$32="M",AL1311-W1312,AL1354-W1312))&gt;1,"ALARM"," ")</f>
        <v xml:space="preserve"> </v>
      </c>
      <c r="AA1312" s="114" t="str">
        <f>IF(ABS(IF(II4Ext!$H$32="M",AM1311-X1312,AM1354-X1312))&gt;1,"ALARM"," ")</f>
        <v xml:space="preserve"> </v>
      </c>
      <c r="AB1312" s="65"/>
      <c r="AC1312" s="78" t="s">
        <v>50</v>
      </c>
      <c r="AD1312" s="59">
        <v>9</v>
      </c>
      <c r="AE1312" s="65"/>
      <c r="AF1312" s="60">
        <f>II4Ext!$H$35+6*(100-II4Ext!$H$35)/12</f>
        <v>70</v>
      </c>
      <c r="AG1312" s="61">
        <f t="shared" si="120"/>
        <v>65.099999999999994</v>
      </c>
      <c r="AH1312" s="65"/>
      <c r="AI1312" s="58">
        <v>3</v>
      </c>
      <c r="AJ1312" s="59">
        <v>8</v>
      </c>
      <c r="AK1312" s="65"/>
      <c r="AL1312" s="60">
        <f>ROUNDDOWN(II4Ext!$H$30*AF1313/500,1)*5</f>
        <v>26</v>
      </c>
      <c r="AM1312" s="353">
        <f t="shared" si="117"/>
        <v>24.5</v>
      </c>
      <c r="AN1312" s="63">
        <f t="shared" si="118"/>
        <v>2</v>
      </c>
      <c r="AO1312"/>
    </row>
    <row r="1313" spans="20:41" ht="12.75" customHeight="1" x14ac:dyDescent="0.2">
      <c r="U1313" s="108">
        <f>+II4Ext!A50</f>
        <v>0</v>
      </c>
      <c r="V1313" s="111">
        <f>IF(II4Ext!$H$32="M",AN1312+U1313,AN1355+U1313)</f>
        <v>2</v>
      </c>
      <c r="W1313" s="380">
        <f t="shared" si="121"/>
        <v>26</v>
      </c>
      <c r="X1313" s="353">
        <f t="shared" si="119"/>
        <v>24.5</v>
      </c>
      <c r="Y1313" s="56">
        <v>8</v>
      </c>
      <c r="Z1313" s="115" t="str">
        <f>IF(ABS(IF(II4Ext!$H$32="M",AL1312-W1313,AL1355-W1313))&gt;1,"ALARM"," ")</f>
        <v xml:space="preserve"> </v>
      </c>
      <c r="AA1313" s="63" t="str">
        <f>IF(ABS(IF(II4Ext!$H$32="M",AM1312-X1313,AM1355-X1313))&gt;1,"ALARM"," ")</f>
        <v xml:space="preserve"> </v>
      </c>
      <c r="AB1313" s="65"/>
      <c r="AC1313" s="58">
        <v>3</v>
      </c>
      <c r="AD1313" s="59">
        <v>8</v>
      </c>
      <c r="AE1313" s="65"/>
      <c r="AF1313" s="60">
        <f>II4Ext!$H$35+5*(100-II4Ext!$H$35)/12</f>
        <v>65</v>
      </c>
      <c r="AG1313" s="61">
        <f t="shared" si="120"/>
        <v>60.1</v>
      </c>
      <c r="AH1313" s="65"/>
      <c r="AI1313" s="81" t="s">
        <v>22</v>
      </c>
      <c r="AJ1313" s="69">
        <v>7</v>
      </c>
      <c r="AK1313" s="70"/>
      <c r="AL1313" s="60">
        <f>ROUNDDOWN(II4Ext!$H$30*AF1314/500,1)*5</f>
        <v>24</v>
      </c>
      <c r="AM1313" s="353">
        <f t="shared" si="117"/>
        <v>22.5</v>
      </c>
      <c r="AN1313" s="73">
        <f t="shared" si="118"/>
        <v>2</v>
      </c>
      <c r="AO1313"/>
    </row>
    <row r="1314" spans="20:41" ht="12.75" customHeight="1" x14ac:dyDescent="0.2">
      <c r="U1314" s="108">
        <f>+II4Ext!A51</f>
        <v>0</v>
      </c>
      <c r="V1314" s="111">
        <f>IF(II4Ext!$H$32="M",AN1313+U1314,AN1356+U1314)</f>
        <v>2</v>
      </c>
      <c r="W1314" s="381">
        <f t="shared" si="121"/>
        <v>24</v>
      </c>
      <c r="X1314" s="353">
        <f t="shared" si="119"/>
        <v>22.5</v>
      </c>
      <c r="Y1314" s="75">
        <v>7</v>
      </c>
      <c r="Z1314" s="118" t="str">
        <f>IF(ABS(IF(II4Ext!$H$32="M",AL1313-W1314,AL1356-W1314))&gt;1,"ALARM"," ")</f>
        <v xml:space="preserve"> </v>
      </c>
      <c r="AA1314" s="73" t="str">
        <f>IF(ABS(IF(II4Ext!$H$32="M",AM1313-X1314,AM1356-X1314))&gt;1,"ALARM"," ")</f>
        <v xml:space="preserve"> </v>
      </c>
      <c r="AB1314" s="65"/>
      <c r="AC1314" s="81" t="s">
        <v>22</v>
      </c>
      <c r="AD1314" s="69">
        <v>7</v>
      </c>
      <c r="AE1314" s="70"/>
      <c r="AF1314" s="82">
        <f>II4Ext!$H$35+4*(100-II4Ext!$H$35)/12</f>
        <v>60</v>
      </c>
      <c r="AG1314" s="83">
        <f t="shared" si="120"/>
        <v>55.1</v>
      </c>
      <c r="AH1314" s="65"/>
      <c r="AI1314" s="78" t="s">
        <v>50</v>
      </c>
      <c r="AJ1314" s="59">
        <v>6</v>
      </c>
      <c r="AK1314" s="65"/>
      <c r="AL1314" s="60">
        <f>ROUNDDOWN(II4Ext!$H$30*AF1315/500,1)*5</f>
        <v>22</v>
      </c>
      <c r="AM1314" s="353">
        <f t="shared" si="117"/>
        <v>20.5</v>
      </c>
      <c r="AN1314" s="63">
        <f t="shared" si="118"/>
        <v>2</v>
      </c>
      <c r="AO1314"/>
    </row>
    <row r="1315" spans="20:41" ht="12.75" customHeight="1" x14ac:dyDescent="0.2">
      <c r="U1315" s="108">
        <f>+II4Ext!A52</f>
        <v>0</v>
      </c>
      <c r="V1315" s="110">
        <f>IF(II4Ext!$H$32="M",AN1314+U1315,AN1357+U1315)</f>
        <v>2</v>
      </c>
      <c r="W1315" s="380">
        <f t="shared" si="121"/>
        <v>22</v>
      </c>
      <c r="X1315" s="353">
        <f t="shared" si="119"/>
        <v>20.5</v>
      </c>
      <c r="Y1315" s="56">
        <v>6</v>
      </c>
      <c r="Z1315" s="115" t="str">
        <f>IF(ABS(IF(II4Ext!$H$32="M",AL1314-W1315,AL1357-W1315))&gt;1,"ALARM"," ")</f>
        <v xml:space="preserve"> </v>
      </c>
      <c r="AA1315" s="63" t="str">
        <f>IF(ABS(IF(II4Ext!$H$32="M",AM1314-X1315,AM1357-X1315))&gt;1,"ALARM"," ")</f>
        <v xml:space="preserve"> </v>
      </c>
      <c r="AB1315" s="65"/>
      <c r="AC1315" s="78" t="s">
        <v>50</v>
      </c>
      <c r="AD1315" s="59">
        <v>6</v>
      </c>
      <c r="AE1315" s="65"/>
      <c r="AF1315" s="60">
        <f>II4Ext!$H$35+3*(100-II4Ext!$H$35)/12</f>
        <v>55</v>
      </c>
      <c r="AG1315" s="61">
        <f t="shared" si="120"/>
        <v>50.1</v>
      </c>
      <c r="AH1315" s="65"/>
      <c r="AI1315" s="58">
        <v>4</v>
      </c>
      <c r="AJ1315" s="59">
        <v>5</v>
      </c>
      <c r="AK1315" s="65"/>
      <c r="AL1315" s="60">
        <f>ROUNDDOWN(II4Ext!$H$30*AF1316/500,1)*5</f>
        <v>20</v>
      </c>
      <c r="AM1315" s="353">
        <f t="shared" si="117"/>
        <v>18.5</v>
      </c>
      <c r="AN1315" s="63">
        <f t="shared" si="118"/>
        <v>2</v>
      </c>
      <c r="AO1315"/>
    </row>
    <row r="1316" spans="20:41" ht="12.75" customHeight="1" x14ac:dyDescent="0.2">
      <c r="U1316" s="108">
        <f>+II4Ext!A53</f>
        <v>0</v>
      </c>
      <c r="V1316" s="111">
        <f>IF(II4Ext!$H$32="M",AN1315+U1316,AN1358+U1316)</f>
        <v>2</v>
      </c>
      <c r="W1316" s="380">
        <f t="shared" si="121"/>
        <v>20</v>
      </c>
      <c r="X1316" s="353">
        <f t="shared" si="119"/>
        <v>18.5</v>
      </c>
      <c r="Y1316" s="56">
        <v>5</v>
      </c>
      <c r="Z1316" s="115" t="str">
        <f>IF(ABS(IF(II4Ext!$H$32="M",AL1315-W1316,AL1358-W1316))&gt;1,"ALARM"," ")</f>
        <v xml:space="preserve"> </v>
      </c>
      <c r="AA1316" s="63" t="str">
        <f>IF(ABS(IF(II4Ext!$H$32="M",AM1315-X1316,AM1358-X1316))&gt;1,"ALARM"," ")</f>
        <v xml:space="preserve"> </v>
      </c>
      <c r="AB1316" s="65"/>
      <c r="AC1316" s="58">
        <v>4</v>
      </c>
      <c r="AD1316" s="59">
        <v>5</v>
      </c>
      <c r="AE1316" s="65"/>
      <c r="AF1316" s="60">
        <f>II4Ext!$H$35+2*(100-II4Ext!$H$35)/12</f>
        <v>50</v>
      </c>
      <c r="AG1316" s="61">
        <f t="shared" si="120"/>
        <v>45.1</v>
      </c>
      <c r="AH1316" s="65"/>
      <c r="AI1316" s="81" t="s">
        <v>22</v>
      </c>
      <c r="AJ1316" s="69">
        <v>4</v>
      </c>
      <c r="AK1316" s="70"/>
      <c r="AL1316" s="60">
        <f>ROUNDDOWN(II4Ext!$H$30*AF1317/500,1)*5</f>
        <v>18</v>
      </c>
      <c r="AM1316" s="353">
        <f t="shared" si="117"/>
        <v>16.5</v>
      </c>
      <c r="AN1316" s="73">
        <f t="shared" si="118"/>
        <v>2</v>
      </c>
      <c r="AO1316"/>
    </row>
    <row r="1317" spans="20:41" ht="12.75" customHeight="1" x14ac:dyDescent="0.2">
      <c r="U1317" s="108">
        <f>+II4Ext!A54</f>
        <v>0</v>
      </c>
      <c r="V1317" s="113">
        <f>IF(II4Ext!$H$32="M",AN1316+U1317,AN1359+U1317)</f>
        <v>2</v>
      </c>
      <c r="W1317" s="381">
        <f t="shared" si="121"/>
        <v>18</v>
      </c>
      <c r="X1317" s="353">
        <f t="shared" si="119"/>
        <v>16.5</v>
      </c>
      <c r="Y1317" s="75">
        <v>4</v>
      </c>
      <c r="Z1317" s="115" t="str">
        <f>IF(ABS(IF(II4Ext!$H$32="M",AL1316-W1317,AL1359-W1317))&gt;1,"ALARM"," ")</f>
        <v xml:space="preserve"> </v>
      </c>
      <c r="AA1317" s="63" t="str">
        <f>IF(ABS(IF(II4Ext!$H$32="M",AM1316-X1317,AM1359-X1317))&gt;1,"ALARM"," ")</f>
        <v xml:space="preserve"> </v>
      </c>
      <c r="AB1317" s="65"/>
      <c r="AC1317" s="81" t="s">
        <v>22</v>
      </c>
      <c r="AD1317" s="69">
        <v>4</v>
      </c>
      <c r="AE1317" s="70"/>
      <c r="AF1317" s="82">
        <f>II4Ext!$H$35+1*(100-II4Ext!$H$35)/12</f>
        <v>45</v>
      </c>
      <c r="AG1317" s="83">
        <f t="shared" si="120"/>
        <v>40.1</v>
      </c>
      <c r="AH1317" s="65"/>
      <c r="AI1317" s="78" t="s">
        <v>50</v>
      </c>
      <c r="AJ1317" s="59">
        <v>3</v>
      </c>
      <c r="AK1317" s="65"/>
      <c r="AL1317" s="60">
        <f>ROUNDDOWN(II4Ext!$H$30*AF1318/500,1)*5</f>
        <v>16</v>
      </c>
      <c r="AM1317" s="353">
        <f t="shared" si="117"/>
        <v>13.5</v>
      </c>
      <c r="AN1317" s="63">
        <f t="shared" si="118"/>
        <v>3</v>
      </c>
      <c r="AO1317"/>
    </row>
    <row r="1318" spans="20:41" ht="12.75" customHeight="1" x14ac:dyDescent="0.2">
      <c r="U1318" s="108">
        <f>+II4Ext!A55</f>
        <v>0</v>
      </c>
      <c r="V1318" s="110">
        <f>IF(II4Ext!$H$32="M",AN1317+U1318,AN1360+U1318)</f>
        <v>3</v>
      </c>
      <c r="W1318" s="380">
        <f t="shared" si="121"/>
        <v>16</v>
      </c>
      <c r="X1318" s="353">
        <f t="shared" si="119"/>
        <v>13.5</v>
      </c>
      <c r="Y1318" s="56">
        <v>3</v>
      </c>
      <c r="Z1318" s="117" t="str">
        <f>IF(ABS(IF(II4Ext!$H$32="M",AL1317-W1318,AL1360-W1318))&gt;1,"ALARM"," ")</f>
        <v xml:space="preserve"> </v>
      </c>
      <c r="AA1318" s="114" t="str">
        <f>IF(ABS(IF(II4Ext!$H$32="M",AM1317-X1318,AM1360-X1318))&gt;1,"ALARM"," ")</f>
        <v xml:space="preserve"> </v>
      </c>
      <c r="AB1318" s="65"/>
      <c r="AC1318" s="78" t="s">
        <v>50</v>
      </c>
      <c r="AD1318" s="59">
        <v>3</v>
      </c>
      <c r="AE1318" s="65"/>
      <c r="AF1318" s="60">
        <f>II4Ext!$H$35</f>
        <v>40</v>
      </c>
      <c r="AG1318" s="61">
        <f>AF1319+0.01</f>
        <v>33.343333333333334</v>
      </c>
      <c r="AH1318" s="65"/>
      <c r="AI1318" s="58">
        <v>5</v>
      </c>
      <c r="AJ1318" s="59">
        <v>2</v>
      </c>
      <c r="AK1318" s="65"/>
      <c r="AL1318" s="60">
        <f>ROUNDDOWN(II4Ext!$H$30*AF1319/500,1)*5</f>
        <v>13</v>
      </c>
      <c r="AM1318" s="353">
        <f t="shared" si="117"/>
        <v>11</v>
      </c>
      <c r="AN1318" s="63">
        <f t="shared" si="118"/>
        <v>2.5</v>
      </c>
      <c r="AO1318"/>
    </row>
    <row r="1319" spans="20:41" ht="12.75" customHeight="1" x14ac:dyDescent="0.2">
      <c r="U1319" s="108">
        <f>+II4Ext!A56</f>
        <v>0</v>
      </c>
      <c r="V1319" s="111">
        <f>IF(II4Ext!$H$32="M",AN1318+U1319,AN1361+U1319)</f>
        <v>2.5</v>
      </c>
      <c r="W1319" s="380">
        <f t="shared" si="121"/>
        <v>13</v>
      </c>
      <c r="X1319" s="353">
        <f t="shared" si="119"/>
        <v>11</v>
      </c>
      <c r="Y1319" s="56">
        <v>2</v>
      </c>
      <c r="Z1319" s="115" t="str">
        <f>IF(ABS(IF(II4Ext!$H$32="M",AL1318-W1319,AL1361-W1319))&gt;1,"ALARM"," ")</f>
        <v xml:space="preserve"> </v>
      </c>
      <c r="AA1319" s="63" t="str">
        <f>IF(ABS(IF(II4Ext!$H$32="M",AM1318-X1319,AM1361-X1319))&gt;1,"ALARM"," ")</f>
        <v xml:space="preserve"> </v>
      </c>
      <c r="AB1319" s="65"/>
      <c r="AC1319" s="58">
        <v>5</v>
      </c>
      <c r="AD1319" s="59">
        <v>2</v>
      </c>
      <c r="AE1319" s="65"/>
      <c r="AF1319" s="60">
        <f>AG1320+2*(AF1318-AG1320)/3</f>
        <v>33.333333333333336</v>
      </c>
      <c r="AG1319" s="61">
        <f>AF1320+0.01</f>
        <v>26.676666666666669</v>
      </c>
      <c r="AH1319" s="65"/>
      <c r="AI1319" s="81" t="s">
        <v>22</v>
      </c>
      <c r="AJ1319" s="69">
        <v>1</v>
      </c>
      <c r="AK1319" s="70"/>
      <c r="AL1319" s="60">
        <f>ROUNDDOWN(II4Ext!$H$30*AF1320/500,1)*5</f>
        <v>10.5</v>
      </c>
      <c r="AM1319" s="353">
        <f>ROUNDUP(II4Ext!$H$30*(II4Ext!$H$34/500),1)*5</f>
        <v>8</v>
      </c>
      <c r="AN1319" s="73">
        <f t="shared" si="118"/>
        <v>3</v>
      </c>
      <c r="AO1319"/>
    </row>
    <row r="1320" spans="20:41" ht="12.75" customHeight="1" thickBot="1" x14ac:dyDescent="0.25">
      <c r="U1320" s="108">
        <f>+II4Ext!A57</f>
        <v>0</v>
      </c>
      <c r="V1320" s="113">
        <f>IF(II4Ext!$H$32="M",AN1319+U1320,AN1362+U1320)</f>
        <v>3</v>
      </c>
      <c r="W1320" s="381">
        <f t="shared" si="121"/>
        <v>10.5</v>
      </c>
      <c r="X1320" s="353">
        <f t="shared" si="119"/>
        <v>8</v>
      </c>
      <c r="Y1320" s="75">
        <v>1</v>
      </c>
      <c r="Z1320" s="118" t="str">
        <f>IF(ABS(IF(II4Ext!$H$32="M",AL1319-W1320,AL1362-W1320))&gt;1,"ALARM"," ")</f>
        <v xml:space="preserve"> </v>
      </c>
      <c r="AA1320" s="73" t="str">
        <f>IF(ABS(IF(II4Ext!$H$32="M",AM1319-X1320,AM1362-X1320))&gt;1,"ALARM"," ")</f>
        <v xml:space="preserve"> </v>
      </c>
      <c r="AB1320" s="65"/>
      <c r="AC1320" s="81" t="s">
        <v>22</v>
      </c>
      <c r="AD1320" s="69">
        <v>1</v>
      </c>
      <c r="AE1320" s="70"/>
      <c r="AF1320" s="82">
        <f>AG1320+(AF1318-AG1320)/3</f>
        <v>26.666666666666668</v>
      </c>
      <c r="AG1320" s="83">
        <f>II4Ext!$H$34</f>
        <v>20</v>
      </c>
      <c r="AH1320" s="65"/>
      <c r="AI1320" s="89">
        <v>6</v>
      </c>
      <c r="AJ1320" s="90">
        <v>0</v>
      </c>
      <c r="AK1320" s="91"/>
      <c r="AL1320" s="60">
        <f>AM1319-0.5</f>
        <v>7.5</v>
      </c>
      <c r="AM1320" s="362">
        <v>0</v>
      </c>
      <c r="AN1320" s="94">
        <f>IF(AM1320&gt;AM1319,"ALARM",AL1320)</f>
        <v>7.5</v>
      </c>
      <c r="AO1320"/>
    </row>
    <row r="1321" spans="20:41" ht="12.75" customHeight="1" thickBot="1" x14ac:dyDescent="0.25">
      <c r="U1321" s="43" t="s">
        <v>51</v>
      </c>
      <c r="V1321" s="112">
        <f>IF(II4Ext!$H$32="M",+W1321,W1363)</f>
        <v>7.5</v>
      </c>
      <c r="W1321" s="384">
        <f t="shared" si="121"/>
        <v>7.5</v>
      </c>
      <c r="X1321" s="362">
        <v>0</v>
      </c>
      <c r="Y1321" s="95">
        <v>0</v>
      </c>
      <c r="Z1321" s="116" t="str">
        <f>IF(ABS(IF(II4Ext!$H$32="M",AL1320-W1321,AL1363-W1321))&gt;1,"ALARM"," ")</f>
        <v xml:space="preserve"> </v>
      </c>
      <c r="AA1321" s="94" t="str">
        <f>IF(ABS(IF(II4Ext!$H$32="M",AM1320-X1321,AM1363-X1321))&gt;1,"ALARM"," ")</f>
        <v xml:space="preserve"> </v>
      </c>
      <c r="AB1321" s="65"/>
      <c r="AC1321" s="89">
        <v>6</v>
      </c>
      <c r="AD1321" s="90">
        <v>0</v>
      </c>
      <c r="AE1321" s="91"/>
      <c r="AF1321" s="96">
        <f>II4Ext!$H$34-0.1</f>
        <v>19.899999999999999</v>
      </c>
      <c r="AG1321" s="97">
        <v>0</v>
      </c>
      <c r="AH1321" s="65"/>
      <c r="AI1321" s="65"/>
      <c r="AJ1321" s="65"/>
      <c r="AK1321" s="65"/>
      <c r="AL1321" s="65"/>
      <c r="AM1321" s="65"/>
      <c r="AN1321" s="65"/>
      <c r="AO1321"/>
    </row>
    <row r="1322" spans="20:41" ht="12.75" customHeight="1" x14ac:dyDescent="0.2"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/>
    </row>
    <row r="1323" spans="20:41" ht="12.75" customHeight="1" x14ac:dyDescent="0.2"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/>
    </row>
    <row r="1324" spans="20:41" ht="12.75" customHeight="1" x14ac:dyDescent="0.25">
      <c r="T1324"/>
      <c r="U1324" s="218" t="s">
        <v>147</v>
      </c>
      <c r="V1324" s="359">
        <f t="shared" ref="V1324:V1339" si="122">+X1324</f>
        <v>0</v>
      </c>
      <c r="W1324" s="359">
        <f>+W1321</f>
        <v>7.5</v>
      </c>
      <c r="X1324" s="359">
        <f>+X1321</f>
        <v>0</v>
      </c>
      <c r="Y1324" s="46">
        <f>+Y1321</f>
        <v>0</v>
      </c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/>
    </row>
    <row r="1325" spans="20:41" ht="12.75" customHeight="1" x14ac:dyDescent="0.2">
      <c r="U1325" s="46"/>
      <c r="V1325" s="359">
        <f t="shared" si="122"/>
        <v>8</v>
      </c>
      <c r="W1325" s="359">
        <f>+W1320</f>
        <v>10.5</v>
      </c>
      <c r="X1325" s="359">
        <f>+X1320</f>
        <v>8</v>
      </c>
      <c r="Y1325" s="46">
        <f>+Y1320</f>
        <v>1</v>
      </c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/>
    </row>
    <row r="1326" spans="20:41" ht="12.75" customHeight="1" x14ac:dyDescent="0.2">
      <c r="U1326" s="46"/>
      <c r="V1326" s="359">
        <f t="shared" si="122"/>
        <v>11</v>
      </c>
      <c r="W1326" s="359">
        <f>+W1319</f>
        <v>13</v>
      </c>
      <c r="X1326" s="359">
        <f>+X1319</f>
        <v>11</v>
      </c>
      <c r="Y1326" s="46">
        <f>+Y1319</f>
        <v>2</v>
      </c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/>
    </row>
    <row r="1327" spans="20:41" ht="12.75" customHeight="1" x14ac:dyDescent="0.2">
      <c r="U1327" s="46"/>
      <c r="V1327" s="359">
        <f t="shared" si="122"/>
        <v>13.5</v>
      </c>
      <c r="W1327" s="359">
        <f>+W1318</f>
        <v>16</v>
      </c>
      <c r="X1327" s="359">
        <f>+X1318</f>
        <v>13.5</v>
      </c>
      <c r="Y1327" s="46">
        <f>+Y1318</f>
        <v>3</v>
      </c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/>
    </row>
    <row r="1328" spans="20:41" ht="12.75" customHeight="1" x14ac:dyDescent="0.2">
      <c r="U1328" s="46"/>
      <c r="V1328" s="359">
        <f t="shared" si="122"/>
        <v>16.5</v>
      </c>
      <c r="W1328" s="359">
        <f>+W1317</f>
        <v>18</v>
      </c>
      <c r="X1328" s="359">
        <f>+X1317</f>
        <v>16.5</v>
      </c>
      <c r="Y1328" s="46">
        <f>+Y1317</f>
        <v>4</v>
      </c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/>
    </row>
    <row r="1329" spans="20:41" ht="12.75" customHeight="1" x14ac:dyDescent="0.2">
      <c r="U1329" s="46"/>
      <c r="V1329" s="359">
        <f t="shared" si="122"/>
        <v>18.5</v>
      </c>
      <c r="W1329" s="359">
        <f>+W1316</f>
        <v>20</v>
      </c>
      <c r="X1329" s="359">
        <f>+X1316</f>
        <v>18.5</v>
      </c>
      <c r="Y1329" s="46">
        <f>+Y1316</f>
        <v>5</v>
      </c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/>
    </row>
    <row r="1330" spans="20:41" ht="12.75" customHeight="1" x14ac:dyDescent="0.2">
      <c r="U1330" s="46"/>
      <c r="V1330" s="359">
        <f t="shared" si="122"/>
        <v>20.5</v>
      </c>
      <c r="W1330" s="359">
        <f>+W1315</f>
        <v>22</v>
      </c>
      <c r="X1330" s="359">
        <f>+X1315</f>
        <v>20.5</v>
      </c>
      <c r="Y1330" s="46">
        <f>+Y1315</f>
        <v>6</v>
      </c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/>
    </row>
    <row r="1331" spans="20:41" ht="12.75" customHeight="1" x14ac:dyDescent="0.2">
      <c r="U1331" s="46"/>
      <c r="V1331" s="359">
        <f t="shared" si="122"/>
        <v>22.5</v>
      </c>
      <c r="W1331" s="359">
        <f>+W1314</f>
        <v>24</v>
      </c>
      <c r="X1331" s="359">
        <f>+X1314</f>
        <v>22.5</v>
      </c>
      <c r="Y1331" s="46">
        <f>+Y1314</f>
        <v>7</v>
      </c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/>
    </row>
    <row r="1332" spans="20:41" ht="12.75" customHeight="1" x14ac:dyDescent="0.2">
      <c r="U1332" s="46"/>
      <c r="V1332" s="359">
        <f t="shared" si="122"/>
        <v>24.5</v>
      </c>
      <c r="W1332" s="359">
        <f>+W1313</f>
        <v>26</v>
      </c>
      <c r="X1332" s="359">
        <f>+X1313</f>
        <v>24.5</v>
      </c>
      <c r="Y1332" s="46">
        <f>+Y1313</f>
        <v>8</v>
      </c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/>
    </row>
    <row r="1333" spans="20:41" ht="12.75" customHeight="1" x14ac:dyDescent="0.2">
      <c r="U1333" s="46"/>
      <c r="V1333" s="359">
        <f t="shared" si="122"/>
        <v>26.5</v>
      </c>
      <c r="W1333" s="359">
        <f>+W1312</f>
        <v>28</v>
      </c>
      <c r="X1333" s="359">
        <f>+X1312</f>
        <v>26.5</v>
      </c>
      <c r="Y1333" s="46">
        <f>+Y1312</f>
        <v>9</v>
      </c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/>
    </row>
    <row r="1334" spans="20:41" ht="12.75" customHeight="1" x14ac:dyDescent="0.2">
      <c r="U1334" s="46"/>
      <c r="V1334" s="359">
        <f t="shared" si="122"/>
        <v>28.5</v>
      </c>
      <c r="W1334" s="359">
        <f>+W1311</f>
        <v>30</v>
      </c>
      <c r="X1334" s="359">
        <f>+X1311</f>
        <v>28.5</v>
      </c>
      <c r="Y1334" s="46">
        <f>+Y1311</f>
        <v>10</v>
      </c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/>
    </row>
    <row r="1335" spans="20:41" ht="12.75" customHeight="1" x14ac:dyDescent="0.2">
      <c r="U1335" s="46"/>
      <c r="V1335" s="359">
        <f t="shared" si="122"/>
        <v>30.5</v>
      </c>
      <c r="W1335" s="359">
        <f>+W1310</f>
        <v>32</v>
      </c>
      <c r="X1335" s="359">
        <f>+X1310</f>
        <v>30.5</v>
      </c>
      <c r="Y1335" s="46">
        <f>+Y1310</f>
        <v>11</v>
      </c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/>
    </row>
    <row r="1336" spans="20:41" ht="12.75" customHeight="1" x14ac:dyDescent="0.2">
      <c r="U1336" s="46"/>
      <c r="V1336" s="359">
        <f t="shared" si="122"/>
        <v>32.5</v>
      </c>
      <c r="W1336" s="359">
        <f>+W1309</f>
        <v>34</v>
      </c>
      <c r="X1336" s="359">
        <f>+X1309</f>
        <v>32.5</v>
      </c>
      <c r="Y1336" s="46">
        <f>+Y1309</f>
        <v>12</v>
      </c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/>
    </row>
    <row r="1337" spans="20:41" ht="12.75" customHeight="1" x14ac:dyDescent="0.2">
      <c r="U1337" s="46"/>
      <c r="V1337" s="359">
        <f t="shared" si="122"/>
        <v>34.5</v>
      </c>
      <c r="W1337" s="359">
        <f>+W1308</f>
        <v>36</v>
      </c>
      <c r="X1337" s="359">
        <f>+X1308</f>
        <v>34.5</v>
      </c>
      <c r="Y1337" s="46">
        <f>+Y1308</f>
        <v>13</v>
      </c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/>
    </row>
    <row r="1338" spans="20:41" ht="12.75" customHeight="1" x14ac:dyDescent="0.2">
      <c r="U1338" s="46"/>
      <c r="V1338" s="359">
        <f t="shared" si="122"/>
        <v>36.5</v>
      </c>
      <c r="W1338" s="359">
        <f>+W1307</f>
        <v>38</v>
      </c>
      <c r="X1338" s="359">
        <f>+X1307</f>
        <v>36.5</v>
      </c>
      <c r="Y1338" s="46">
        <f>+Y1307</f>
        <v>14</v>
      </c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/>
    </row>
    <row r="1339" spans="20:41" ht="12.75" customHeight="1" x14ac:dyDescent="0.2">
      <c r="U1339" s="46"/>
      <c r="V1339" s="359">
        <f t="shared" si="122"/>
        <v>38.5</v>
      </c>
      <c r="W1339" s="359">
        <f>+W1306</f>
        <v>40</v>
      </c>
      <c r="X1339" s="359">
        <f>+X1306</f>
        <v>38.5</v>
      </c>
      <c r="Y1339" s="98">
        <f>+Y1306</f>
        <v>15</v>
      </c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/>
    </row>
    <row r="1340" spans="20:41" ht="12.75" customHeight="1" x14ac:dyDescent="0.2"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/>
    </row>
    <row r="1341" spans="20:41" ht="12.75" customHeight="1" x14ac:dyDescent="0.2"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/>
    </row>
    <row r="1342" spans="20:41" ht="12.75" customHeight="1" x14ac:dyDescent="0.2"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/>
    </row>
    <row r="1343" spans="20:41" ht="12.75" customHeight="1" x14ac:dyDescent="0.2"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52"/>
      <c r="AI1343" s="57"/>
      <c r="AJ1343" s="60"/>
      <c r="AK1343" s="60"/>
      <c r="AL1343" s="52"/>
      <c r="AM1343" s="88"/>
      <c r="AN1343" s="57"/>
      <c r="AO1343"/>
    </row>
    <row r="1344" spans="20:41" ht="12.75" customHeight="1" thickBot="1" x14ac:dyDescent="0.25">
      <c r="T1344"/>
      <c r="U1344" s="358"/>
      <c r="V1344" s="375"/>
      <c r="W1344" s="454"/>
      <c r="X1344" s="454"/>
      <c r="Y1344" s="65"/>
      <c r="Z1344" s="454"/>
      <c r="AA1344" s="454"/>
      <c r="AB1344" s="46"/>
      <c r="AC1344" s="65"/>
      <c r="AD1344" s="57"/>
      <c r="AE1344" s="57"/>
      <c r="AF1344" s="60"/>
      <c r="AG1344" s="60"/>
      <c r="AH1344" s="52"/>
      <c r="AI1344" s="65"/>
      <c r="AJ1344" s="57"/>
      <c r="AK1344" s="65"/>
      <c r="AL1344" s="57"/>
      <c r="AM1344" s="57"/>
      <c r="AN1344" s="57"/>
      <c r="AO1344"/>
    </row>
    <row r="1345" spans="21:41" ht="12.75" customHeight="1" x14ac:dyDescent="0.25">
      <c r="U1345" s="376"/>
      <c r="V1345" s="375"/>
      <c r="W1345" s="458"/>
      <c r="X1345" s="458"/>
      <c r="Y1345" s="65"/>
      <c r="Z1345" s="454"/>
      <c r="AA1345" s="454"/>
      <c r="AB1345" s="374" t="s">
        <v>146</v>
      </c>
      <c r="AC1345" s="49" t="s">
        <v>17</v>
      </c>
      <c r="AD1345" s="50" t="s">
        <v>32</v>
      </c>
      <c r="AE1345" s="51"/>
      <c r="AF1345" s="461" t="s">
        <v>41</v>
      </c>
      <c r="AG1345" s="462"/>
      <c r="AH1345" s="52"/>
      <c r="AI1345" s="49" t="s">
        <v>17</v>
      </c>
      <c r="AJ1345" s="50" t="s">
        <v>32</v>
      </c>
      <c r="AK1345" s="53"/>
      <c r="AL1345" s="452" t="s">
        <v>42</v>
      </c>
      <c r="AM1345" s="453"/>
      <c r="AN1345" s="54" t="s">
        <v>43</v>
      </c>
      <c r="AO1345"/>
    </row>
    <row r="1346" spans="21:41" ht="12.75" customHeight="1" x14ac:dyDescent="0.2">
      <c r="U1346" s="377"/>
      <c r="V1346" s="375"/>
      <c r="W1346" s="358"/>
      <c r="X1346" s="358"/>
      <c r="Y1346" s="65"/>
      <c r="Z1346" s="454"/>
      <c r="AA1346" s="454"/>
      <c r="AB1346" s="46"/>
      <c r="AC1346" s="58"/>
      <c r="AD1346" s="59"/>
      <c r="AE1346" s="57"/>
      <c r="AF1346" s="60" t="s">
        <v>46</v>
      </c>
      <c r="AG1346" s="61" t="s">
        <v>47</v>
      </c>
      <c r="AH1346" s="52"/>
      <c r="AI1346" s="58"/>
      <c r="AJ1346" s="59"/>
      <c r="AK1346" s="57"/>
      <c r="AL1346" s="57" t="s">
        <v>46</v>
      </c>
      <c r="AM1346" s="62" t="s">
        <v>47</v>
      </c>
      <c r="AN1346" s="63"/>
      <c r="AO1346"/>
    </row>
    <row r="1347" spans="21:41" ht="12.75" customHeight="1" x14ac:dyDescent="0.2">
      <c r="U1347" s="65"/>
      <c r="V1347" s="375"/>
      <c r="W1347" s="358"/>
      <c r="X1347" s="358"/>
      <c r="Y1347" s="65"/>
      <c r="Z1347" s="358"/>
      <c r="AA1347" s="358"/>
      <c r="AB1347" s="46"/>
      <c r="AC1347" s="68"/>
      <c r="AD1347" s="69"/>
      <c r="AE1347" s="70"/>
      <c r="AF1347" s="76"/>
      <c r="AG1347" s="77"/>
      <c r="AH1347" s="65"/>
      <c r="AI1347" s="68"/>
      <c r="AJ1347" s="69"/>
      <c r="AK1347" s="70"/>
      <c r="AL1347" s="71"/>
      <c r="AM1347" s="72"/>
      <c r="AN1347" s="73"/>
      <c r="AO1347"/>
    </row>
    <row r="1348" spans="21:41" ht="12.75" customHeight="1" x14ac:dyDescent="0.2">
      <c r="U1348" s="376"/>
      <c r="V1348" s="375"/>
      <c r="W1348" s="79"/>
      <c r="X1348" s="358"/>
      <c r="Y1348" s="65"/>
      <c r="Z1348" s="358"/>
      <c r="AA1348" s="358"/>
      <c r="AB1348" s="46"/>
      <c r="AC1348" s="78" t="s">
        <v>50</v>
      </c>
      <c r="AD1348" s="59">
        <v>15</v>
      </c>
      <c r="AE1348" s="65"/>
      <c r="AF1348" s="60">
        <f>II4Ext!$H$35+30*(100-II4Ext!$H$35)/30</f>
        <v>100</v>
      </c>
      <c r="AG1348" s="61">
        <f t="shared" ref="AG1348:AG1359" si="123">AF1349+0.1</f>
        <v>94.1</v>
      </c>
      <c r="AH1348" s="65"/>
      <c r="AI1348" s="78" t="s">
        <v>50</v>
      </c>
      <c r="AJ1348" s="59">
        <v>15</v>
      </c>
      <c r="AK1348" s="65"/>
      <c r="AL1348" s="378">
        <f>II4Ext!$H$30</f>
        <v>40</v>
      </c>
      <c r="AM1348" s="379">
        <f t="shared" ref="AM1348:AM1361" si="124">AL1349+0.5</f>
        <v>38</v>
      </c>
      <c r="AN1348" s="63">
        <f t="shared" ref="AN1348:AN1362" si="125">IF(AM1348&gt;AL1348,"ALARM",AL1348-AL1349)</f>
        <v>2.5</v>
      </c>
      <c r="AO1348"/>
    </row>
    <row r="1349" spans="21:41" ht="12.75" customHeight="1" x14ac:dyDescent="0.2">
      <c r="U1349" s="376"/>
      <c r="V1349" s="375"/>
      <c r="W1349" s="358"/>
      <c r="X1349" s="358"/>
      <c r="Y1349" s="65"/>
      <c r="Z1349" s="358"/>
      <c r="AA1349" s="358"/>
      <c r="AB1349" s="46"/>
      <c r="AC1349" s="58">
        <v>1</v>
      </c>
      <c r="AD1349" s="59">
        <v>14</v>
      </c>
      <c r="AE1349" s="65"/>
      <c r="AF1349" s="60">
        <f>II4Ext!$H$35+27*(100-II4Ext!$H$35)/30</f>
        <v>94</v>
      </c>
      <c r="AG1349" s="61">
        <f t="shared" si="123"/>
        <v>88.1</v>
      </c>
      <c r="AH1349" s="65"/>
      <c r="AI1349" s="58">
        <v>1</v>
      </c>
      <c r="AJ1349" s="59">
        <v>14</v>
      </c>
      <c r="AK1349" s="65"/>
      <c r="AL1349" s="380">
        <f>ROUNDDOWN(II4Ext!$H$30*AF1349/500,1)*5</f>
        <v>37.5</v>
      </c>
      <c r="AM1349" s="353">
        <f t="shared" si="124"/>
        <v>35.5</v>
      </c>
      <c r="AN1349" s="63">
        <f t="shared" si="125"/>
        <v>2.5</v>
      </c>
      <c r="AO1349"/>
    </row>
    <row r="1350" spans="21:41" ht="12.75" customHeight="1" x14ac:dyDescent="0.2">
      <c r="U1350" s="376"/>
      <c r="V1350" s="375"/>
      <c r="W1350" s="358"/>
      <c r="X1350" s="358"/>
      <c r="Y1350" s="65"/>
      <c r="Z1350" s="358"/>
      <c r="AA1350" s="358"/>
      <c r="AB1350" s="46"/>
      <c r="AC1350" s="81" t="s">
        <v>22</v>
      </c>
      <c r="AD1350" s="69">
        <v>13</v>
      </c>
      <c r="AE1350" s="70"/>
      <c r="AF1350" s="82">
        <f>II4Ext!$H$35+24*(100-II4Ext!$H$35)/30</f>
        <v>88</v>
      </c>
      <c r="AG1350" s="83">
        <f t="shared" si="123"/>
        <v>82.1</v>
      </c>
      <c r="AH1350" s="65"/>
      <c r="AI1350" s="81" t="s">
        <v>22</v>
      </c>
      <c r="AJ1350" s="69">
        <v>13</v>
      </c>
      <c r="AK1350" s="70"/>
      <c r="AL1350" s="381">
        <f>ROUNDDOWN(II4Ext!$H$30*AF1350/500,1)*5</f>
        <v>35</v>
      </c>
      <c r="AM1350" s="361">
        <f t="shared" si="124"/>
        <v>33</v>
      </c>
      <c r="AN1350" s="73">
        <f t="shared" si="125"/>
        <v>2.5</v>
      </c>
      <c r="AO1350"/>
    </row>
    <row r="1351" spans="21:41" ht="12.75" customHeight="1" x14ac:dyDescent="0.2">
      <c r="U1351" s="376"/>
      <c r="V1351" s="375"/>
      <c r="W1351" s="358"/>
      <c r="X1351" s="358"/>
      <c r="Y1351" s="65"/>
      <c r="Z1351" s="358"/>
      <c r="AA1351" s="358"/>
      <c r="AB1351" s="46"/>
      <c r="AC1351" s="78" t="s">
        <v>50</v>
      </c>
      <c r="AD1351" s="59">
        <v>12</v>
      </c>
      <c r="AE1351" s="65"/>
      <c r="AF1351" s="60">
        <f>II4Ext!$H$35+21*(100-II4Ext!$H$35)/30</f>
        <v>82</v>
      </c>
      <c r="AG1351" s="61">
        <f t="shared" si="123"/>
        <v>76.099999999999994</v>
      </c>
      <c r="AH1351" s="65"/>
      <c r="AI1351" s="78" t="s">
        <v>50</v>
      </c>
      <c r="AJ1351" s="59">
        <v>12</v>
      </c>
      <c r="AK1351" s="65"/>
      <c r="AL1351" s="378">
        <f>ROUNDDOWN(II4Ext!$H$30*AF1351/500,1)*5</f>
        <v>32.5</v>
      </c>
      <c r="AM1351" s="379">
        <f t="shared" si="124"/>
        <v>30.5</v>
      </c>
      <c r="AN1351" s="63">
        <f t="shared" si="125"/>
        <v>2.5</v>
      </c>
      <c r="AO1351"/>
    </row>
    <row r="1352" spans="21:41" ht="12.75" customHeight="1" x14ac:dyDescent="0.2">
      <c r="U1352" s="376"/>
      <c r="V1352" s="375"/>
      <c r="W1352" s="358"/>
      <c r="X1352" s="358"/>
      <c r="Y1352" s="65"/>
      <c r="Z1352" s="358"/>
      <c r="AA1352" s="358"/>
      <c r="AB1352" s="46"/>
      <c r="AC1352" s="58">
        <v>2</v>
      </c>
      <c r="AD1352" s="59">
        <v>11</v>
      </c>
      <c r="AE1352" s="65"/>
      <c r="AF1352" s="60">
        <f>II4Ext!$H$35+18*(100-II4Ext!$H$35)/30</f>
        <v>76</v>
      </c>
      <c r="AG1352" s="61">
        <f t="shared" si="123"/>
        <v>70.099999999999994</v>
      </c>
      <c r="AH1352" s="65"/>
      <c r="AI1352" s="58">
        <v>2</v>
      </c>
      <c r="AJ1352" s="59">
        <v>11</v>
      </c>
      <c r="AK1352" s="65"/>
      <c r="AL1352" s="380">
        <f>ROUNDDOWN(II4Ext!$H$30*AF1352/500,1)*5</f>
        <v>30</v>
      </c>
      <c r="AM1352" s="353">
        <f t="shared" si="124"/>
        <v>28.5</v>
      </c>
      <c r="AN1352" s="63">
        <f t="shared" si="125"/>
        <v>2</v>
      </c>
      <c r="AO1352"/>
    </row>
    <row r="1353" spans="21:41" ht="12.75" customHeight="1" x14ac:dyDescent="0.2">
      <c r="U1353" s="376"/>
      <c r="V1353" s="375"/>
      <c r="W1353" s="358"/>
      <c r="X1353" s="358"/>
      <c r="Y1353" s="65"/>
      <c r="Z1353" s="358"/>
      <c r="AA1353" s="358"/>
      <c r="AB1353" s="46"/>
      <c r="AC1353" s="81" t="s">
        <v>22</v>
      </c>
      <c r="AD1353" s="69">
        <v>10</v>
      </c>
      <c r="AE1353" s="70"/>
      <c r="AF1353" s="82">
        <f>II4Ext!$H$35+15*(100-II4Ext!$H$35)/30</f>
        <v>70</v>
      </c>
      <c r="AG1353" s="83">
        <f t="shared" si="123"/>
        <v>64.099999999999994</v>
      </c>
      <c r="AH1353" s="65"/>
      <c r="AI1353" s="81" t="s">
        <v>22</v>
      </c>
      <c r="AJ1353" s="69">
        <v>10</v>
      </c>
      <c r="AK1353" s="70"/>
      <c r="AL1353" s="381">
        <f>ROUNDDOWN(II4Ext!$H$30*AF1353/500,1)*5</f>
        <v>28</v>
      </c>
      <c r="AM1353" s="361">
        <f t="shared" si="124"/>
        <v>26</v>
      </c>
      <c r="AN1353" s="73">
        <f t="shared" si="125"/>
        <v>2.5</v>
      </c>
      <c r="AO1353"/>
    </row>
    <row r="1354" spans="21:41" ht="12.75" customHeight="1" x14ac:dyDescent="0.2">
      <c r="U1354" s="376"/>
      <c r="V1354" s="375"/>
      <c r="W1354" s="358"/>
      <c r="X1354" s="358"/>
      <c r="Y1354" s="65"/>
      <c r="Z1354" s="358"/>
      <c r="AA1354" s="358"/>
      <c r="AB1354" s="46"/>
      <c r="AC1354" s="78" t="s">
        <v>50</v>
      </c>
      <c r="AD1354" s="59">
        <v>9</v>
      </c>
      <c r="AE1354" s="65"/>
      <c r="AF1354" s="60">
        <f>II4Ext!$H$35+12*(100-II4Ext!$H$35)/30</f>
        <v>64</v>
      </c>
      <c r="AG1354" s="61">
        <f t="shared" si="123"/>
        <v>60.1</v>
      </c>
      <c r="AH1354" s="65"/>
      <c r="AI1354" s="78" t="s">
        <v>50</v>
      </c>
      <c r="AJ1354" s="59">
        <v>9</v>
      </c>
      <c r="AK1354" s="65"/>
      <c r="AL1354" s="378">
        <f>ROUNDDOWN(II4Ext!$H$30*AF1354/500,1)*5</f>
        <v>25.5</v>
      </c>
      <c r="AM1354" s="379">
        <f t="shared" si="124"/>
        <v>24.5</v>
      </c>
      <c r="AN1354" s="63">
        <f t="shared" si="125"/>
        <v>1.5</v>
      </c>
      <c r="AO1354"/>
    </row>
    <row r="1355" spans="21:41" ht="12.75" customHeight="1" x14ac:dyDescent="0.2">
      <c r="U1355" s="376"/>
      <c r="V1355" s="375"/>
      <c r="W1355" s="358"/>
      <c r="X1355" s="358"/>
      <c r="Y1355" s="65"/>
      <c r="Z1355" s="358"/>
      <c r="AA1355" s="358"/>
      <c r="AB1355" s="46"/>
      <c r="AC1355" s="58">
        <v>3</v>
      </c>
      <c r="AD1355" s="59">
        <v>8</v>
      </c>
      <c r="AE1355" s="65"/>
      <c r="AF1355" s="60">
        <f>II4Ext!$H$35+10*(100-II4Ext!$H$35)/30</f>
        <v>60</v>
      </c>
      <c r="AG1355" s="61">
        <f t="shared" si="123"/>
        <v>56.1</v>
      </c>
      <c r="AH1355" s="65"/>
      <c r="AI1355" s="58">
        <v>3</v>
      </c>
      <c r="AJ1355" s="59">
        <v>8</v>
      </c>
      <c r="AK1355" s="65"/>
      <c r="AL1355" s="380">
        <f>ROUNDDOWN(II4Ext!$H$30*AF1355/500,1)*5</f>
        <v>24</v>
      </c>
      <c r="AM1355" s="353">
        <f t="shared" si="124"/>
        <v>22.5</v>
      </c>
      <c r="AN1355" s="63">
        <f t="shared" si="125"/>
        <v>2</v>
      </c>
      <c r="AO1355"/>
    </row>
    <row r="1356" spans="21:41" ht="12.75" customHeight="1" x14ac:dyDescent="0.2">
      <c r="U1356" s="376"/>
      <c r="V1356" s="375"/>
      <c r="W1356" s="358"/>
      <c r="X1356" s="358"/>
      <c r="Y1356" s="65"/>
      <c r="Z1356" s="358"/>
      <c r="AA1356" s="358"/>
      <c r="AB1356" s="46"/>
      <c r="AC1356" s="81" t="s">
        <v>22</v>
      </c>
      <c r="AD1356" s="69">
        <v>7</v>
      </c>
      <c r="AE1356" s="70"/>
      <c r="AF1356" s="82">
        <f>II4Ext!$H$35+8*(100-II4Ext!$H$35)/30</f>
        <v>56</v>
      </c>
      <c r="AG1356" s="83">
        <f t="shared" si="123"/>
        <v>52.1</v>
      </c>
      <c r="AH1356" s="65"/>
      <c r="AI1356" s="81" t="s">
        <v>22</v>
      </c>
      <c r="AJ1356" s="69">
        <v>7</v>
      </c>
      <c r="AK1356" s="70"/>
      <c r="AL1356" s="381">
        <f>ROUNDDOWN(II4Ext!$H$30*AF1356/500,1)*5</f>
        <v>22</v>
      </c>
      <c r="AM1356" s="361">
        <f t="shared" si="124"/>
        <v>21</v>
      </c>
      <c r="AN1356" s="73">
        <f t="shared" si="125"/>
        <v>1.5</v>
      </c>
      <c r="AO1356"/>
    </row>
    <row r="1357" spans="21:41" ht="12.75" customHeight="1" x14ac:dyDescent="0.2">
      <c r="U1357" s="376"/>
      <c r="V1357" s="375"/>
      <c r="W1357" s="358"/>
      <c r="X1357" s="358"/>
      <c r="Y1357" s="65"/>
      <c r="Z1357" s="358"/>
      <c r="AA1357" s="358"/>
      <c r="AB1357" s="46"/>
      <c r="AC1357" s="78" t="s">
        <v>50</v>
      </c>
      <c r="AD1357" s="59">
        <v>6</v>
      </c>
      <c r="AE1357" s="65"/>
      <c r="AF1357" s="60">
        <f>II4Ext!$H$35+6*(100-II4Ext!$H$35)/30</f>
        <v>52</v>
      </c>
      <c r="AG1357" s="61">
        <f t="shared" si="123"/>
        <v>48.1</v>
      </c>
      <c r="AH1357" s="65"/>
      <c r="AI1357" s="78" t="s">
        <v>50</v>
      </c>
      <c r="AJ1357" s="59">
        <v>6</v>
      </c>
      <c r="AK1357" s="65"/>
      <c r="AL1357" s="378">
        <f>ROUNDDOWN(II4Ext!$H$30*AF1357/500,1)*5</f>
        <v>20.5</v>
      </c>
      <c r="AM1357" s="379">
        <f t="shared" si="124"/>
        <v>19.5</v>
      </c>
      <c r="AN1357" s="63">
        <f t="shared" si="125"/>
        <v>1.5</v>
      </c>
      <c r="AO1357"/>
    </row>
    <row r="1358" spans="21:41" ht="12.75" customHeight="1" x14ac:dyDescent="0.2">
      <c r="U1358" s="376"/>
      <c r="V1358" s="375"/>
      <c r="W1358" s="358"/>
      <c r="X1358" s="358"/>
      <c r="Y1358" s="65"/>
      <c r="Z1358" s="358"/>
      <c r="AA1358" s="358"/>
      <c r="AB1358" s="46"/>
      <c r="AC1358" s="58">
        <v>4</v>
      </c>
      <c r="AD1358" s="59">
        <v>5</v>
      </c>
      <c r="AE1358" s="65"/>
      <c r="AF1358" s="60">
        <f>II4Ext!$H$35+4*(100-II4Ext!$H$35)/30</f>
        <v>48</v>
      </c>
      <c r="AG1358" s="61">
        <f t="shared" si="123"/>
        <v>44.1</v>
      </c>
      <c r="AH1358" s="65"/>
      <c r="AI1358" s="58">
        <v>4</v>
      </c>
      <c r="AJ1358" s="59">
        <v>5</v>
      </c>
      <c r="AK1358" s="65"/>
      <c r="AL1358" s="380">
        <f>ROUNDDOWN(II4Ext!$H$30*AF1358/500,1)*5</f>
        <v>19</v>
      </c>
      <c r="AM1358" s="353">
        <f t="shared" si="124"/>
        <v>18</v>
      </c>
      <c r="AN1358" s="63">
        <f t="shared" si="125"/>
        <v>1.5</v>
      </c>
      <c r="AO1358"/>
    </row>
    <row r="1359" spans="21:41" ht="12.75" customHeight="1" x14ac:dyDescent="0.2">
      <c r="U1359" s="376"/>
      <c r="V1359" s="375"/>
      <c r="W1359" s="358"/>
      <c r="X1359" s="358"/>
      <c r="Y1359" s="65"/>
      <c r="Z1359" s="358"/>
      <c r="AA1359" s="358"/>
      <c r="AB1359" s="46"/>
      <c r="AC1359" s="81" t="s">
        <v>22</v>
      </c>
      <c r="AD1359" s="69">
        <v>4</v>
      </c>
      <c r="AE1359" s="70"/>
      <c r="AF1359" s="82">
        <f>II4Ext!$H$35+2*(100-II4Ext!$H$35)/30</f>
        <v>44</v>
      </c>
      <c r="AG1359" s="83">
        <f t="shared" si="123"/>
        <v>40.1</v>
      </c>
      <c r="AH1359" s="65"/>
      <c r="AI1359" s="81" t="s">
        <v>22</v>
      </c>
      <c r="AJ1359" s="69">
        <v>4</v>
      </c>
      <c r="AK1359" s="70"/>
      <c r="AL1359" s="381">
        <f>ROUNDDOWN(II4Ext!$H$30*AF1359/500,1)*5</f>
        <v>17.5</v>
      </c>
      <c r="AM1359" s="361">
        <f t="shared" si="124"/>
        <v>16.5</v>
      </c>
      <c r="AN1359" s="73">
        <f t="shared" si="125"/>
        <v>1.5</v>
      </c>
      <c r="AO1359"/>
    </row>
    <row r="1360" spans="21:41" ht="12.75" customHeight="1" x14ac:dyDescent="0.2">
      <c r="U1360" s="376"/>
      <c r="V1360" s="375"/>
      <c r="W1360" s="358"/>
      <c r="X1360" s="358"/>
      <c r="Y1360" s="65"/>
      <c r="Z1360" s="358"/>
      <c r="AA1360" s="358"/>
      <c r="AB1360" s="46"/>
      <c r="AC1360" s="78" t="s">
        <v>50</v>
      </c>
      <c r="AD1360" s="59">
        <v>3</v>
      </c>
      <c r="AE1360" s="65"/>
      <c r="AF1360" s="60">
        <f>II4Ext!$H$35</f>
        <v>40</v>
      </c>
      <c r="AG1360" s="61">
        <f>AF1361+0.01</f>
        <v>33.343333333333334</v>
      </c>
      <c r="AH1360" s="65"/>
      <c r="AI1360" s="78" t="s">
        <v>50</v>
      </c>
      <c r="AJ1360" s="59">
        <v>3</v>
      </c>
      <c r="AK1360" s="65"/>
      <c r="AL1360" s="378">
        <f>ROUNDDOWN(II4Ext!$H$30*AF1360/500,1)*5</f>
        <v>16</v>
      </c>
      <c r="AM1360" s="379">
        <f t="shared" si="124"/>
        <v>13.5</v>
      </c>
      <c r="AN1360" s="63">
        <f t="shared" si="125"/>
        <v>3</v>
      </c>
      <c r="AO1360"/>
    </row>
    <row r="1361" spans="20:41" ht="12.75" customHeight="1" x14ac:dyDescent="0.2">
      <c r="U1361" s="376"/>
      <c r="V1361" s="375"/>
      <c r="W1361" s="358"/>
      <c r="X1361" s="358"/>
      <c r="Y1361" s="65"/>
      <c r="Z1361" s="358"/>
      <c r="AA1361" s="358"/>
      <c r="AB1361" s="46"/>
      <c r="AC1361" s="58">
        <v>5</v>
      </c>
      <c r="AD1361" s="59">
        <v>2</v>
      </c>
      <c r="AE1361" s="65"/>
      <c r="AF1361" s="60">
        <f>AG1362+2*(AF1360-AG1362)/3</f>
        <v>33.333333333333336</v>
      </c>
      <c r="AG1361" s="61">
        <f>AF1362+0.01</f>
        <v>26.676666666666669</v>
      </c>
      <c r="AH1361" s="65"/>
      <c r="AI1361" s="58">
        <v>5</v>
      </c>
      <c r="AJ1361" s="59">
        <v>2</v>
      </c>
      <c r="AK1361" s="65"/>
      <c r="AL1361" s="380">
        <f>ROUNDDOWN(II4Ext!$H$30*AF1361/500,1)*5</f>
        <v>13</v>
      </c>
      <c r="AM1361" s="353">
        <f t="shared" si="124"/>
        <v>11</v>
      </c>
      <c r="AN1361" s="63">
        <f t="shared" si="125"/>
        <v>2.5</v>
      </c>
      <c r="AO1361"/>
    </row>
    <row r="1362" spans="20:41" ht="12.75" customHeight="1" x14ac:dyDescent="0.2">
      <c r="U1362" s="376"/>
      <c r="V1362" s="375"/>
      <c r="W1362" s="358"/>
      <c r="X1362" s="375"/>
      <c r="Y1362" s="65"/>
      <c r="Z1362" s="358"/>
      <c r="AA1362" s="358"/>
      <c r="AB1362" s="46"/>
      <c r="AC1362" s="81" t="s">
        <v>22</v>
      </c>
      <c r="AD1362" s="69">
        <v>1</v>
      </c>
      <c r="AE1362" s="70"/>
      <c r="AF1362" s="82">
        <f>AG1362+(AF1360-AG1362)/3</f>
        <v>26.666666666666668</v>
      </c>
      <c r="AG1362" s="83">
        <f>II4Ext!$H$34</f>
        <v>20</v>
      </c>
      <c r="AH1362" s="65"/>
      <c r="AI1362" s="81" t="s">
        <v>22</v>
      </c>
      <c r="AJ1362" s="69">
        <v>1</v>
      </c>
      <c r="AK1362" s="70"/>
      <c r="AL1362" s="381">
        <f>ROUNDDOWN(II4Ext!$H$30*AF1362/500,1)*5</f>
        <v>10.5</v>
      </c>
      <c r="AM1362" s="361">
        <f>ROUNDUP(II4Ext!$H$30*(II4Ext!$H$34/500),1)*5</f>
        <v>8</v>
      </c>
      <c r="AN1362" s="73">
        <f t="shared" si="125"/>
        <v>3</v>
      </c>
      <c r="AO1362"/>
    </row>
    <row r="1363" spans="20:41" ht="12.75" customHeight="1" thickBot="1" x14ac:dyDescent="0.25">
      <c r="U1363" s="375"/>
      <c r="V1363" s="375"/>
      <c r="W1363" s="358"/>
      <c r="X1363" s="358"/>
      <c r="Y1363" s="65"/>
      <c r="Z1363" s="358"/>
      <c r="AA1363" s="358"/>
      <c r="AB1363" s="46"/>
      <c r="AC1363" s="89">
        <v>6</v>
      </c>
      <c r="AD1363" s="90">
        <v>0</v>
      </c>
      <c r="AE1363" s="91"/>
      <c r="AF1363" s="96">
        <f>II4Ext!$H$34-0.1</f>
        <v>19.899999999999999</v>
      </c>
      <c r="AG1363" s="97">
        <v>0</v>
      </c>
      <c r="AH1363" s="65"/>
      <c r="AI1363" s="89">
        <v>6</v>
      </c>
      <c r="AJ1363" s="90">
        <v>0</v>
      </c>
      <c r="AK1363" s="91"/>
      <c r="AL1363" s="382">
        <f>AM1362-0.5</f>
        <v>7.5</v>
      </c>
      <c r="AM1363" s="362">
        <v>0</v>
      </c>
      <c r="AN1363" s="94">
        <f>IF(AM1363&gt;AM1362,"ALARM",AL1363)</f>
        <v>7.5</v>
      </c>
      <c r="AO1363"/>
    </row>
    <row r="1364" spans="20:41" ht="12.75" customHeight="1" x14ac:dyDescent="0.2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0:41" ht="12.75" customHeight="1" x14ac:dyDescent="0.2">
      <c r="U1365" s="46"/>
      <c r="V1365" s="46"/>
      <c r="W1365" s="46"/>
      <c r="X1365" s="46"/>
      <c r="Y1365" s="46"/>
      <c r="Z1365" s="46"/>
      <c r="AA1365" s="46"/>
      <c r="AB1365" s="46"/>
      <c r="AC1365" s="46"/>
      <c r="AD1365" s="46"/>
      <c r="AE1365" s="46"/>
      <c r="AF1365" s="46"/>
      <c r="AG1365" s="46"/>
      <c r="AH1365" s="46"/>
      <c r="AI1365" s="46"/>
      <c r="AJ1365" s="46"/>
      <c r="AK1365" s="46"/>
      <c r="AL1365" s="46"/>
      <c r="AM1365" s="46"/>
      <c r="AN1365" s="46"/>
    </row>
    <row r="1366" spans="20:41" ht="12.75" customHeight="1" x14ac:dyDescent="0.2"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6"/>
      <c r="AF1366" s="46"/>
      <c r="AG1366" s="46"/>
      <c r="AH1366" s="46"/>
      <c r="AI1366" s="46"/>
      <c r="AJ1366" s="46"/>
      <c r="AK1366" s="46"/>
      <c r="AL1366" s="46"/>
      <c r="AM1366" s="46"/>
      <c r="AN1366" s="46"/>
    </row>
    <row r="1367" spans="20:41" ht="12.75" customHeight="1" x14ac:dyDescent="0.2">
      <c r="U1367" s="46"/>
      <c r="V1367" s="46"/>
      <c r="W1367" s="46"/>
      <c r="X1367" s="46"/>
      <c r="Y1367" s="46"/>
      <c r="Z1367" s="46"/>
      <c r="AA1367" s="46"/>
      <c r="AB1367" s="46"/>
      <c r="AC1367" s="46"/>
      <c r="AD1367" s="46"/>
      <c r="AE1367" s="46"/>
      <c r="AF1367" s="46"/>
      <c r="AG1367" s="46"/>
      <c r="AH1367" s="46"/>
      <c r="AI1367" s="46"/>
      <c r="AJ1367" s="46"/>
      <c r="AK1367" s="46"/>
      <c r="AL1367" s="46"/>
      <c r="AM1367" s="46"/>
      <c r="AN1367" s="46"/>
    </row>
    <row r="1368" spans="20:41" ht="12.75" customHeight="1" x14ac:dyDescent="0.2"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6"/>
      <c r="AF1368" s="46"/>
      <c r="AG1368" s="46"/>
      <c r="AH1368" s="46"/>
      <c r="AI1368" s="46"/>
      <c r="AJ1368" s="46"/>
      <c r="AK1368" s="46"/>
      <c r="AL1368" s="46"/>
      <c r="AM1368" s="46"/>
      <c r="AN1368" s="46"/>
    </row>
    <row r="1369" spans="20:41" ht="12.75" customHeight="1" x14ac:dyDescent="0.2">
      <c r="U1369" s="46"/>
      <c r="V1369" s="46"/>
      <c r="W1369" s="46"/>
      <c r="X1369" s="46"/>
      <c r="Y1369" s="46"/>
      <c r="Z1369" s="46"/>
      <c r="AA1369" s="46"/>
      <c r="AB1369" s="46"/>
      <c r="AC1369" s="46"/>
      <c r="AD1369" s="46"/>
      <c r="AE1369" s="46"/>
      <c r="AF1369" s="46"/>
      <c r="AG1369" s="46"/>
      <c r="AH1369" s="46"/>
      <c r="AI1369" s="46"/>
      <c r="AJ1369" s="46"/>
      <c r="AK1369" s="46"/>
      <c r="AL1369" s="46"/>
      <c r="AM1369" s="46"/>
      <c r="AN1369" s="46"/>
    </row>
    <row r="1370" spans="20:41" ht="12.75" customHeight="1" x14ac:dyDescent="0.2"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6"/>
      <c r="AF1370" s="46"/>
      <c r="AG1370" s="46"/>
      <c r="AH1370" s="46"/>
      <c r="AI1370" s="46"/>
      <c r="AJ1370" s="46"/>
      <c r="AK1370" s="46"/>
      <c r="AL1370" s="46"/>
      <c r="AM1370" s="46"/>
      <c r="AN1370" s="46"/>
    </row>
    <row r="1371" spans="20:41" ht="12.75" customHeight="1" x14ac:dyDescent="0.2">
      <c r="U1371" s="46"/>
      <c r="V1371" s="46"/>
      <c r="W1371" s="46"/>
      <c r="X1371" s="46"/>
      <c r="Y1371" s="46"/>
      <c r="Z1371" s="46"/>
      <c r="AA1371" s="46"/>
      <c r="AB1371" s="46"/>
      <c r="AC1371" s="46"/>
      <c r="AD1371" s="46"/>
      <c r="AE1371" s="46"/>
      <c r="AF1371" s="46"/>
      <c r="AG1371" s="46"/>
      <c r="AH1371" s="46"/>
      <c r="AI1371" s="46"/>
      <c r="AJ1371" s="46"/>
      <c r="AK1371" s="46"/>
      <c r="AL1371" s="46"/>
      <c r="AM1371" s="46"/>
      <c r="AN1371" s="46"/>
    </row>
    <row r="1372" spans="20:41" ht="12.75" customHeight="1" x14ac:dyDescent="0.2"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6"/>
      <c r="AF1372" s="46"/>
      <c r="AG1372" s="46"/>
      <c r="AH1372" s="46"/>
      <c r="AI1372" s="46"/>
      <c r="AJ1372" s="46"/>
      <c r="AK1372" s="46"/>
      <c r="AL1372" s="46"/>
      <c r="AM1372" s="46"/>
      <c r="AN1372" s="46"/>
    </row>
    <row r="1373" spans="20:41" ht="12.75" customHeight="1" x14ac:dyDescent="0.2">
      <c r="U1373" s="46"/>
      <c r="V1373" s="46"/>
      <c r="W1373" s="46"/>
      <c r="X1373" s="46"/>
      <c r="Y1373" s="46"/>
      <c r="Z1373" s="46"/>
      <c r="AA1373" s="46"/>
      <c r="AB1373" s="46"/>
      <c r="AC1373" s="46"/>
      <c r="AD1373" s="46"/>
      <c r="AE1373" s="46"/>
      <c r="AF1373" s="46"/>
      <c r="AG1373" s="46"/>
      <c r="AH1373" s="46"/>
      <c r="AI1373" s="46"/>
      <c r="AJ1373" s="46"/>
      <c r="AK1373" s="46"/>
      <c r="AL1373" s="46"/>
      <c r="AM1373" s="46"/>
      <c r="AN1373" s="46"/>
    </row>
    <row r="1374" spans="20:41" ht="12.75" customHeight="1" x14ac:dyDescent="0.2"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6"/>
      <c r="AF1374" s="46"/>
      <c r="AG1374" s="46"/>
      <c r="AH1374" s="46"/>
      <c r="AI1374" s="46"/>
      <c r="AJ1374" s="46"/>
      <c r="AK1374" s="46"/>
      <c r="AL1374" s="46"/>
      <c r="AM1374" s="46"/>
      <c r="AN1374" s="46"/>
    </row>
    <row r="1375" spans="20:41" ht="12.75" customHeight="1" x14ac:dyDescent="0.2">
      <c r="U1375" s="46"/>
      <c r="V1375" s="46"/>
      <c r="W1375" s="46"/>
      <c r="X1375" s="46"/>
      <c r="Y1375" s="46"/>
      <c r="Z1375" s="46"/>
      <c r="AA1375" s="46"/>
      <c r="AB1375" s="46"/>
      <c r="AC1375" s="46"/>
      <c r="AD1375" s="46"/>
      <c r="AE1375" s="46"/>
      <c r="AF1375" s="46"/>
      <c r="AG1375" s="46"/>
      <c r="AH1375" s="46"/>
      <c r="AI1375" s="46"/>
      <c r="AJ1375" s="46"/>
      <c r="AK1375" s="46"/>
      <c r="AL1375" s="46"/>
      <c r="AM1375" s="46"/>
      <c r="AN1375" s="46"/>
    </row>
    <row r="1376" spans="20:41" ht="12.75" customHeight="1" x14ac:dyDescent="0.2"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6"/>
      <c r="AF1376" s="46"/>
      <c r="AG1376" s="46"/>
      <c r="AH1376" s="46"/>
      <c r="AI1376" s="46"/>
      <c r="AJ1376" s="46"/>
      <c r="AK1376" s="46"/>
      <c r="AL1376" s="46"/>
      <c r="AM1376" s="46"/>
      <c r="AN1376" s="46"/>
    </row>
    <row r="1377" spans="21:40" ht="12.75" customHeight="1" x14ac:dyDescent="0.2">
      <c r="U1377" s="46"/>
      <c r="V1377" s="46"/>
      <c r="W1377" s="46"/>
      <c r="X1377" s="46"/>
      <c r="Y1377" s="46"/>
      <c r="Z1377" s="46"/>
      <c r="AA1377" s="46"/>
      <c r="AB1377" s="46"/>
      <c r="AC1377" s="46"/>
      <c r="AD1377" s="46"/>
      <c r="AE1377" s="46"/>
      <c r="AF1377" s="46"/>
      <c r="AG1377" s="46"/>
      <c r="AH1377" s="46"/>
      <c r="AI1377" s="46"/>
      <c r="AJ1377" s="46"/>
      <c r="AK1377" s="46"/>
      <c r="AL1377" s="46"/>
      <c r="AM1377" s="46"/>
      <c r="AN1377" s="46"/>
    </row>
    <row r="1378" spans="21:40" ht="12.75" customHeight="1" x14ac:dyDescent="0.2"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6"/>
      <c r="AF1378" s="46"/>
      <c r="AG1378" s="46"/>
      <c r="AH1378" s="46"/>
      <c r="AI1378" s="46"/>
      <c r="AJ1378" s="46"/>
      <c r="AK1378" s="46"/>
      <c r="AL1378" s="46"/>
      <c r="AM1378" s="46"/>
      <c r="AN1378" s="46"/>
    </row>
    <row r="1379" spans="21:40" ht="12.75" customHeight="1" x14ac:dyDescent="0.2">
      <c r="U1379" s="46"/>
      <c r="V1379" s="46"/>
      <c r="W1379" s="46"/>
      <c r="X1379" s="46"/>
      <c r="Y1379" s="46"/>
      <c r="Z1379" s="46"/>
      <c r="AA1379" s="46"/>
      <c r="AB1379" s="46"/>
      <c r="AC1379" s="46"/>
      <c r="AD1379" s="46"/>
      <c r="AE1379" s="46"/>
      <c r="AF1379" s="46"/>
      <c r="AG1379" s="46"/>
      <c r="AH1379" s="46"/>
      <c r="AI1379" s="46"/>
      <c r="AJ1379" s="46"/>
      <c r="AK1379" s="46"/>
      <c r="AL1379" s="46"/>
      <c r="AM1379" s="46"/>
      <c r="AN1379" s="46"/>
    </row>
    <row r="1380" spans="21:40" ht="12.75" customHeight="1" x14ac:dyDescent="0.2"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6"/>
      <c r="AF1380" s="46"/>
      <c r="AG1380" s="46"/>
      <c r="AH1380" s="46"/>
      <c r="AI1380" s="46"/>
      <c r="AJ1380" s="46"/>
      <c r="AK1380" s="46"/>
      <c r="AL1380" s="46"/>
      <c r="AM1380" s="46"/>
      <c r="AN1380" s="46"/>
    </row>
    <row r="1381" spans="21:40" ht="12.75" customHeight="1" x14ac:dyDescent="0.2">
      <c r="U1381" s="46"/>
      <c r="V1381" s="46"/>
      <c r="W1381" s="46"/>
      <c r="X1381" s="46"/>
      <c r="Y1381" s="46"/>
      <c r="Z1381" s="46"/>
      <c r="AA1381" s="46"/>
      <c r="AB1381" s="46"/>
      <c r="AC1381" s="46"/>
      <c r="AD1381" s="46"/>
      <c r="AE1381" s="46"/>
      <c r="AF1381" s="46"/>
      <c r="AG1381" s="46"/>
      <c r="AH1381" s="46"/>
      <c r="AI1381" s="46"/>
      <c r="AJ1381" s="46"/>
      <c r="AK1381" s="46"/>
      <c r="AL1381" s="46"/>
      <c r="AM1381" s="46"/>
      <c r="AN1381" s="46"/>
    </row>
    <row r="1382" spans="21:40" ht="12.75" customHeight="1" x14ac:dyDescent="0.2"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6"/>
      <c r="AF1382" s="46"/>
      <c r="AG1382" s="46"/>
      <c r="AH1382" s="46"/>
      <c r="AI1382" s="46"/>
      <c r="AJ1382" s="46"/>
      <c r="AK1382" s="46"/>
      <c r="AL1382" s="46"/>
      <c r="AM1382" s="46"/>
      <c r="AN1382" s="46"/>
    </row>
    <row r="1383" spans="21:40" ht="12.75" customHeight="1" x14ac:dyDescent="0.2">
      <c r="U1383" s="46"/>
      <c r="V1383" s="46"/>
      <c r="W1383" s="46"/>
      <c r="X1383" s="46"/>
      <c r="Y1383" s="46"/>
      <c r="Z1383" s="46"/>
      <c r="AA1383" s="46"/>
      <c r="AB1383" s="46"/>
      <c r="AC1383" s="46"/>
      <c r="AD1383" s="46"/>
      <c r="AE1383" s="46"/>
      <c r="AF1383" s="46"/>
      <c r="AG1383" s="46"/>
      <c r="AH1383" s="46"/>
      <c r="AI1383" s="46"/>
      <c r="AJ1383" s="46"/>
      <c r="AK1383" s="46"/>
      <c r="AL1383" s="46"/>
      <c r="AM1383" s="46"/>
      <c r="AN1383" s="46"/>
    </row>
    <row r="1384" spans="21:40" ht="12.75" customHeight="1" x14ac:dyDescent="0.2"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6"/>
      <c r="AF1384" s="46"/>
      <c r="AG1384" s="46"/>
      <c r="AH1384" s="46"/>
      <c r="AI1384" s="46"/>
      <c r="AJ1384" s="46"/>
      <c r="AK1384" s="46"/>
      <c r="AL1384" s="46"/>
      <c r="AM1384" s="46"/>
      <c r="AN1384" s="46"/>
    </row>
    <row r="1385" spans="21:40" ht="12.75" customHeight="1" x14ac:dyDescent="0.2">
      <c r="U1385" s="46"/>
      <c r="V1385" s="46"/>
      <c r="W1385" s="46"/>
      <c r="X1385" s="46"/>
      <c r="Y1385" s="46"/>
      <c r="Z1385" s="46"/>
      <c r="AA1385" s="46"/>
      <c r="AB1385" s="46"/>
      <c r="AC1385" s="46"/>
      <c r="AD1385" s="46"/>
      <c r="AE1385" s="46"/>
      <c r="AF1385" s="46"/>
      <c r="AG1385" s="46"/>
      <c r="AH1385" s="46"/>
      <c r="AI1385" s="46"/>
      <c r="AJ1385" s="46"/>
      <c r="AK1385" s="46"/>
      <c r="AL1385" s="46"/>
      <c r="AM1385" s="46"/>
      <c r="AN1385" s="46"/>
    </row>
    <row r="1386" spans="21:40" ht="12.75" customHeight="1" x14ac:dyDescent="0.2"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6"/>
      <c r="AF1386" s="46"/>
      <c r="AG1386" s="46"/>
      <c r="AH1386" s="46"/>
      <c r="AI1386" s="46"/>
      <c r="AJ1386" s="46"/>
      <c r="AK1386" s="46"/>
      <c r="AL1386" s="46"/>
      <c r="AM1386" s="46"/>
      <c r="AN1386" s="46"/>
    </row>
    <row r="1387" spans="21:40" ht="12.75" customHeight="1" x14ac:dyDescent="0.2">
      <c r="U1387" s="46"/>
      <c r="V1387" s="46"/>
      <c r="W1387" s="46"/>
      <c r="X1387" s="46"/>
      <c r="Y1387" s="46"/>
      <c r="Z1387" s="46"/>
      <c r="AA1387" s="46"/>
      <c r="AB1387" s="46"/>
      <c r="AC1387" s="46"/>
      <c r="AD1387" s="46"/>
      <c r="AE1387" s="46"/>
      <c r="AF1387" s="46"/>
      <c r="AG1387" s="46"/>
      <c r="AH1387" s="46"/>
      <c r="AI1387" s="46"/>
      <c r="AJ1387" s="46"/>
      <c r="AK1387" s="46"/>
      <c r="AL1387" s="46"/>
      <c r="AM1387" s="46"/>
      <c r="AN1387" s="46"/>
    </row>
    <row r="1388" spans="21:40" ht="12.75" customHeight="1" x14ac:dyDescent="0.2"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6"/>
      <c r="AF1388" s="46"/>
      <c r="AG1388" s="46"/>
      <c r="AH1388" s="46"/>
      <c r="AI1388" s="46"/>
      <c r="AJ1388" s="46"/>
      <c r="AK1388" s="46"/>
      <c r="AL1388" s="46"/>
      <c r="AM1388" s="46"/>
      <c r="AN1388" s="46"/>
    </row>
    <row r="1389" spans="21:40" ht="12.75" customHeight="1" x14ac:dyDescent="0.2">
      <c r="U1389" s="46"/>
      <c r="V1389" s="46"/>
      <c r="W1389" s="46"/>
      <c r="X1389" s="46"/>
      <c r="Y1389" s="46"/>
      <c r="Z1389" s="46"/>
      <c r="AA1389" s="46"/>
      <c r="AB1389" s="46"/>
      <c r="AC1389" s="46"/>
      <c r="AD1389" s="46"/>
      <c r="AE1389" s="46"/>
      <c r="AF1389" s="46"/>
      <c r="AG1389" s="46"/>
      <c r="AH1389" s="46"/>
      <c r="AI1389" s="46"/>
      <c r="AJ1389" s="46"/>
      <c r="AK1389" s="46"/>
      <c r="AL1389" s="46"/>
      <c r="AM1389" s="46"/>
      <c r="AN1389" s="46"/>
    </row>
    <row r="1390" spans="21:40" ht="12.75" customHeight="1" x14ac:dyDescent="0.2"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6"/>
      <c r="AF1390" s="46"/>
      <c r="AG1390" s="46"/>
      <c r="AH1390" s="46"/>
      <c r="AI1390" s="46"/>
      <c r="AJ1390" s="46"/>
      <c r="AK1390" s="46"/>
      <c r="AL1390" s="46"/>
      <c r="AM1390" s="46"/>
      <c r="AN1390" s="46"/>
    </row>
    <row r="1391" spans="21:40" ht="12.75" customHeight="1" x14ac:dyDescent="0.2">
      <c r="U1391" s="46"/>
      <c r="V1391" s="46"/>
      <c r="W1391" s="46"/>
      <c r="X1391" s="46"/>
      <c r="Y1391" s="46"/>
      <c r="Z1391" s="46"/>
      <c r="AA1391" s="46"/>
      <c r="AB1391" s="46"/>
      <c r="AC1391" s="46"/>
      <c r="AD1391" s="46"/>
      <c r="AE1391" s="46"/>
      <c r="AF1391" s="46"/>
      <c r="AG1391" s="46"/>
      <c r="AH1391" s="46"/>
      <c r="AI1391" s="46"/>
      <c r="AJ1391" s="46"/>
      <c r="AK1391" s="46"/>
      <c r="AL1391" s="46"/>
      <c r="AM1391" s="46"/>
      <c r="AN1391" s="46"/>
    </row>
    <row r="1392" spans="21:40" ht="12.75" customHeight="1" x14ac:dyDescent="0.2"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6"/>
      <c r="AF1392" s="46"/>
      <c r="AG1392" s="46"/>
      <c r="AH1392" s="46"/>
      <c r="AI1392" s="46"/>
      <c r="AJ1392" s="46"/>
      <c r="AK1392" s="46"/>
      <c r="AL1392" s="46"/>
      <c r="AM1392" s="46"/>
      <c r="AN1392" s="46"/>
    </row>
    <row r="1393" spans="20:40" ht="12.75" customHeight="1" x14ac:dyDescent="0.2">
      <c r="U1393" s="46"/>
      <c r="V1393" s="46"/>
      <c r="W1393" s="46"/>
      <c r="X1393" s="46"/>
      <c r="Y1393" s="46"/>
      <c r="Z1393" s="46"/>
      <c r="AA1393" s="46"/>
      <c r="AB1393" s="46"/>
      <c r="AC1393" s="46"/>
      <c r="AD1393" s="46"/>
      <c r="AE1393" s="46"/>
      <c r="AF1393" s="46"/>
      <c r="AG1393" s="46"/>
      <c r="AH1393" s="46"/>
      <c r="AI1393" s="46"/>
      <c r="AJ1393" s="46"/>
      <c r="AK1393" s="46"/>
      <c r="AL1393" s="46"/>
      <c r="AM1393" s="46"/>
      <c r="AN1393" s="46"/>
    </row>
    <row r="1394" spans="20:40" ht="12.75" customHeight="1" x14ac:dyDescent="0.2"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6"/>
      <c r="AF1394" s="46"/>
      <c r="AG1394" s="46"/>
      <c r="AH1394" s="46"/>
      <c r="AI1394" s="46"/>
      <c r="AJ1394" s="46"/>
      <c r="AK1394" s="46"/>
      <c r="AL1394" s="46"/>
      <c r="AM1394" s="46"/>
      <c r="AN1394" s="46"/>
    </row>
    <row r="1400" spans="20:40" ht="12.75" customHeight="1" x14ac:dyDescent="0.2">
      <c r="T1400" s="8"/>
    </row>
    <row r="1401" spans="20:40" ht="12.75" customHeight="1" thickBot="1" x14ac:dyDescent="0.25">
      <c r="T1401" s="8"/>
    </row>
    <row r="1402" spans="20:40" ht="12.75" customHeight="1" x14ac:dyDescent="0.2">
      <c r="T1402" s="177" t="s">
        <v>89</v>
      </c>
      <c r="U1402" s="47"/>
      <c r="V1402" s="187"/>
      <c r="W1402" s="455"/>
      <c r="X1402" s="456"/>
      <c r="Y1402" s="469" t="s">
        <v>32</v>
      </c>
      <c r="Z1402" s="463" t="s">
        <v>40</v>
      </c>
      <c r="AA1402" s="464"/>
      <c r="AB1402" s="46"/>
      <c r="AC1402" s="49" t="s">
        <v>17</v>
      </c>
      <c r="AD1402" s="50" t="s">
        <v>32</v>
      </c>
      <c r="AE1402" s="51"/>
      <c r="AF1402" s="461" t="s">
        <v>41</v>
      </c>
      <c r="AG1402" s="462"/>
      <c r="AH1402" s="52"/>
      <c r="AI1402" s="49" t="s">
        <v>17</v>
      </c>
      <c r="AJ1402" s="50" t="s">
        <v>32</v>
      </c>
      <c r="AK1402" s="53"/>
      <c r="AL1402" s="452" t="s">
        <v>42</v>
      </c>
      <c r="AM1402" s="453"/>
      <c r="AN1402" s="54" t="s">
        <v>43</v>
      </c>
    </row>
    <row r="1403" spans="20:40" ht="12.75" customHeight="1" x14ac:dyDescent="0.2">
      <c r="U1403" s="55"/>
      <c r="V1403" s="188" t="s">
        <v>43</v>
      </c>
      <c r="W1403" s="457" t="s">
        <v>42</v>
      </c>
      <c r="X1403" s="458"/>
      <c r="Y1403" s="470"/>
      <c r="Z1403" s="459" t="s">
        <v>45</v>
      </c>
      <c r="AA1403" s="460"/>
      <c r="AB1403" s="46"/>
      <c r="AC1403" s="58"/>
      <c r="AD1403" s="59"/>
      <c r="AE1403" s="57"/>
      <c r="AF1403" s="60" t="s">
        <v>46</v>
      </c>
      <c r="AG1403" s="61" t="s">
        <v>47</v>
      </c>
      <c r="AH1403" s="52"/>
      <c r="AI1403" s="58"/>
      <c r="AJ1403" s="59"/>
      <c r="AK1403" s="57"/>
      <c r="AL1403" s="57" t="s">
        <v>46</v>
      </c>
      <c r="AM1403" s="62" t="s">
        <v>47</v>
      </c>
      <c r="AN1403" s="63"/>
    </row>
    <row r="1404" spans="20:40" ht="12.75" customHeight="1" x14ac:dyDescent="0.2">
      <c r="U1404" s="64"/>
      <c r="V1404" s="188"/>
      <c r="W1404" s="56" t="s">
        <v>46</v>
      </c>
      <c r="X1404" s="57" t="s">
        <v>47</v>
      </c>
      <c r="Y1404" s="470"/>
      <c r="Z1404" s="459" t="s">
        <v>49</v>
      </c>
      <c r="AA1404" s="460"/>
      <c r="AB1404" s="65"/>
      <c r="AC1404" s="58"/>
      <c r="AD1404" s="59"/>
      <c r="AE1404" s="65"/>
      <c r="AF1404" s="66"/>
      <c r="AG1404" s="67"/>
      <c r="AH1404" s="65"/>
      <c r="AI1404" s="68"/>
      <c r="AJ1404" s="69"/>
      <c r="AK1404" s="70"/>
      <c r="AL1404" s="71"/>
      <c r="AM1404" s="72"/>
      <c r="AN1404" s="73"/>
    </row>
    <row r="1405" spans="20:40" ht="12.75" customHeight="1" x14ac:dyDescent="0.2">
      <c r="U1405" s="74"/>
      <c r="V1405" s="189"/>
      <c r="W1405" s="75"/>
      <c r="X1405" s="71"/>
      <c r="Y1405" s="471"/>
      <c r="Z1405" s="115"/>
      <c r="AA1405" s="63"/>
      <c r="AB1405" s="65"/>
      <c r="AC1405" s="68"/>
      <c r="AD1405" s="69"/>
      <c r="AE1405" s="70"/>
      <c r="AF1405" s="76"/>
      <c r="AG1405" s="77"/>
      <c r="AH1405" s="65"/>
      <c r="AI1405" s="78" t="s">
        <v>50</v>
      </c>
      <c r="AJ1405" s="59">
        <v>15</v>
      </c>
      <c r="AK1405" s="65"/>
      <c r="AL1405" s="79">
        <f>AP!$C$44</f>
        <v>100</v>
      </c>
      <c r="AM1405" s="62">
        <f t="shared" ref="AM1405:AM1418" si="126">AL1406+1</f>
        <v>96</v>
      </c>
      <c r="AN1405" s="63">
        <f t="shared" ref="AN1405:AN1419" si="127">IF(AM1405&gt;AL1405,"ALARM",AL1405-AL1406)</f>
        <v>5</v>
      </c>
    </row>
    <row r="1406" spans="20:40" ht="12.75" customHeight="1" x14ac:dyDescent="0.2">
      <c r="U1406" s="108"/>
      <c r="V1406" s="190">
        <f>IF(AP!$C$43="M",AN1405,AN1448)</f>
        <v>5</v>
      </c>
      <c r="W1406" s="79">
        <f>AP!$C$44</f>
        <v>100</v>
      </c>
      <c r="X1406" s="62">
        <f t="shared" ref="X1406:X1420" si="128">W1407+1</f>
        <v>96</v>
      </c>
      <c r="Y1406" s="191">
        <v>15</v>
      </c>
      <c r="Z1406" s="117" t="str">
        <f>IF(ABS(IF(II4Ext!$H$32="M",AL1405-W1406,AL1448-W1406))&gt;1,"ALARM"," ")</f>
        <v xml:space="preserve"> </v>
      </c>
      <c r="AA1406" s="114" t="str">
        <f>IF(ABS(IF(II4Ext!$H$32="M",AM1405-X1406,AM1448-X1406))&gt;1,"ALARM"," ")</f>
        <v xml:space="preserve"> </v>
      </c>
      <c r="AB1406" s="65"/>
      <c r="AC1406" s="78" t="s">
        <v>50</v>
      </c>
      <c r="AD1406" s="59">
        <v>15</v>
      </c>
      <c r="AE1406" s="65"/>
      <c r="AF1406" s="60">
        <f>AP!$G$44+12*(100-AP!$G$44)/12</f>
        <v>100</v>
      </c>
      <c r="AG1406" s="61">
        <f t="shared" ref="AG1406:AG1417" si="129">AF1407+0.1</f>
        <v>95.1</v>
      </c>
      <c r="AH1406" s="65"/>
      <c r="AI1406" s="58">
        <v>1</v>
      </c>
      <c r="AJ1406" s="59">
        <v>14</v>
      </c>
      <c r="AK1406" s="65"/>
      <c r="AL1406" s="57">
        <f>ROUNDDOWN(AP!$C$44*AF1407/100,0)</f>
        <v>95</v>
      </c>
      <c r="AM1406" s="62">
        <f t="shared" si="126"/>
        <v>91</v>
      </c>
      <c r="AN1406" s="63">
        <f t="shared" si="127"/>
        <v>5</v>
      </c>
    </row>
    <row r="1407" spans="20:40" ht="12.75" customHeight="1" x14ac:dyDescent="0.2">
      <c r="U1407" s="84"/>
      <c r="V1407" s="188">
        <f>IF(AP!$C$43="M",AN1406,AN1449)</f>
        <v>5</v>
      </c>
      <c r="W1407" s="57">
        <f t="shared" ref="W1407:W1421" si="130">W1406-V1406</f>
        <v>95</v>
      </c>
      <c r="X1407" s="62">
        <f t="shared" si="128"/>
        <v>91</v>
      </c>
      <c r="Y1407" s="191">
        <v>14</v>
      </c>
      <c r="Z1407" s="115" t="str">
        <f>IF(ABS(IF(II4Ext!$H$32="M",AL1406-W1407,AL1449-W1407))&gt;1,"ALARM"," ")</f>
        <v xml:space="preserve"> </v>
      </c>
      <c r="AA1407" s="63" t="str">
        <f>IF(ABS(IF(II4Ext!$H$32="M",AM1406-X1407,AM1449-X1407))&gt;1,"ALARM"," ")</f>
        <v xml:space="preserve"> </v>
      </c>
      <c r="AB1407" s="65"/>
      <c r="AC1407" s="58">
        <v>1</v>
      </c>
      <c r="AD1407" s="59">
        <v>14</v>
      </c>
      <c r="AE1407" s="65"/>
      <c r="AF1407" s="60">
        <f>AP!$G$44+11*(100-AP!$G$44)/12</f>
        <v>95</v>
      </c>
      <c r="AG1407" s="61">
        <f t="shared" si="129"/>
        <v>90.1</v>
      </c>
      <c r="AH1407" s="65"/>
      <c r="AI1407" s="81" t="s">
        <v>22</v>
      </c>
      <c r="AJ1407" s="69">
        <v>13</v>
      </c>
      <c r="AK1407" s="70"/>
      <c r="AL1407" s="71">
        <f>ROUNDDOWN(AP!$C$44*AF1408/100,0)</f>
        <v>90</v>
      </c>
      <c r="AM1407" s="72">
        <f t="shared" si="126"/>
        <v>86</v>
      </c>
      <c r="AN1407" s="73">
        <f t="shared" si="127"/>
        <v>5</v>
      </c>
    </row>
    <row r="1408" spans="20:40" ht="12.75" customHeight="1" x14ac:dyDescent="0.2">
      <c r="U1408" s="109"/>
      <c r="V1408" s="189">
        <f>IF(AP!$C$43="M",AN1407,AN1450)</f>
        <v>5</v>
      </c>
      <c r="W1408" s="71">
        <f t="shared" si="130"/>
        <v>90</v>
      </c>
      <c r="X1408" s="72">
        <f t="shared" si="128"/>
        <v>86</v>
      </c>
      <c r="Y1408" s="192">
        <v>13</v>
      </c>
      <c r="Z1408" s="118" t="str">
        <f>IF(ABS(IF(II4Ext!$H$32="M",AL1407-W1408,AL1450-W1408))&gt;1,"ALARM"," ")</f>
        <v xml:space="preserve"> </v>
      </c>
      <c r="AA1408" s="73" t="str">
        <f>IF(ABS(IF(II4Ext!$H$32="M",AM1407-X1408,AM1450-X1408))&gt;1,"ALARM"," ")</f>
        <v xml:space="preserve"> </v>
      </c>
      <c r="AB1408" s="65"/>
      <c r="AC1408" s="81" t="s">
        <v>22</v>
      </c>
      <c r="AD1408" s="69">
        <v>13</v>
      </c>
      <c r="AE1408" s="70"/>
      <c r="AF1408" s="82">
        <f>AP!$G$44+10*(100-AP!$G$44)/12</f>
        <v>90</v>
      </c>
      <c r="AG1408" s="83">
        <f t="shared" si="129"/>
        <v>85.1</v>
      </c>
      <c r="AH1408" s="65"/>
      <c r="AI1408" s="78" t="s">
        <v>50</v>
      </c>
      <c r="AJ1408" s="59">
        <v>12</v>
      </c>
      <c r="AK1408" s="65"/>
      <c r="AL1408" s="57">
        <f>ROUNDDOWN(AP!$C$44*AF1409/100,0)</f>
        <v>85</v>
      </c>
      <c r="AM1408" s="62">
        <f t="shared" si="126"/>
        <v>81</v>
      </c>
      <c r="AN1408" s="63">
        <f t="shared" si="127"/>
        <v>5</v>
      </c>
    </row>
    <row r="1409" spans="21:40" ht="12.75" customHeight="1" x14ac:dyDescent="0.2">
      <c r="U1409" s="84"/>
      <c r="V1409" s="190">
        <f>IF(AP!$C$43="M",AN1408,AN1451)</f>
        <v>5</v>
      </c>
      <c r="W1409" s="57">
        <f t="shared" si="130"/>
        <v>85</v>
      </c>
      <c r="X1409" s="62">
        <f t="shared" si="128"/>
        <v>81</v>
      </c>
      <c r="Y1409" s="191">
        <v>12</v>
      </c>
      <c r="Z1409" s="115" t="str">
        <f>IF(ABS(IF(II4Ext!$H$32="M",AL1408-W1409,AL1451-W1409))&gt;1,"ALARM"," ")</f>
        <v xml:space="preserve"> </v>
      </c>
      <c r="AA1409" s="63" t="str">
        <f>IF(ABS(IF(II4Ext!$H$32="M",AM1408-X1409,AM1451-X1409))&gt;1,"ALARM"," ")</f>
        <v xml:space="preserve"> </v>
      </c>
      <c r="AB1409" s="65"/>
      <c r="AC1409" s="78" t="s">
        <v>50</v>
      </c>
      <c r="AD1409" s="59">
        <v>12</v>
      </c>
      <c r="AE1409" s="65"/>
      <c r="AF1409" s="60">
        <f>AP!$G$44+9*(100-AP!$G$44)/12</f>
        <v>85</v>
      </c>
      <c r="AG1409" s="61">
        <f t="shared" si="129"/>
        <v>80.099999999999994</v>
      </c>
      <c r="AH1409" s="65"/>
      <c r="AI1409" s="58">
        <v>2</v>
      </c>
      <c r="AJ1409" s="59">
        <v>11</v>
      </c>
      <c r="AK1409" s="65"/>
      <c r="AL1409" s="57">
        <f>ROUNDDOWN(AP!$C$44*AF1410/100,0)</f>
        <v>80</v>
      </c>
      <c r="AM1409" s="62">
        <f t="shared" si="126"/>
        <v>76</v>
      </c>
      <c r="AN1409" s="63">
        <f t="shared" si="127"/>
        <v>5</v>
      </c>
    </row>
    <row r="1410" spans="21:40" ht="12.75" customHeight="1" x14ac:dyDescent="0.2">
      <c r="U1410" s="84"/>
      <c r="V1410" s="188">
        <f>IF(AP!$C$43="M",AN1409,AN1452)</f>
        <v>5</v>
      </c>
      <c r="W1410" s="57">
        <f t="shared" si="130"/>
        <v>80</v>
      </c>
      <c r="X1410" s="62">
        <f t="shared" si="128"/>
        <v>76</v>
      </c>
      <c r="Y1410" s="191">
        <v>11</v>
      </c>
      <c r="Z1410" s="115" t="str">
        <f>IF(ABS(IF(II4Ext!$H$32="M",AL1409-W1410,AL1452-W1410))&gt;1,"ALARM"," ")</f>
        <v xml:space="preserve"> </v>
      </c>
      <c r="AA1410" s="63" t="str">
        <f>IF(ABS(IF(II4Ext!$H$32="M",AM1409-X1410,AM1452-X1410))&gt;1,"ALARM"," ")</f>
        <v xml:space="preserve"> </v>
      </c>
      <c r="AB1410" s="65"/>
      <c r="AC1410" s="58">
        <v>2</v>
      </c>
      <c r="AD1410" s="59">
        <v>11</v>
      </c>
      <c r="AE1410" s="65"/>
      <c r="AF1410" s="60">
        <f>AP!$G$44+8*(100-AP!$G$44)/12</f>
        <v>80</v>
      </c>
      <c r="AG1410" s="61">
        <f t="shared" si="129"/>
        <v>75.099999999999994</v>
      </c>
      <c r="AH1410" s="65"/>
      <c r="AI1410" s="81" t="s">
        <v>22</v>
      </c>
      <c r="AJ1410" s="69">
        <v>10</v>
      </c>
      <c r="AK1410" s="70"/>
      <c r="AL1410" s="71">
        <f>ROUNDDOWN(AP!$C$44*AF1411/100,0)</f>
        <v>75</v>
      </c>
      <c r="AM1410" s="72">
        <f t="shared" si="126"/>
        <v>71</v>
      </c>
      <c r="AN1410" s="73">
        <f t="shared" si="127"/>
        <v>5</v>
      </c>
    </row>
    <row r="1411" spans="21:40" ht="12.75" customHeight="1" x14ac:dyDescent="0.2">
      <c r="U1411" s="84"/>
      <c r="V1411" s="189">
        <f>IF(AP!$C$43="M",AN1410,AN1453)</f>
        <v>5</v>
      </c>
      <c r="W1411" s="71">
        <f t="shared" si="130"/>
        <v>75</v>
      </c>
      <c r="X1411" s="72">
        <f t="shared" si="128"/>
        <v>71</v>
      </c>
      <c r="Y1411" s="192">
        <v>10</v>
      </c>
      <c r="Z1411" s="115" t="str">
        <f>IF(ABS(IF(II4Ext!$H$32="M",AL1410-W1411,AL1453-W1411))&gt;1,"ALARM"," ")</f>
        <v xml:space="preserve"> </v>
      </c>
      <c r="AA1411" s="63" t="str">
        <f>IF(ABS(IF(II4Ext!$H$32="M",AM1410-X1411,AM1453-X1411))&gt;1,"ALARM"," ")</f>
        <v xml:space="preserve"> </v>
      </c>
      <c r="AB1411" s="65"/>
      <c r="AC1411" s="81" t="s">
        <v>22</v>
      </c>
      <c r="AD1411" s="69">
        <v>10</v>
      </c>
      <c r="AE1411" s="70"/>
      <c r="AF1411" s="82">
        <f>AP!$G$44+7*(100-AP!$G$44)/12</f>
        <v>75</v>
      </c>
      <c r="AG1411" s="83">
        <f t="shared" si="129"/>
        <v>70.099999999999994</v>
      </c>
      <c r="AH1411" s="65"/>
      <c r="AI1411" s="78" t="s">
        <v>50</v>
      </c>
      <c r="AJ1411" s="59">
        <v>9</v>
      </c>
      <c r="AK1411" s="65"/>
      <c r="AL1411" s="57">
        <f>ROUNDDOWN(AP!$C$44*AF1412/100,0)</f>
        <v>70</v>
      </c>
      <c r="AM1411" s="62">
        <f t="shared" si="126"/>
        <v>66</v>
      </c>
      <c r="AN1411" s="63">
        <f t="shared" si="127"/>
        <v>5</v>
      </c>
    </row>
    <row r="1412" spans="21:40" ht="12.75" customHeight="1" x14ac:dyDescent="0.2">
      <c r="U1412" s="108"/>
      <c r="V1412" s="190">
        <f>IF(AP!$C$43="M",AN1411,AN1454)</f>
        <v>5</v>
      </c>
      <c r="W1412" s="57">
        <f t="shared" si="130"/>
        <v>70</v>
      </c>
      <c r="X1412" s="62">
        <f t="shared" si="128"/>
        <v>66</v>
      </c>
      <c r="Y1412" s="191">
        <v>9</v>
      </c>
      <c r="Z1412" s="117" t="str">
        <f>IF(ABS(IF(II4Ext!$H$32="M",AL1411-W1412,AL1454-W1412))&gt;1,"ALARM"," ")</f>
        <v xml:space="preserve"> </v>
      </c>
      <c r="AA1412" s="114" t="str">
        <f>IF(ABS(IF(II4Ext!$H$32="M",AM1411-X1412,AM1454-X1412))&gt;1,"ALARM"," ")</f>
        <v xml:space="preserve"> </v>
      </c>
      <c r="AB1412" s="65"/>
      <c r="AC1412" s="78" t="s">
        <v>50</v>
      </c>
      <c r="AD1412" s="59">
        <v>9</v>
      </c>
      <c r="AE1412" s="65"/>
      <c r="AF1412" s="60">
        <f>AP!$G$44+6*(100-AP!$G$44)/12</f>
        <v>70</v>
      </c>
      <c r="AG1412" s="61">
        <f t="shared" si="129"/>
        <v>65.099999999999994</v>
      </c>
      <c r="AH1412" s="65"/>
      <c r="AI1412" s="58">
        <v>3</v>
      </c>
      <c r="AJ1412" s="59">
        <v>8</v>
      </c>
      <c r="AK1412" s="65"/>
      <c r="AL1412" s="57">
        <f>ROUNDDOWN(AP!$C$44*AF1413/100,0)</f>
        <v>65</v>
      </c>
      <c r="AM1412" s="62">
        <f t="shared" si="126"/>
        <v>61</v>
      </c>
      <c r="AN1412" s="63">
        <f t="shared" si="127"/>
        <v>5</v>
      </c>
    </row>
    <row r="1413" spans="21:40" ht="12.75" customHeight="1" x14ac:dyDescent="0.2">
      <c r="U1413" s="84"/>
      <c r="V1413" s="188">
        <f>IF(AP!$C$43="M",AN1412,AN1455)</f>
        <v>5</v>
      </c>
      <c r="W1413" s="57">
        <f t="shared" si="130"/>
        <v>65</v>
      </c>
      <c r="X1413" s="62">
        <f t="shared" si="128"/>
        <v>61</v>
      </c>
      <c r="Y1413" s="191">
        <v>8</v>
      </c>
      <c r="Z1413" s="115" t="str">
        <f>IF(ABS(IF(II4Ext!$H$32="M",AL1412-W1413,AL1455-W1413))&gt;1,"ALARM"," ")</f>
        <v xml:space="preserve"> </v>
      </c>
      <c r="AA1413" s="63" t="str">
        <f>IF(ABS(IF(II4Ext!$H$32="M",AM1412-X1413,AM1455-X1413))&gt;1,"ALARM"," ")</f>
        <v xml:space="preserve"> </v>
      </c>
      <c r="AB1413" s="65"/>
      <c r="AC1413" s="58">
        <v>3</v>
      </c>
      <c r="AD1413" s="59">
        <v>8</v>
      </c>
      <c r="AE1413" s="65"/>
      <c r="AF1413" s="60">
        <f>AP!$G$44+5*(100-AP!$G$44)/12</f>
        <v>65</v>
      </c>
      <c r="AG1413" s="61">
        <f t="shared" si="129"/>
        <v>60.1</v>
      </c>
      <c r="AH1413" s="65"/>
      <c r="AI1413" s="81" t="s">
        <v>22</v>
      </c>
      <c r="AJ1413" s="69">
        <v>7</v>
      </c>
      <c r="AK1413" s="70"/>
      <c r="AL1413" s="71">
        <f>ROUNDDOWN(AP!$C$44*AF1414/100,0)</f>
        <v>60</v>
      </c>
      <c r="AM1413" s="72">
        <f t="shared" si="126"/>
        <v>56</v>
      </c>
      <c r="AN1413" s="73">
        <f t="shared" si="127"/>
        <v>5</v>
      </c>
    </row>
    <row r="1414" spans="21:40" ht="12.75" customHeight="1" x14ac:dyDescent="0.2">
      <c r="U1414" s="109"/>
      <c r="V1414" s="189">
        <f>IF(AP!$C$43="M",AN1413,AN1456)</f>
        <v>5</v>
      </c>
      <c r="W1414" s="71">
        <f t="shared" si="130"/>
        <v>60</v>
      </c>
      <c r="X1414" s="72">
        <f t="shared" si="128"/>
        <v>56</v>
      </c>
      <c r="Y1414" s="192">
        <v>7</v>
      </c>
      <c r="Z1414" s="118" t="str">
        <f>IF(ABS(IF(II4Ext!$H$32="M",AL1413-W1414,AL1456-W1414))&gt;1,"ALARM"," ")</f>
        <v xml:space="preserve"> </v>
      </c>
      <c r="AA1414" s="73" t="str">
        <f>IF(ABS(IF(II4Ext!$H$32="M",AM1413-X1414,AM1456-X1414))&gt;1,"ALARM"," ")</f>
        <v xml:space="preserve"> </v>
      </c>
      <c r="AB1414" s="65"/>
      <c r="AC1414" s="81" t="s">
        <v>22</v>
      </c>
      <c r="AD1414" s="69">
        <v>7</v>
      </c>
      <c r="AE1414" s="70"/>
      <c r="AF1414" s="82">
        <f>AP!$G$44+4*(100-AP!$G$44)/12</f>
        <v>60</v>
      </c>
      <c r="AG1414" s="83">
        <f t="shared" si="129"/>
        <v>55.1</v>
      </c>
      <c r="AH1414" s="65"/>
      <c r="AI1414" s="78" t="s">
        <v>50</v>
      </c>
      <c r="AJ1414" s="59">
        <v>6</v>
      </c>
      <c r="AK1414" s="65"/>
      <c r="AL1414" s="57">
        <f>ROUNDDOWN(AP!$C$44*AF1415/100,0)</f>
        <v>55</v>
      </c>
      <c r="AM1414" s="62">
        <f t="shared" si="126"/>
        <v>51</v>
      </c>
      <c r="AN1414" s="63">
        <f t="shared" si="127"/>
        <v>5</v>
      </c>
    </row>
    <row r="1415" spans="21:40" ht="12.75" customHeight="1" x14ac:dyDescent="0.2">
      <c r="U1415" s="84"/>
      <c r="V1415" s="190">
        <f>IF(AP!$C$43="M",AN1414,AN1457)</f>
        <v>5</v>
      </c>
      <c r="W1415" s="57">
        <f t="shared" si="130"/>
        <v>55</v>
      </c>
      <c r="X1415" s="62">
        <f t="shared" si="128"/>
        <v>51</v>
      </c>
      <c r="Y1415" s="191">
        <v>6</v>
      </c>
      <c r="Z1415" s="115" t="str">
        <f>IF(ABS(IF(II4Ext!$H$32="M",AL1414-W1415,AL1457-W1415))&gt;1,"ALARM"," ")</f>
        <v xml:space="preserve"> </v>
      </c>
      <c r="AA1415" s="63" t="str">
        <f>IF(ABS(IF(II4Ext!$H$32="M",AM1414-X1415,AM1457-X1415))&gt;1,"ALARM"," ")</f>
        <v xml:space="preserve"> </v>
      </c>
      <c r="AB1415" s="65"/>
      <c r="AC1415" s="78" t="s">
        <v>50</v>
      </c>
      <c r="AD1415" s="59">
        <v>6</v>
      </c>
      <c r="AE1415" s="65"/>
      <c r="AF1415" s="60">
        <f>AP!$G$44+3*(100-AP!$G$44)/12</f>
        <v>55</v>
      </c>
      <c r="AG1415" s="61">
        <f t="shared" si="129"/>
        <v>50.1</v>
      </c>
      <c r="AH1415" s="65"/>
      <c r="AI1415" s="58">
        <v>4</v>
      </c>
      <c r="AJ1415" s="59">
        <v>5</v>
      </c>
      <c r="AK1415" s="65"/>
      <c r="AL1415" s="57">
        <f>ROUNDDOWN(AP!$C$44*AF1416/100,0)</f>
        <v>50</v>
      </c>
      <c r="AM1415" s="62">
        <f t="shared" si="126"/>
        <v>46</v>
      </c>
      <c r="AN1415" s="63">
        <f t="shared" si="127"/>
        <v>5</v>
      </c>
    </row>
    <row r="1416" spans="21:40" ht="12.75" customHeight="1" x14ac:dyDescent="0.2">
      <c r="U1416" s="84"/>
      <c r="V1416" s="188">
        <f>IF(AP!$C$43="M",AN1415,AN1458)</f>
        <v>5</v>
      </c>
      <c r="W1416" s="57">
        <f t="shared" si="130"/>
        <v>50</v>
      </c>
      <c r="X1416" s="62">
        <f t="shared" si="128"/>
        <v>46</v>
      </c>
      <c r="Y1416" s="191">
        <v>5</v>
      </c>
      <c r="Z1416" s="115" t="str">
        <f>IF(ABS(IF(II4Ext!$H$32="M",AL1415-W1416,AL1458-W1416))&gt;1,"ALARM"," ")</f>
        <v xml:space="preserve"> </v>
      </c>
      <c r="AA1416" s="63" t="str">
        <f>IF(ABS(IF(II4Ext!$H$32="M",AM1415-X1416,AM1458-X1416))&gt;1,"ALARM"," ")</f>
        <v xml:space="preserve"> </v>
      </c>
      <c r="AB1416" s="65"/>
      <c r="AC1416" s="58">
        <v>4</v>
      </c>
      <c r="AD1416" s="59">
        <v>5</v>
      </c>
      <c r="AE1416" s="65"/>
      <c r="AF1416" s="60">
        <f>AP!$G$44+2*(100-AP!$G$44)/12</f>
        <v>50</v>
      </c>
      <c r="AG1416" s="61">
        <f t="shared" si="129"/>
        <v>45.1</v>
      </c>
      <c r="AH1416" s="65"/>
      <c r="AI1416" s="81" t="s">
        <v>22</v>
      </c>
      <c r="AJ1416" s="69">
        <v>4</v>
      </c>
      <c r="AK1416" s="70"/>
      <c r="AL1416" s="71">
        <f>ROUNDDOWN(AP!$C$44*AF1417/100,0)</f>
        <v>45</v>
      </c>
      <c r="AM1416" s="72">
        <f t="shared" si="126"/>
        <v>41</v>
      </c>
      <c r="AN1416" s="73">
        <f t="shared" si="127"/>
        <v>5</v>
      </c>
    </row>
    <row r="1417" spans="21:40" ht="12.75" customHeight="1" x14ac:dyDescent="0.2">
      <c r="U1417" s="84"/>
      <c r="V1417" s="189">
        <f>IF(AP!$C$43="M",AN1416,AN1459)</f>
        <v>5</v>
      </c>
      <c r="W1417" s="71">
        <f t="shared" si="130"/>
        <v>45</v>
      </c>
      <c r="X1417" s="72">
        <f t="shared" si="128"/>
        <v>41</v>
      </c>
      <c r="Y1417" s="192">
        <v>4</v>
      </c>
      <c r="Z1417" s="115" t="str">
        <f>IF(ABS(IF(II4Ext!$H$32="M",AL1416-W1417,AL1459-W1417))&gt;1,"ALARM"," ")</f>
        <v xml:space="preserve"> </v>
      </c>
      <c r="AA1417" s="63" t="str">
        <f>IF(ABS(IF(II4Ext!$H$32="M",AM1416-X1417,AM1459-X1417))&gt;1,"ALARM"," ")</f>
        <v xml:space="preserve"> </v>
      </c>
      <c r="AB1417" s="65"/>
      <c r="AC1417" s="81" t="s">
        <v>22</v>
      </c>
      <c r="AD1417" s="69">
        <v>4</v>
      </c>
      <c r="AE1417" s="70"/>
      <c r="AF1417" s="82">
        <f>AP!$G$44+1*(100-AP!$G$44)/12</f>
        <v>45</v>
      </c>
      <c r="AG1417" s="83">
        <f t="shared" si="129"/>
        <v>40.1</v>
      </c>
      <c r="AH1417" s="65"/>
      <c r="AI1417" s="78" t="s">
        <v>50</v>
      </c>
      <c r="AJ1417" s="59">
        <v>3</v>
      </c>
      <c r="AK1417" s="65"/>
      <c r="AL1417" s="57">
        <f>ROUNDDOWN(AP!$C$44*AF1418/100,0)</f>
        <v>40</v>
      </c>
      <c r="AM1417" s="62">
        <f t="shared" si="126"/>
        <v>34</v>
      </c>
      <c r="AN1417" s="63">
        <f t="shared" si="127"/>
        <v>7</v>
      </c>
    </row>
    <row r="1418" spans="21:40" ht="12.75" customHeight="1" x14ac:dyDescent="0.2">
      <c r="U1418" s="108"/>
      <c r="V1418" s="190">
        <f>IF(AP!$C$43="M",AN1417,AN1460)</f>
        <v>7</v>
      </c>
      <c r="W1418" s="57">
        <f t="shared" si="130"/>
        <v>40</v>
      </c>
      <c r="X1418" s="62">
        <f t="shared" si="128"/>
        <v>34</v>
      </c>
      <c r="Y1418" s="191">
        <v>3</v>
      </c>
      <c r="Z1418" s="117" t="str">
        <f>IF(ABS(IF(II4Ext!$H$32="M",AL1417-W1418,AL1460-W1418))&gt;1,"ALARM"," ")</f>
        <v xml:space="preserve"> </v>
      </c>
      <c r="AA1418" s="114" t="str">
        <f>IF(ABS(IF(II4Ext!$H$32="M",AM1417-X1418,AM1460-X1418))&gt;1,"ALARM"," ")</f>
        <v xml:space="preserve"> </v>
      </c>
      <c r="AB1418" s="65"/>
      <c r="AC1418" s="78" t="s">
        <v>50</v>
      </c>
      <c r="AD1418" s="59">
        <v>3</v>
      </c>
      <c r="AE1418" s="65"/>
      <c r="AF1418" s="60">
        <f>AP!$G$44</f>
        <v>40</v>
      </c>
      <c r="AG1418" s="61">
        <f>AF1419+0.01</f>
        <v>33.343333333333334</v>
      </c>
      <c r="AH1418" s="65"/>
      <c r="AI1418" s="58">
        <v>5</v>
      </c>
      <c r="AJ1418" s="59">
        <v>2</v>
      </c>
      <c r="AK1418" s="65"/>
      <c r="AL1418" s="57">
        <f>ROUNDDOWN(AP!$C$44*AF1419/100,0)</f>
        <v>33</v>
      </c>
      <c r="AM1418" s="62">
        <f t="shared" si="126"/>
        <v>27</v>
      </c>
      <c r="AN1418" s="63">
        <f t="shared" si="127"/>
        <v>7</v>
      </c>
    </row>
    <row r="1419" spans="21:40" ht="12.75" customHeight="1" x14ac:dyDescent="0.2">
      <c r="U1419" s="84"/>
      <c r="V1419" s="188">
        <f>IF(AP!$C$43="M",AN1418,AN1461)</f>
        <v>7</v>
      </c>
      <c r="W1419" s="57">
        <f t="shared" si="130"/>
        <v>33</v>
      </c>
      <c r="X1419" s="62">
        <f t="shared" si="128"/>
        <v>27</v>
      </c>
      <c r="Y1419" s="191">
        <v>2</v>
      </c>
      <c r="Z1419" s="115" t="str">
        <f>IF(ABS(IF(II4Ext!$H$32="M",AL1418-W1419,AL1461-W1419))&gt;1,"ALARM"," ")</f>
        <v xml:space="preserve"> </v>
      </c>
      <c r="AA1419" s="63" t="str">
        <f>IF(ABS(IF(II4Ext!$H$32="M",AM1418-X1419,AM1461-X1419))&gt;1,"ALARM"," ")</f>
        <v xml:space="preserve"> </v>
      </c>
      <c r="AB1419" s="65"/>
      <c r="AC1419" s="58">
        <v>5</v>
      </c>
      <c r="AD1419" s="59">
        <v>2</v>
      </c>
      <c r="AE1419" s="65"/>
      <c r="AF1419" s="60">
        <f>AG1420+2*(AF1418-AG1420)/3</f>
        <v>33.333333333333336</v>
      </c>
      <c r="AG1419" s="61">
        <f>AF1420+0.01</f>
        <v>26.676666666666669</v>
      </c>
      <c r="AH1419" s="65"/>
      <c r="AI1419" s="81" t="s">
        <v>22</v>
      </c>
      <c r="AJ1419" s="69">
        <v>1</v>
      </c>
      <c r="AK1419" s="70"/>
      <c r="AL1419" s="71">
        <f>ROUNDDOWN(AP!$C$44*AF1420/100,0)</f>
        <v>26</v>
      </c>
      <c r="AM1419" s="72">
        <f>ROUNDUP(AP!$C$44*(AP!$E$44/100),0)</f>
        <v>20</v>
      </c>
      <c r="AN1419" s="73">
        <f t="shared" si="127"/>
        <v>7</v>
      </c>
    </row>
    <row r="1420" spans="21:40" ht="12.75" customHeight="1" thickBot="1" x14ac:dyDescent="0.25">
      <c r="U1420" s="109"/>
      <c r="V1420" s="189">
        <f>IF(AP!$C$43="M",AN1419,AN1462)</f>
        <v>7</v>
      </c>
      <c r="W1420" s="71">
        <f t="shared" si="130"/>
        <v>26</v>
      </c>
      <c r="X1420" s="42">
        <f t="shared" si="128"/>
        <v>20</v>
      </c>
      <c r="Y1420" s="192">
        <v>1</v>
      </c>
      <c r="Z1420" s="118" t="str">
        <f>IF(ABS(IF(II4Ext!$H$32="M",AL1419-W1420,AL1462-W1420))&gt;1,"ALARM"," ")</f>
        <v xml:space="preserve"> </v>
      </c>
      <c r="AA1420" s="73" t="str">
        <f>IF(ABS(IF(II4Ext!$H$32="M",AM1419-X1420,AM1462-X1420))&gt;1,"ALARM"," ")</f>
        <v xml:space="preserve"> </v>
      </c>
      <c r="AB1420" s="65"/>
      <c r="AC1420" s="81" t="s">
        <v>22</v>
      </c>
      <c r="AD1420" s="69">
        <v>1</v>
      </c>
      <c r="AE1420" s="70"/>
      <c r="AF1420" s="82">
        <f>AG1420+(AF1418-AG1420)/3</f>
        <v>26.666666666666668</v>
      </c>
      <c r="AG1420" s="83">
        <f>AP!$E$44</f>
        <v>20</v>
      </c>
      <c r="AH1420" s="65"/>
      <c r="AI1420" s="89">
        <v>6</v>
      </c>
      <c r="AJ1420" s="90">
        <v>0</v>
      </c>
      <c r="AK1420" s="91"/>
      <c r="AL1420" s="92">
        <f>AM1419-1</f>
        <v>19</v>
      </c>
      <c r="AM1420" s="93">
        <v>0</v>
      </c>
      <c r="AN1420" s="94">
        <f>IF(AM1420&gt;AM1419,"ALARM",AL1420+1)</f>
        <v>20</v>
      </c>
    </row>
    <row r="1421" spans="21:40" ht="12.75" customHeight="1" thickBot="1" x14ac:dyDescent="0.25">
      <c r="U1421" s="43"/>
      <c r="V1421" s="194">
        <f>IF(AP!$C$43="M",+W1421+1,W1463+1)</f>
        <v>20</v>
      </c>
      <c r="W1421" s="92">
        <f t="shared" si="130"/>
        <v>19</v>
      </c>
      <c r="X1421" s="93">
        <v>0</v>
      </c>
      <c r="Y1421" s="193">
        <v>0</v>
      </c>
      <c r="Z1421" s="116" t="str">
        <f>IF(ABS(IF(II4Ext!$H$32="M",AL1420-W1421,AL1463-W1421))&gt;1,"ALARM"," ")</f>
        <v xml:space="preserve"> </v>
      </c>
      <c r="AA1421" s="94" t="str">
        <f>IF(ABS(IF(II4Ext!$H$32="M",AM1420-X1421,AM1463-X1421))&gt;1,"ALARM"," ")</f>
        <v xml:space="preserve"> </v>
      </c>
      <c r="AB1421" s="65"/>
      <c r="AC1421" s="89">
        <v>6</v>
      </c>
      <c r="AD1421" s="90">
        <v>0</v>
      </c>
      <c r="AE1421" s="91"/>
      <c r="AF1421" s="96">
        <f>II4Ext!$H$34-0.1</f>
        <v>19.899999999999999</v>
      </c>
      <c r="AG1421" s="97">
        <v>0</v>
      </c>
      <c r="AH1421" s="65"/>
      <c r="AI1421" s="65"/>
      <c r="AJ1421" s="65"/>
      <c r="AK1421" s="65"/>
      <c r="AL1421" s="65"/>
      <c r="AM1421" s="65"/>
      <c r="AN1421" s="65"/>
    </row>
    <row r="1422" spans="21:40" ht="12.75" customHeight="1" x14ac:dyDescent="0.2">
      <c r="U1422" s="46"/>
      <c r="V1422" s="46"/>
      <c r="W1422" s="46"/>
      <c r="X1422" s="46"/>
      <c r="Y1422" s="46"/>
      <c r="Z1422" s="46"/>
      <c r="AA1422" s="46"/>
      <c r="AB1422" s="46"/>
      <c r="AC1422" s="46"/>
      <c r="AD1422" s="46"/>
      <c r="AE1422" s="46"/>
      <c r="AF1422" s="46"/>
      <c r="AG1422" s="46"/>
      <c r="AH1422" s="46"/>
      <c r="AI1422" s="46"/>
      <c r="AJ1422" s="46"/>
      <c r="AK1422" s="46"/>
      <c r="AL1422" s="46"/>
      <c r="AM1422" s="46"/>
      <c r="AN1422" s="46"/>
    </row>
    <row r="1423" spans="21:40" ht="12.75" customHeight="1" x14ac:dyDescent="0.2">
      <c r="U1423" s="46"/>
      <c r="V1423" s="46"/>
      <c r="W1423" s="46"/>
      <c r="X1423" s="46"/>
      <c r="Y1423" s="46"/>
      <c r="Z1423" s="46"/>
      <c r="AA1423" s="46"/>
      <c r="AB1423" s="46"/>
      <c r="AC1423" s="46"/>
      <c r="AD1423" s="46"/>
      <c r="AE1423" s="46"/>
      <c r="AF1423" s="46"/>
      <c r="AG1423" s="46"/>
      <c r="AH1423" s="46"/>
      <c r="AI1423" s="46"/>
      <c r="AJ1423" s="46"/>
      <c r="AK1423" s="46"/>
      <c r="AL1423" s="46"/>
      <c r="AM1423" s="46"/>
      <c r="AN1423" s="46"/>
    </row>
    <row r="1424" spans="21:40" ht="12.75" customHeight="1" x14ac:dyDescent="0.2">
      <c r="U1424" s="46"/>
      <c r="V1424" s="46">
        <f t="shared" ref="V1424:V1439" si="131">+X1424</f>
        <v>0</v>
      </c>
      <c r="W1424" s="46">
        <f>+W1421</f>
        <v>19</v>
      </c>
      <c r="X1424" s="46">
        <f>+X1421</f>
        <v>0</v>
      </c>
      <c r="Y1424" s="46">
        <f>+Y1421</f>
        <v>0</v>
      </c>
      <c r="Z1424" s="46"/>
      <c r="AA1424" s="46"/>
      <c r="AB1424" s="46"/>
      <c r="AC1424" s="46"/>
      <c r="AD1424" s="46"/>
      <c r="AE1424" s="46"/>
      <c r="AF1424" s="46"/>
      <c r="AG1424" s="46"/>
      <c r="AH1424" s="46"/>
      <c r="AI1424" s="46"/>
      <c r="AJ1424" s="46"/>
      <c r="AK1424" s="46"/>
      <c r="AL1424" s="46"/>
      <c r="AM1424" s="46"/>
      <c r="AN1424" s="46"/>
    </row>
    <row r="1425" spans="21:40" ht="12.75" customHeight="1" x14ac:dyDescent="0.2">
      <c r="U1425" s="46"/>
      <c r="V1425" s="46">
        <f t="shared" si="131"/>
        <v>20</v>
      </c>
      <c r="W1425" s="46">
        <f>+W1420</f>
        <v>26</v>
      </c>
      <c r="X1425" s="46">
        <f>+X1420</f>
        <v>20</v>
      </c>
      <c r="Y1425" s="46">
        <f>+Y1420</f>
        <v>1</v>
      </c>
      <c r="Z1425" s="46"/>
      <c r="AA1425" s="46"/>
      <c r="AB1425" s="46"/>
      <c r="AC1425" s="46"/>
      <c r="AD1425" s="46"/>
      <c r="AE1425" s="46"/>
      <c r="AF1425" s="46"/>
      <c r="AG1425" s="46"/>
      <c r="AH1425" s="46"/>
      <c r="AI1425" s="46"/>
      <c r="AJ1425" s="46"/>
      <c r="AK1425" s="46"/>
      <c r="AL1425" s="46"/>
      <c r="AM1425" s="46"/>
      <c r="AN1425" s="46"/>
    </row>
    <row r="1426" spans="21:40" ht="12.75" customHeight="1" x14ac:dyDescent="0.2">
      <c r="U1426" s="46"/>
      <c r="V1426" s="46">
        <f t="shared" si="131"/>
        <v>27</v>
      </c>
      <c r="W1426" s="46">
        <f>+W1419</f>
        <v>33</v>
      </c>
      <c r="X1426" s="46">
        <f>+X1419</f>
        <v>27</v>
      </c>
      <c r="Y1426" s="46">
        <f>+Y1419</f>
        <v>2</v>
      </c>
      <c r="Z1426" s="46"/>
      <c r="AA1426" s="46"/>
      <c r="AB1426" s="46"/>
      <c r="AC1426" s="46"/>
      <c r="AD1426" s="46"/>
      <c r="AE1426" s="46"/>
      <c r="AF1426" s="46"/>
      <c r="AG1426" s="46"/>
      <c r="AH1426" s="46"/>
      <c r="AI1426" s="46"/>
      <c r="AJ1426" s="46"/>
      <c r="AK1426" s="46"/>
      <c r="AL1426" s="46"/>
      <c r="AM1426" s="46"/>
      <c r="AN1426" s="46"/>
    </row>
    <row r="1427" spans="21:40" ht="12.75" customHeight="1" x14ac:dyDescent="0.2">
      <c r="U1427" s="46"/>
      <c r="V1427" s="46">
        <f t="shared" si="131"/>
        <v>34</v>
      </c>
      <c r="W1427" s="46">
        <f>+W1418</f>
        <v>40</v>
      </c>
      <c r="X1427" s="46">
        <f>+X1418</f>
        <v>34</v>
      </c>
      <c r="Y1427" s="46">
        <f>+Y1418</f>
        <v>3</v>
      </c>
      <c r="Z1427" s="46"/>
      <c r="AA1427" s="46"/>
      <c r="AB1427" s="46"/>
      <c r="AC1427" s="46"/>
      <c r="AD1427" s="46"/>
      <c r="AE1427" s="46"/>
      <c r="AF1427" s="46"/>
      <c r="AG1427" s="46"/>
      <c r="AH1427" s="46"/>
      <c r="AI1427" s="46"/>
      <c r="AJ1427" s="46"/>
      <c r="AK1427" s="46"/>
      <c r="AL1427" s="46"/>
      <c r="AM1427" s="46"/>
      <c r="AN1427" s="46"/>
    </row>
    <row r="1428" spans="21:40" ht="12.75" customHeight="1" x14ac:dyDescent="0.2">
      <c r="U1428" s="46"/>
      <c r="V1428" s="46">
        <f t="shared" si="131"/>
        <v>41</v>
      </c>
      <c r="W1428" s="46">
        <f>+W1417</f>
        <v>45</v>
      </c>
      <c r="X1428" s="46">
        <f>+X1417</f>
        <v>41</v>
      </c>
      <c r="Y1428" s="46">
        <f>+Y1417</f>
        <v>4</v>
      </c>
      <c r="Z1428" s="46"/>
      <c r="AA1428" s="46"/>
      <c r="AB1428" s="46"/>
      <c r="AC1428" s="46"/>
      <c r="AD1428" s="46"/>
      <c r="AE1428" s="46"/>
      <c r="AF1428" s="46"/>
      <c r="AG1428" s="46"/>
      <c r="AH1428" s="46"/>
      <c r="AI1428" s="46"/>
      <c r="AJ1428" s="46"/>
      <c r="AK1428" s="46"/>
      <c r="AL1428" s="46"/>
      <c r="AM1428" s="46"/>
      <c r="AN1428" s="46"/>
    </row>
    <row r="1429" spans="21:40" ht="12.75" customHeight="1" x14ac:dyDescent="0.2">
      <c r="U1429" s="46"/>
      <c r="V1429" s="46">
        <f t="shared" si="131"/>
        <v>46</v>
      </c>
      <c r="W1429" s="46">
        <f>+W1416</f>
        <v>50</v>
      </c>
      <c r="X1429" s="46">
        <f>+X1416</f>
        <v>46</v>
      </c>
      <c r="Y1429" s="46">
        <f>+Y1416</f>
        <v>5</v>
      </c>
      <c r="Z1429" s="46"/>
      <c r="AA1429" s="46"/>
      <c r="AB1429" s="46"/>
      <c r="AC1429" s="46"/>
      <c r="AD1429" s="46"/>
      <c r="AE1429" s="46"/>
      <c r="AF1429" s="46"/>
      <c r="AG1429" s="46"/>
      <c r="AH1429" s="46"/>
      <c r="AI1429" s="46"/>
      <c r="AJ1429" s="46"/>
      <c r="AK1429" s="46"/>
      <c r="AL1429" s="46"/>
      <c r="AM1429" s="46"/>
      <c r="AN1429" s="46"/>
    </row>
    <row r="1430" spans="21:40" ht="12.75" customHeight="1" x14ac:dyDescent="0.2">
      <c r="U1430" s="46"/>
      <c r="V1430" s="46">
        <f t="shared" si="131"/>
        <v>51</v>
      </c>
      <c r="W1430" s="46">
        <f>+W1415</f>
        <v>55</v>
      </c>
      <c r="X1430" s="46">
        <f>+X1415</f>
        <v>51</v>
      </c>
      <c r="Y1430" s="46">
        <f>+Y1415</f>
        <v>6</v>
      </c>
      <c r="Z1430" s="46"/>
      <c r="AA1430" s="46"/>
      <c r="AB1430" s="46"/>
      <c r="AC1430" s="46"/>
      <c r="AD1430" s="46"/>
      <c r="AE1430" s="46"/>
      <c r="AF1430" s="46"/>
      <c r="AG1430" s="46"/>
      <c r="AH1430" s="46"/>
      <c r="AI1430" s="46"/>
      <c r="AJ1430" s="46"/>
      <c r="AK1430" s="46"/>
      <c r="AL1430" s="46"/>
      <c r="AM1430" s="46"/>
      <c r="AN1430" s="46"/>
    </row>
    <row r="1431" spans="21:40" ht="12.75" customHeight="1" x14ac:dyDescent="0.2">
      <c r="U1431" s="46"/>
      <c r="V1431" s="46">
        <f t="shared" si="131"/>
        <v>56</v>
      </c>
      <c r="W1431" s="46">
        <f>+W1414</f>
        <v>60</v>
      </c>
      <c r="X1431" s="46">
        <f>+X1414</f>
        <v>56</v>
      </c>
      <c r="Y1431" s="46">
        <f>+Y1414</f>
        <v>7</v>
      </c>
      <c r="Z1431" s="46"/>
      <c r="AA1431" s="46"/>
      <c r="AB1431" s="46"/>
      <c r="AC1431" s="46"/>
      <c r="AD1431" s="46"/>
      <c r="AE1431" s="46"/>
      <c r="AF1431" s="46"/>
      <c r="AG1431" s="46"/>
      <c r="AH1431" s="46"/>
      <c r="AI1431" s="46"/>
      <c r="AJ1431" s="46"/>
      <c r="AK1431" s="46"/>
      <c r="AL1431" s="46"/>
      <c r="AM1431" s="46"/>
      <c r="AN1431" s="46"/>
    </row>
    <row r="1432" spans="21:40" ht="12.75" customHeight="1" x14ac:dyDescent="0.2">
      <c r="U1432" s="46"/>
      <c r="V1432" s="46">
        <f t="shared" si="131"/>
        <v>61</v>
      </c>
      <c r="W1432" s="46">
        <f>+W1413</f>
        <v>65</v>
      </c>
      <c r="X1432" s="46">
        <f>+X1413</f>
        <v>61</v>
      </c>
      <c r="Y1432" s="46">
        <f>+Y1413</f>
        <v>8</v>
      </c>
      <c r="Z1432" s="46"/>
      <c r="AA1432" s="46"/>
      <c r="AB1432" s="46"/>
      <c r="AC1432" s="46"/>
      <c r="AD1432" s="46"/>
      <c r="AE1432" s="46"/>
      <c r="AF1432" s="46"/>
      <c r="AG1432" s="46"/>
      <c r="AH1432" s="46"/>
      <c r="AI1432" s="46"/>
      <c r="AJ1432" s="46"/>
      <c r="AK1432" s="46"/>
      <c r="AL1432" s="46"/>
      <c r="AM1432" s="46"/>
      <c r="AN1432" s="46"/>
    </row>
    <row r="1433" spans="21:40" ht="12.75" customHeight="1" x14ac:dyDescent="0.2">
      <c r="U1433" s="46"/>
      <c r="V1433" s="46">
        <f t="shared" si="131"/>
        <v>66</v>
      </c>
      <c r="W1433" s="46">
        <f>+W1412</f>
        <v>70</v>
      </c>
      <c r="X1433" s="46">
        <f>+X1412</f>
        <v>66</v>
      </c>
      <c r="Y1433" s="46">
        <f>+Y1412</f>
        <v>9</v>
      </c>
      <c r="Z1433" s="46"/>
      <c r="AA1433" s="46"/>
      <c r="AB1433" s="46"/>
      <c r="AC1433" s="46"/>
      <c r="AD1433" s="46"/>
      <c r="AE1433" s="46"/>
      <c r="AF1433" s="46"/>
      <c r="AG1433" s="46"/>
      <c r="AH1433" s="46"/>
      <c r="AI1433" s="46"/>
      <c r="AJ1433" s="46"/>
      <c r="AK1433" s="46"/>
      <c r="AL1433" s="46"/>
      <c r="AM1433" s="46"/>
      <c r="AN1433" s="46"/>
    </row>
    <row r="1434" spans="21:40" ht="12.75" customHeight="1" x14ac:dyDescent="0.2">
      <c r="U1434" s="46"/>
      <c r="V1434" s="46">
        <f t="shared" si="131"/>
        <v>71</v>
      </c>
      <c r="W1434" s="46">
        <f>+W1411</f>
        <v>75</v>
      </c>
      <c r="X1434" s="46">
        <f>+X1411</f>
        <v>71</v>
      </c>
      <c r="Y1434" s="46">
        <f>+Y1411</f>
        <v>10</v>
      </c>
      <c r="Z1434" s="46"/>
      <c r="AA1434" s="46"/>
      <c r="AB1434" s="46"/>
      <c r="AC1434" s="46"/>
      <c r="AD1434" s="46"/>
      <c r="AE1434" s="46"/>
      <c r="AF1434" s="46"/>
      <c r="AG1434" s="46"/>
      <c r="AH1434" s="46"/>
      <c r="AI1434" s="46"/>
      <c r="AJ1434" s="46"/>
      <c r="AK1434" s="46"/>
      <c r="AL1434" s="46"/>
      <c r="AM1434" s="46"/>
      <c r="AN1434" s="46"/>
    </row>
    <row r="1435" spans="21:40" ht="12.75" customHeight="1" x14ac:dyDescent="0.2">
      <c r="U1435" s="46"/>
      <c r="V1435" s="46">
        <f t="shared" si="131"/>
        <v>76</v>
      </c>
      <c r="W1435" s="46">
        <f>+W1410</f>
        <v>80</v>
      </c>
      <c r="X1435" s="46">
        <f>+X1410</f>
        <v>76</v>
      </c>
      <c r="Y1435" s="46">
        <f>+Y1410</f>
        <v>11</v>
      </c>
      <c r="Z1435" s="46"/>
      <c r="AA1435" s="46"/>
      <c r="AB1435" s="46"/>
      <c r="AC1435" s="46"/>
      <c r="AD1435" s="46"/>
      <c r="AE1435" s="46"/>
      <c r="AF1435" s="46"/>
      <c r="AG1435" s="46"/>
      <c r="AH1435" s="46"/>
      <c r="AI1435" s="46"/>
      <c r="AJ1435" s="46"/>
      <c r="AK1435" s="46"/>
      <c r="AL1435" s="46"/>
      <c r="AM1435" s="46"/>
      <c r="AN1435" s="46"/>
    </row>
    <row r="1436" spans="21:40" ht="12.75" customHeight="1" x14ac:dyDescent="0.2">
      <c r="U1436" s="46"/>
      <c r="V1436" s="46">
        <f t="shared" si="131"/>
        <v>81</v>
      </c>
      <c r="W1436" s="46">
        <f>+W1409</f>
        <v>85</v>
      </c>
      <c r="X1436" s="46">
        <f>+X1409</f>
        <v>81</v>
      </c>
      <c r="Y1436" s="46">
        <f>+Y1409</f>
        <v>12</v>
      </c>
      <c r="Z1436" s="46"/>
      <c r="AA1436" s="46"/>
      <c r="AB1436" s="46"/>
      <c r="AC1436" s="46"/>
      <c r="AD1436" s="46"/>
      <c r="AE1436" s="46"/>
      <c r="AF1436" s="46"/>
      <c r="AG1436" s="46"/>
      <c r="AH1436" s="46"/>
      <c r="AI1436" s="46"/>
      <c r="AJ1436" s="46"/>
      <c r="AK1436" s="46"/>
      <c r="AL1436" s="46"/>
      <c r="AM1436" s="46"/>
      <c r="AN1436" s="46"/>
    </row>
    <row r="1437" spans="21:40" ht="12.75" customHeight="1" x14ac:dyDescent="0.2">
      <c r="U1437" s="46"/>
      <c r="V1437" s="46">
        <f t="shared" si="131"/>
        <v>86</v>
      </c>
      <c r="W1437" s="46">
        <f>+W1408</f>
        <v>90</v>
      </c>
      <c r="X1437" s="46">
        <f>+X1408</f>
        <v>86</v>
      </c>
      <c r="Y1437" s="46">
        <f>+Y1408</f>
        <v>13</v>
      </c>
      <c r="Z1437" s="46"/>
      <c r="AA1437" s="46"/>
      <c r="AB1437" s="46"/>
      <c r="AC1437" s="46"/>
      <c r="AD1437" s="46"/>
      <c r="AE1437" s="46"/>
      <c r="AF1437" s="46"/>
      <c r="AG1437" s="46"/>
      <c r="AH1437" s="46"/>
      <c r="AI1437" s="46"/>
      <c r="AJ1437" s="46"/>
      <c r="AK1437" s="46"/>
      <c r="AL1437" s="46"/>
      <c r="AM1437" s="46"/>
      <c r="AN1437" s="46"/>
    </row>
    <row r="1438" spans="21:40" ht="12.75" customHeight="1" x14ac:dyDescent="0.2">
      <c r="U1438" s="46"/>
      <c r="V1438" s="46">
        <f t="shared" si="131"/>
        <v>91</v>
      </c>
      <c r="W1438" s="46">
        <f>+W1407</f>
        <v>95</v>
      </c>
      <c r="X1438" s="46">
        <f>+X1407</f>
        <v>91</v>
      </c>
      <c r="Y1438" s="46">
        <f>+Y1407</f>
        <v>14</v>
      </c>
      <c r="Z1438" s="46"/>
      <c r="AA1438" s="46"/>
      <c r="AB1438" s="46"/>
      <c r="AC1438" s="46"/>
      <c r="AD1438" s="46"/>
      <c r="AE1438" s="46"/>
      <c r="AF1438" s="46"/>
      <c r="AG1438" s="46"/>
      <c r="AH1438" s="46"/>
      <c r="AI1438" s="46"/>
      <c r="AJ1438" s="46"/>
      <c r="AK1438" s="46"/>
      <c r="AL1438" s="46"/>
      <c r="AM1438" s="46"/>
      <c r="AN1438" s="46"/>
    </row>
    <row r="1439" spans="21:40" ht="12.75" customHeight="1" x14ac:dyDescent="0.2">
      <c r="U1439" s="46"/>
      <c r="V1439" s="46">
        <f t="shared" si="131"/>
        <v>96</v>
      </c>
      <c r="W1439" s="98">
        <f>+W1406</f>
        <v>100</v>
      </c>
      <c r="X1439" s="98">
        <f>+X1406</f>
        <v>96</v>
      </c>
      <c r="Y1439" s="98">
        <f>+Y1406</f>
        <v>15</v>
      </c>
      <c r="Z1439" s="46"/>
      <c r="AA1439" s="46"/>
      <c r="AB1439" s="46"/>
      <c r="AC1439" s="46"/>
      <c r="AD1439" s="46"/>
      <c r="AE1439" s="46"/>
      <c r="AF1439" s="46"/>
      <c r="AG1439" s="46"/>
      <c r="AH1439" s="46"/>
      <c r="AI1439" s="46"/>
      <c r="AJ1439" s="46"/>
      <c r="AK1439" s="46"/>
      <c r="AL1439" s="46"/>
      <c r="AM1439" s="46"/>
      <c r="AN1439" s="46"/>
    </row>
    <row r="1440" spans="21:40" ht="12.75" customHeight="1" x14ac:dyDescent="0.2">
      <c r="U1440" s="46"/>
      <c r="V1440" s="46"/>
      <c r="W1440" s="46"/>
      <c r="X1440" s="46"/>
      <c r="Y1440" s="46"/>
      <c r="Z1440" s="46"/>
      <c r="AA1440" s="46"/>
      <c r="AB1440" s="46"/>
      <c r="AC1440" s="46"/>
      <c r="AD1440" s="46"/>
      <c r="AE1440" s="46"/>
      <c r="AF1440" s="46"/>
      <c r="AG1440" s="46"/>
      <c r="AH1440" s="46"/>
      <c r="AI1440" s="46"/>
      <c r="AJ1440" s="46"/>
      <c r="AK1440" s="46"/>
      <c r="AL1440" s="46"/>
      <c r="AM1440" s="46"/>
      <c r="AN1440" s="46"/>
    </row>
    <row r="1441" spans="21:40" ht="12.75" customHeight="1" x14ac:dyDescent="0.2">
      <c r="U1441" s="46"/>
      <c r="V1441" s="46"/>
      <c r="W1441" s="46"/>
      <c r="X1441" s="46"/>
      <c r="Y1441" s="46"/>
      <c r="Z1441" s="46"/>
      <c r="AA1441" s="46"/>
      <c r="AB1441" s="46"/>
      <c r="AC1441" s="46"/>
      <c r="AD1441" s="46"/>
      <c r="AE1441" s="46"/>
      <c r="AF1441" s="46"/>
      <c r="AG1441" s="46"/>
      <c r="AH1441" s="46"/>
      <c r="AI1441" s="46"/>
      <c r="AJ1441" s="46"/>
      <c r="AK1441" s="46"/>
      <c r="AL1441" s="46"/>
      <c r="AM1441" s="46"/>
      <c r="AN1441" s="46"/>
    </row>
    <row r="1442" spans="21:40" ht="12.75" customHeight="1" x14ac:dyDescent="0.2">
      <c r="U1442" s="46"/>
      <c r="V1442" s="46"/>
      <c r="W1442" s="46"/>
      <c r="X1442" s="46"/>
      <c r="Y1442" s="46"/>
      <c r="Z1442" s="46"/>
      <c r="AA1442" s="46"/>
      <c r="AB1442" s="46"/>
      <c r="AC1442" s="46"/>
      <c r="AD1442" s="46"/>
      <c r="AE1442" s="46"/>
      <c r="AF1442" s="46"/>
      <c r="AG1442" s="46"/>
      <c r="AH1442" s="46"/>
      <c r="AI1442" s="46"/>
      <c r="AJ1442" s="46"/>
      <c r="AK1442" s="46"/>
      <c r="AL1442" s="46"/>
      <c r="AM1442" s="46"/>
      <c r="AN1442" s="46"/>
    </row>
    <row r="1443" spans="21:40" ht="12.75" customHeight="1" x14ac:dyDescent="0.2">
      <c r="U1443" s="46"/>
      <c r="V1443" s="46"/>
      <c r="W1443" s="46"/>
      <c r="X1443" s="46"/>
      <c r="Y1443" s="46"/>
      <c r="Z1443" s="46"/>
      <c r="AA1443" s="46"/>
      <c r="AB1443" s="46"/>
      <c r="AC1443" s="46"/>
      <c r="AD1443" s="46"/>
      <c r="AE1443" s="46"/>
      <c r="AF1443" s="46"/>
      <c r="AG1443" s="46"/>
      <c r="AH1443" s="52"/>
      <c r="AI1443" s="57"/>
      <c r="AJ1443" s="60"/>
      <c r="AK1443" s="60"/>
      <c r="AL1443" s="52"/>
      <c r="AM1443" s="88"/>
      <c r="AN1443" s="57"/>
    </row>
    <row r="1444" spans="21:40" ht="12.75" customHeight="1" thickBot="1" x14ac:dyDescent="0.25">
      <c r="U1444" s="360"/>
      <c r="V1444" s="375"/>
      <c r="W1444" s="454"/>
      <c r="X1444" s="454"/>
      <c r="Y1444" s="65"/>
      <c r="Z1444" s="454"/>
      <c r="AA1444" s="454"/>
      <c r="AB1444" s="46"/>
      <c r="AC1444" s="65"/>
      <c r="AD1444" s="57"/>
      <c r="AE1444" s="57"/>
      <c r="AF1444" s="60"/>
      <c r="AG1444" s="60"/>
      <c r="AH1444" s="52"/>
      <c r="AI1444" s="65"/>
      <c r="AJ1444" s="57"/>
      <c r="AK1444" s="65"/>
      <c r="AL1444" s="57"/>
      <c r="AM1444" s="57"/>
      <c r="AN1444" s="57"/>
    </row>
    <row r="1445" spans="21:40" ht="12.75" customHeight="1" x14ac:dyDescent="0.2">
      <c r="U1445" s="376"/>
      <c r="V1445" s="375"/>
      <c r="W1445" s="458"/>
      <c r="X1445" s="458"/>
      <c r="Y1445" s="65"/>
      <c r="Z1445" s="454"/>
      <c r="AA1445" s="454"/>
      <c r="AB1445" s="46"/>
      <c r="AC1445" s="49" t="s">
        <v>17</v>
      </c>
      <c r="AD1445" s="50" t="s">
        <v>32</v>
      </c>
      <c r="AE1445" s="51"/>
      <c r="AF1445" s="461" t="s">
        <v>41</v>
      </c>
      <c r="AG1445" s="462"/>
      <c r="AH1445" s="52"/>
      <c r="AI1445" s="49" t="s">
        <v>17</v>
      </c>
      <c r="AJ1445" s="50" t="s">
        <v>32</v>
      </c>
      <c r="AK1445" s="53"/>
      <c r="AL1445" s="452" t="s">
        <v>42</v>
      </c>
      <c r="AM1445" s="453"/>
      <c r="AN1445" s="54" t="s">
        <v>43</v>
      </c>
    </row>
    <row r="1446" spans="21:40" ht="12.75" customHeight="1" x14ac:dyDescent="0.2">
      <c r="U1446" s="377"/>
      <c r="V1446" s="375"/>
      <c r="W1446" s="360"/>
      <c r="X1446" s="360"/>
      <c r="Y1446" s="65"/>
      <c r="Z1446" s="454"/>
      <c r="AA1446" s="454"/>
      <c r="AB1446" s="46"/>
      <c r="AC1446" s="58"/>
      <c r="AD1446" s="59"/>
      <c r="AE1446" s="57"/>
      <c r="AF1446" s="60" t="s">
        <v>46</v>
      </c>
      <c r="AG1446" s="61" t="s">
        <v>47</v>
      </c>
      <c r="AH1446" s="52"/>
      <c r="AI1446" s="58"/>
      <c r="AJ1446" s="59"/>
      <c r="AK1446" s="57"/>
      <c r="AL1446" s="57" t="s">
        <v>46</v>
      </c>
      <c r="AM1446" s="62" t="s">
        <v>47</v>
      </c>
      <c r="AN1446" s="63"/>
    </row>
    <row r="1447" spans="21:40" ht="12.75" customHeight="1" x14ac:dyDescent="0.2">
      <c r="U1447" s="65"/>
      <c r="V1447" s="375"/>
      <c r="W1447" s="360"/>
      <c r="X1447" s="360"/>
      <c r="Y1447" s="65"/>
      <c r="Z1447" s="360"/>
      <c r="AA1447" s="360"/>
      <c r="AB1447" s="46"/>
      <c r="AC1447" s="68"/>
      <c r="AD1447" s="69"/>
      <c r="AE1447" s="70"/>
      <c r="AF1447" s="76"/>
      <c r="AG1447" s="77"/>
      <c r="AH1447" s="65"/>
      <c r="AI1447" s="68"/>
      <c r="AJ1447" s="69"/>
      <c r="AK1447" s="70"/>
      <c r="AL1447" s="71"/>
      <c r="AM1447" s="72"/>
      <c r="AN1447" s="73"/>
    </row>
    <row r="1448" spans="21:40" ht="12.75" customHeight="1" x14ac:dyDescent="0.2">
      <c r="U1448" s="376"/>
      <c r="V1448" s="375"/>
      <c r="W1448" s="79"/>
      <c r="X1448" s="360"/>
      <c r="Y1448" s="65"/>
      <c r="Z1448" s="360"/>
      <c r="AA1448" s="360"/>
      <c r="AB1448" s="46"/>
      <c r="AC1448" s="78" t="s">
        <v>50</v>
      </c>
      <c r="AD1448" s="59">
        <v>15</v>
      </c>
      <c r="AE1448" s="65"/>
      <c r="AF1448" s="60">
        <f>AP!$G$44+30*(100-AP!$G$44)/30</f>
        <v>100</v>
      </c>
      <c r="AG1448" s="61">
        <f t="shared" ref="AG1448:AG1459" si="132">AF1449+0.1</f>
        <v>94.1</v>
      </c>
      <c r="AH1448" s="65"/>
      <c r="AI1448" s="78" t="s">
        <v>50</v>
      </c>
      <c r="AJ1448" s="59">
        <v>15</v>
      </c>
      <c r="AK1448" s="65"/>
      <c r="AL1448" s="79">
        <f>AP!$C$44</f>
        <v>100</v>
      </c>
      <c r="AM1448" s="62">
        <f t="shared" ref="AM1448:AM1461" si="133">AL1449+1</f>
        <v>95</v>
      </c>
      <c r="AN1448" s="63">
        <f t="shared" ref="AN1448:AN1462" si="134">IF(AM1448&gt;AL1448,"ALARM",AL1448-AL1449)</f>
        <v>6</v>
      </c>
    </row>
    <row r="1449" spans="21:40" ht="12.75" customHeight="1" x14ac:dyDescent="0.2">
      <c r="U1449" s="376"/>
      <c r="V1449" s="375"/>
      <c r="W1449" s="360"/>
      <c r="X1449" s="360"/>
      <c r="Y1449" s="65"/>
      <c r="Z1449" s="360"/>
      <c r="AA1449" s="360"/>
      <c r="AB1449" s="46"/>
      <c r="AC1449" s="58">
        <v>1</v>
      </c>
      <c r="AD1449" s="59">
        <v>14</v>
      </c>
      <c r="AE1449" s="65"/>
      <c r="AF1449" s="60">
        <f>AP!$G$44+27*(100-AP!$G$44)/30</f>
        <v>94</v>
      </c>
      <c r="AG1449" s="61">
        <f t="shared" si="132"/>
        <v>88.1</v>
      </c>
      <c r="AH1449" s="65"/>
      <c r="AI1449" s="58">
        <v>1</v>
      </c>
      <c r="AJ1449" s="59">
        <v>14</v>
      </c>
      <c r="AK1449" s="65"/>
      <c r="AL1449" s="57">
        <f>ROUNDDOWN(AP!$C$44*AF1449/100,0)</f>
        <v>94</v>
      </c>
      <c r="AM1449" s="62">
        <f t="shared" si="133"/>
        <v>89</v>
      </c>
      <c r="AN1449" s="63">
        <f t="shared" si="134"/>
        <v>6</v>
      </c>
    </row>
    <row r="1450" spans="21:40" ht="12.75" customHeight="1" x14ac:dyDescent="0.2">
      <c r="U1450" s="376"/>
      <c r="V1450" s="375"/>
      <c r="W1450" s="360"/>
      <c r="X1450" s="360"/>
      <c r="Y1450" s="65"/>
      <c r="Z1450" s="360"/>
      <c r="AA1450" s="360"/>
      <c r="AB1450" s="46"/>
      <c r="AC1450" s="81" t="s">
        <v>22</v>
      </c>
      <c r="AD1450" s="69">
        <v>13</v>
      </c>
      <c r="AE1450" s="70"/>
      <c r="AF1450" s="82">
        <f>AP!$G$44+24*(100-AP!$G$44)/30</f>
        <v>88</v>
      </c>
      <c r="AG1450" s="83">
        <f t="shared" si="132"/>
        <v>82.1</v>
      </c>
      <c r="AH1450" s="65"/>
      <c r="AI1450" s="81" t="s">
        <v>22</v>
      </c>
      <c r="AJ1450" s="69">
        <v>13</v>
      </c>
      <c r="AK1450" s="70"/>
      <c r="AL1450" s="71">
        <f>ROUNDDOWN(AP!$C$44*AF1450/100,0)</f>
        <v>88</v>
      </c>
      <c r="AM1450" s="72">
        <f t="shared" si="133"/>
        <v>83</v>
      </c>
      <c r="AN1450" s="73">
        <f t="shared" si="134"/>
        <v>6</v>
      </c>
    </row>
    <row r="1451" spans="21:40" ht="12.75" customHeight="1" x14ac:dyDescent="0.2">
      <c r="U1451" s="376"/>
      <c r="V1451" s="375"/>
      <c r="W1451" s="360"/>
      <c r="X1451" s="360"/>
      <c r="Y1451" s="65"/>
      <c r="Z1451" s="360"/>
      <c r="AA1451" s="360"/>
      <c r="AB1451" s="46"/>
      <c r="AC1451" s="78" t="s">
        <v>50</v>
      </c>
      <c r="AD1451" s="59">
        <v>12</v>
      </c>
      <c r="AE1451" s="65"/>
      <c r="AF1451" s="60">
        <f>AP!$G$44+21*(100-AP!$G$44)/30</f>
        <v>82</v>
      </c>
      <c r="AG1451" s="61">
        <f t="shared" si="132"/>
        <v>76.099999999999994</v>
      </c>
      <c r="AH1451" s="65"/>
      <c r="AI1451" s="78" t="s">
        <v>50</v>
      </c>
      <c r="AJ1451" s="59">
        <v>12</v>
      </c>
      <c r="AK1451" s="65"/>
      <c r="AL1451" s="57">
        <f>ROUNDDOWN(AP!$C$44*AF1451/100,0)</f>
        <v>82</v>
      </c>
      <c r="AM1451" s="62">
        <f t="shared" si="133"/>
        <v>77</v>
      </c>
      <c r="AN1451" s="63">
        <f t="shared" si="134"/>
        <v>6</v>
      </c>
    </row>
    <row r="1452" spans="21:40" ht="12.75" customHeight="1" x14ac:dyDescent="0.2">
      <c r="U1452" s="376"/>
      <c r="V1452" s="375"/>
      <c r="W1452" s="360"/>
      <c r="X1452" s="360"/>
      <c r="Y1452" s="65"/>
      <c r="Z1452" s="360"/>
      <c r="AA1452" s="360"/>
      <c r="AB1452" s="46"/>
      <c r="AC1452" s="58">
        <v>2</v>
      </c>
      <c r="AD1452" s="59">
        <v>11</v>
      </c>
      <c r="AE1452" s="65"/>
      <c r="AF1452" s="60">
        <f>AP!$G$44+18*(100-AP!$G$44)/30</f>
        <v>76</v>
      </c>
      <c r="AG1452" s="61">
        <f t="shared" si="132"/>
        <v>70.099999999999994</v>
      </c>
      <c r="AH1452" s="65"/>
      <c r="AI1452" s="58">
        <v>2</v>
      </c>
      <c r="AJ1452" s="59">
        <v>11</v>
      </c>
      <c r="AK1452" s="65"/>
      <c r="AL1452" s="57">
        <f>ROUNDDOWN(AP!$C$44*AF1452/100,0)</f>
        <v>76</v>
      </c>
      <c r="AM1452" s="62">
        <f t="shared" si="133"/>
        <v>71</v>
      </c>
      <c r="AN1452" s="63">
        <f t="shared" si="134"/>
        <v>6</v>
      </c>
    </row>
    <row r="1453" spans="21:40" ht="12.75" customHeight="1" x14ac:dyDescent="0.2">
      <c r="U1453" s="376"/>
      <c r="V1453" s="375"/>
      <c r="W1453" s="360"/>
      <c r="X1453" s="360"/>
      <c r="Y1453" s="65"/>
      <c r="Z1453" s="360"/>
      <c r="AA1453" s="360"/>
      <c r="AB1453" s="46"/>
      <c r="AC1453" s="81" t="s">
        <v>22</v>
      </c>
      <c r="AD1453" s="69">
        <v>10</v>
      </c>
      <c r="AE1453" s="70"/>
      <c r="AF1453" s="82">
        <f>AP!$G$44+15*(100-AP!$G$44)/30</f>
        <v>70</v>
      </c>
      <c r="AG1453" s="83">
        <f t="shared" si="132"/>
        <v>64.099999999999994</v>
      </c>
      <c r="AH1453" s="65"/>
      <c r="AI1453" s="81" t="s">
        <v>22</v>
      </c>
      <c r="AJ1453" s="69">
        <v>10</v>
      </c>
      <c r="AK1453" s="70"/>
      <c r="AL1453" s="71">
        <f>ROUNDDOWN(AP!$C$44*AF1453/100,0)</f>
        <v>70</v>
      </c>
      <c r="AM1453" s="72">
        <f t="shared" si="133"/>
        <v>65</v>
      </c>
      <c r="AN1453" s="73">
        <f t="shared" si="134"/>
        <v>6</v>
      </c>
    </row>
    <row r="1454" spans="21:40" ht="12.75" customHeight="1" x14ac:dyDescent="0.2">
      <c r="U1454" s="376"/>
      <c r="V1454" s="375"/>
      <c r="W1454" s="360"/>
      <c r="X1454" s="360"/>
      <c r="Y1454" s="65"/>
      <c r="Z1454" s="360"/>
      <c r="AA1454" s="360"/>
      <c r="AB1454" s="46"/>
      <c r="AC1454" s="78" t="s">
        <v>50</v>
      </c>
      <c r="AD1454" s="59">
        <v>9</v>
      </c>
      <c r="AE1454" s="65"/>
      <c r="AF1454" s="60">
        <f>AP!$G$44+12*(100-AP!$G$44)/30</f>
        <v>64</v>
      </c>
      <c r="AG1454" s="61">
        <f t="shared" si="132"/>
        <v>60.1</v>
      </c>
      <c r="AH1454" s="65"/>
      <c r="AI1454" s="78" t="s">
        <v>50</v>
      </c>
      <c r="AJ1454" s="59">
        <v>9</v>
      </c>
      <c r="AK1454" s="65"/>
      <c r="AL1454" s="57">
        <f>ROUNDDOWN(AP!$C$44*AF1454/100,0)</f>
        <v>64</v>
      </c>
      <c r="AM1454" s="62">
        <f t="shared" si="133"/>
        <v>61</v>
      </c>
      <c r="AN1454" s="63">
        <f t="shared" si="134"/>
        <v>4</v>
      </c>
    </row>
    <row r="1455" spans="21:40" ht="12.75" customHeight="1" x14ac:dyDescent="0.2">
      <c r="U1455" s="376"/>
      <c r="V1455" s="375"/>
      <c r="W1455" s="360"/>
      <c r="X1455" s="360"/>
      <c r="Y1455" s="65"/>
      <c r="Z1455" s="360"/>
      <c r="AA1455" s="360"/>
      <c r="AB1455" s="46"/>
      <c r="AC1455" s="58">
        <v>3</v>
      </c>
      <c r="AD1455" s="59">
        <v>8</v>
      </c>
      <c r="AE1455" s="65"/>
      <c r="AF1455" s="60">
        <f>AP!$G$44+10*(100-AP!$G$44)/30</f>
        <v>60</v>
      </c>
      <c r="AG1455" s="61">
        <f t="shared" si="132"/>
        <v>56.1</v>
      </c>
      <c r="AH1455" s="65"/>
      <c r="AI1455" s="58">
        <v>3</v>
      </c>
      <c r="AJ1455" s="59">
        <v>8</v>
      </c>
      <c r="AK1455" s="65"/>
      <c r="AL1455" s="57">
        <f>ROUNDDOWN(AP!$C$44*AF1455/100,0)</f>
        <v>60</v>
      </c>
      <c r="AM1455" s="62">
        <f t="shared" si="133"/>
        <v>57</v>
      </c>
      <c r="AN1455" s="63">
        <f t="shared" si="134"/>
        <v>4</v>
      </c>
    </row>
    <row r="1456" spans="21:40" ht="12.75" customHeight="1" x14ac:dyDescent="0.2">
      <c r="U1456" s="376"/>
      <c r="V1456" s="375"/>
      <c r="W1456" s="360"/>
      <c r="X1456" s="360"/>
      <c r="Y1456" s="65"/>
      <c r="Z1456" s="360"/>
      <c r="AA1456" s="360"/>
      <c r="AB1456" s="46"/>
      <c r="AC1456" s="81" t="s">
        <v>22</v>
      </c>
      <c r="AD1456" s="69">
        <v>7</v>
      </c>
      <c r="AE1456" s="70"/>
      <c r="AF1456" s="82">
        <f>AP!$G$44+8*(100-AP!$G$44)/30</f>
        <v>56</v>
      </c>
      <c r="AG1456" s="83">
        <f t="shared" si="132"/>
        <v>52.1</v>
      </c>
      <c r="AH1456" s="65"/>
      <c r="AI1456" s="81" t="s">
        <v>22</v>
      </c>
      <c r="AJ1456" s="69">
        <v>7</v>
      </c>
      <c r="AK1456" s="70"/>
      <c r="AL1456" s="71">
        <f>ROUNDDOWN(AP!$C$44*AF1456/100,0)</f>
        <v>56</v>
      </c>
      <c r="AM1456" s="72">
        <f t="shared" si="133"/>
        <v>53</v>
      </c>
      <c r="AN1456" s="73">
        <f t="shared" si="134"/>
        <v>4</v>
      </c>
    </row>
    <row r="1457" spans="21:40" ht="12.75" customHeight="1" x14ac:dyDescent="0.2">
      <c r="U1457" s="376"/>
      <c r="V1457" s="375"/>
      <c r="W1457" s="360"/>
      <c r="X1457" s="360"/>
      <c r="Y1457" s="65"/>
      <c r="Z1457" s="360"/>
      <c r="AA1457" s="360"/>
      <c r="AB1457" s="46"/>
      <c r="AC1457" s="78" t="s">
        <v>50</v>
      </c>
      <c r="AD1457" s="59">
        <v>6</v>
      </c>
      <c r="AE1457" s="65"/>
      <c r="AF1457" s="60">
        <f>AP!$G$44+6*(100-AP!$G$44)/30</f>
        <v>52</v>
      </c>
      <c r="AG1457" s="61">
        <f t="shared" si="132"/>
        <v>48.1</v>
      </c>
      <c r="AH1457" s="65"/>
      <c r="AI1457" s="78" t="s">
        <v>50</v>
      </c>
      <c r="AJ1457" s="59">
        <v>6</v>
      </c>
      <c r="AK1457" s="65"/>
      <c r="AL1457" s="57">
        <f>ROUNDDOWN(AP!$C$44*AF1457/100,0)</f>
        <v>52</v>
      </c>
      <c r="AM1457" s="62">
        <f t="shared" si="133"/>
        <v>49</v>
      </c>
      <c r="AN1457" s="63">
        <f t="shared" si="134"/>
        <v>4</v>
      </c>
    </row>
    <row r="1458" spans="21:40" ht="12.75" customHeight="1" x14ac:dyDescent="0.2">
      <c r="U1458" s="376"/>
      <c r="V1458" s="375"/>
      <c r="W1458" s="360"/>
      <c r="X1458" s="360"/>
      <c r="Y1458" s="65"/>
      <c r="Z1458" s="360"/>
      <c r="AA1458" s="360"/>
      <c r="AB1458" s="46"/>
      <c r="AC1458" s="58">
        <v>4</v>
      </c>
      <c r="AD1458" s="59">
        <v>5</v>
      </c>
      <c r="AE1458" s="65"/>
      <c r="AF1458" s="60">
        <f>AP!$G$44+4*(100-AP!$G$44)/30</f>
        <v>48</v>
      </c>
      <c r="AG1458" s="61">
        <f t="shared" si="132"/>
        <v>44.1</v>
      </c>
      <c r="AH1458" s="65"/>
      <c r="AI1458" s="58">
        <v>4</v>
      </c>
      <c r="AJ1458" s="59">
        <v>5</v>
      </c>
      <c r="AK1458" s="65"/>
      <c r="AL1458" s="57">
        <f>ROUNDDOWN(AP!$C$44*AF1458/100,0)</f>
        <v>48</v>
      </c>
      <c r="AM1458" s="62">
        <f t="shared" si="133"/>
        <v>45</v>
      </c>
      <c r="AN1458" s="63">
        <f t="shared" si="134"/>
        <v>4</v>
      </c>
    </row>
    <row r="1459" spans="21:40" ht="12.75" customHeight="1" x14ac:dyDescent="0.2">
      <c r="U1459" s="376"/>
      <c r="V1459" s="375"/>
      <c r="W1459" s="360"/>
      <c r="X1459" s="360"/>
      <c r="Y1459" s="65"/>
      <c r="Z1459" s="360"/>
      <c r="AA1459" s="360"/>
      <c r="AB1459" s="46"/>
      <c r="AC1459" s="81" t="s">
        <v>22</v>
      </c>
      <c r="AD1459" s="69">
        <v>4</v>
      </c>
      <c r="AE1459" s="70"/>
      <c r="AF1459" s="82">
        <f>AP!$G$44+2*(100-AP!$G$44)/30</f>
        <v>44</v>
      </c>
      <c r="AG1459" s="83">
        <f t="shared" si="132"/>
        <v>40.1</v>
      </c>
      <c r="AH1459" s="65"/>
      <c r="AI1459" s="81" t="s">
        <v>22</v>
      </c>
      <c r="AJ1459" s="69">
        <v>4</v>
      </c>
      <c r="AK1459" s="70"/>
      <c r="AL1459" s="71">
        <f>ROUNDDOWN(AP!$C$44*AF1459/100,0)</f>
        <v>44</v>
      </c>
      <c r="AM1459" s="72">
        <f t="shared" si="133"/>
        <v>41</v>
      </c>
      <c r="AN1459" s="73">
        <f t="shared" si="134"/>
        <v>4</v>
      </c>
    </row>
    <row r="1460" spans="21:40" ht="12.75" customHeight="1" x14ac:dyDescent="0.2">
      <c r="U1460" s="376"/>
      <c r="V1460" s="375"/>
      <c r="W1460" s="360"/>
      <c r="X1460" s="360"/>
      <c r="Y1460" s="65"/>
      <c r="Z1460" s="360"/>
      <c r="AA1460" s="360"/>
      <c r="AB1460" s="46"/>
      <c r="AC1460" s="78" t="s">
        <v>50</v>
      </c>
      <c r="AD1460" s="59">
        <v>3</v>
      </c>
      <c r="AE1460" s="65"/>
      <c r="AF1460" s="60">
        <f>AP!$G$44</f>
        <v>40</v>
      </c>
      <c r="AG1460" s="61">
        <f>AF1461+0.01</f>
        <v>33.343333333333334</v>
      </c>
      <c r="AH1460" s="65"/>
      <c r="AI1460" s="78" t="s">
        <v>50</v>
      </c>
      <c r="AJ1460" s="59">
        <v>3</v>
      </c>
      <c r="AK1460" s="65"/>
      <c r="AL1460" s="57">
        <f>ROUNDDOWN(AP!$C$44*AF1460/100,0)</f>
        <v>40</v>
      </c>
      <c r="AM1460" s="62">
        <f t="shared" si="133"/>
        <v>34</v>
      </c>
      <c r="AN1460" s="63">
        <f t="shared" si="134"/>
        <v>7</v>
      </c>
    </row>
    <row r="1461" spans="21:40" ht="12.75" customHeight="1" x14ac:dyDescent="0.2">
      <c r="U1461" s="376"/>
      <c r="V1461" s="375"/>
      <c r="W1461" s="360"/>
      <c r="X1461" s="360"/>
      <c r="Y1461" s="65"/>
      <c r="Z1461" s="360"/>
      <c r="AA1461" s="360"/>
      <c r="AB1461" s="46"/>
      <c r="AC1461" s="58">
        <v>5</v>
      </c>
      <c r="AD1461" s="59">
        <v>2</v>
      </c>
      <c r="AE1461" s="65"/>
      <c r="AF1461" s="60">
        <f>AG1462+2*(AF1460-AG1462)/3</f>
        <v>33.333333333333336</v>
      </c>
      <c r="AG1461" s="61">
        <f>AF1462+0.01</f>
        <v>26.676666666666669</v>
      </c>
      <c r="AH1461" s="65"/>
      <c r="AI1461" s="58">
        <v>5</v>
      </c>
      <c r="AJ1461" s="59">
        <v>2</v>
      </c>
      <c r="AK1461" s="65"/>
      <c r="AL1461" s="57">
        <f>ROUNDDOWN(AP!$C$44*AF1461/100,0)</f>
        <v>33</v>
      </c>
      <c r="AM1461" s="62">
        <f t="shared" si="133"/>
        <v>27</v>
      </c>
      <c r="AN1461" s="63">
        <f t="shared" si="134"/>
        <v>7</v>
      </c>
    </row>
    <row r="1462" spans="21:40" ht="12.75" customHeight="1" x14ac:dyDescent="0.2">
      <c r="U1462" s="376"/>
      <c r="V1462" s="375"/>
      <c r="W1462" s="360"/>
      <c r="X1462" s="375"/>
      <c r="Y1462" s="65"/>
      <c r="Z1462" s="360"/>
      <c r="AA1462" s="360"/>
      <c r="AB1462" s="46"/>
      <c r="AC1462" s="81" t="s">
        <v>22</v>
      </c>
      <c r="AD1462" s="69">
        <v>1</v>
      </c>
      <c r="AE1462" s="70"/>
      <c r="AF1462" s="82">
        <f>AG1462+(AF1460-AG1462)/3</f>
        <v>26.666666666666668</v>
      </c>
      <c r="AG1462" s="83">
        <f>AP!$E$44</f>
        <v>20</v>
      </c>
      <c r="AH1462" s="65"/>
      <c r="AI1462" s="81" t="s">
        <v>22</v>
      </c>
      <c r="AJ1462" s="69">
        <v>1</v>
      </c>
      <c r="AK1462" s="70"/>
      <c r="AL1462" s="71">
        <f>ROUNDDOWN(AP!$C$44*AF1462/100,0)</f>
        <v>26</v>
      </c>
      <c r="AM1462" s="72">
        <f>ROUNDUP(AP!$C$44*(AP!$E$44/100),0)</f>
        <v>20</v>
      </c>
      <c r="AN1462" s="73">
        <f t="shared" si="134"/>
        <v>7</v>
      </c>
    </row>
    <row r="1463" spans="21:40" ht="12.75" customHeight="1" thickBot="1" x14ac:dyDescent="0.25">
      <c r="U1463" s="375"/>
      <c r="V1463" s="375"/>
      <c r="W1463" s="360"/>
      <c r="X1463" s="360"/>
      <c r="Y1463" s="65"/>
      <c r="Z1463" s="360"/>
      <c r="AA1463" s="360"/>
      <c r="AB1463" s="46"/>
      <c r="AC1463" s="89">
        <v>6</v>
      </c>
      <c r="AD1463" s="90">
        <v>0</v>
      </c>
      <c r="AE1463" s="91"/>
      <c r="AF1463" s="96">
        <f>AP!$E$44-0.1</f>
        <v>19.899999999999999</v>
      </c>
      <c r="AG1463" s="97">
        <v>0</v>
      </c>
      <c r="AH1463" s="65"/>
      <c r="AI1463" s="89">
        <v>6</v>
      </c>
      <c r="AJ1463" s="90">
        <v>0</v>
      </c>
      <c r="AK1463" s="91"/>
      <c r="AL1463" s="92">
        <f>AM1462-1</f>
        <v>19</v>
      </c>
      <c r="AM1463" s="93">
        <v>0</v>
      </c>
      <c r="AN1463" s="94">
        <f>IF(AM1463&gt;AM1462,"ALARM",AL1463+1)</f>
        <v>20</v>
      </c>
    </row>
    <row r="1464" spans="21:40" ht="12.75" customHeight="1" x14ac:dyDescent="0.2">
      <c r="U1464" s="46"/>
      <c r="V1464" s="46"/>
      <c r="W1464" s="46"/>
      <c r="X1464" s="46"/>
      <c r="Y1464" s="46"/>
      <c r="Z1464" s="46"/>
      <c r="AA1464" s="46"/>
      <c r="AB1464" s="46"/>
      <c r="AC1464" s="46"/>
      <c r="AD1464" s="46"/>
      <c r="AE1464" s="46"/>
      <c r="AF1464" s="46"/>
      <c r="AG1464" s="46"/>
      <c r="AH1464" s="46"/>
      <c r="AI1464" s="46"/>
      <c r="AJ1464" s="46"/>
      <c r="AK1464" s="46"/>
      <c r="AL1464" s="46"/>
      <c r="AM1464" s="46"/>
      <c r="AN1464" s="46"/>
    </row>
    <row r="1465" spans="21:40" ht="12.75" customHeight="1" x14ac:dyDescent="0.2"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6"/>
      <c r="AF1465" s="46"/>
      <c r="AG1465" s="46"/>
      <c r="AH1465" s="46"/>
      <c r="AI1465" s="46"/>
      <c r="AJ1465" s="46"/>
      <c r="AK1465" s="46"/>
      <c r="AL1465" s="46"/>
      <c r="AM1465" s="46"/>
      <c r="AN1465" s="46"/>
    </row>
    <row r="1466" spans="21:40" ht="12.75" customHeight="1" x14ac:dyDescent="0.2">
      <c r="U1466" s="46"/>
      <c r="V1466" s="46"/>
      <c r="W1466" s="46"/>
      <c r="X1466" s="46"/>
      <c r="Y1466" s="46"/>
      <c r="Z1466" s="46"/>
      <c r="AA1466" s="46"/>
      <c r="AB1466" s="46"/>
      <c r="AC1466" s="46"/>
      <c r="AD1466" s="46"/>
      <c r="AE1466" s="46"/>
      <c r="AF1466" s="46"/>
      <c r="AG1466" s="46"/>
      <c r="AH1466" s="46"/>
      <c r="AI1466" s="46"/>
      <c r="AJ1466" s="46"/>
      <c r="AK1466" s="46"/>
      <c r="AL1466" s="46"/>
      <c r="AM1466" s="46"/>
      <c r="AN1466" s="46"/>
    </row>
    <row r="1467" spans="21:40" ht="12.75" customHeight="1" x14ac:dyDescent="0.2"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6"/>
      <c r="AF1467" s="46"/>
      <c r="AG1467" s="46"/>
      <c r="AH1467" s="46"/>
      <c r="AI1467" s="46"/>
      <c r="AJ1467" s="46"/>
      <c r="AK1467" s="46"/>
      <c r="AL1467" s="46"/>
      <c r="AM1467" s="46"/>
      <c r="AN1467" s="46"/>
    </row>
    <row r="1468" spans="21:40" ht="12.75" customHeight="1" x14ac:dyDescent="0.2">
      <c r="U1468" s="46"/>
      <c r="V1468" s="46"/>
      <c r="W1468" s="46"/>
      <c r="X1468" s="46"/>
      <c r="Y1468" s="46"/>
      <c r="Z1468" s="46"/>
      <c r="AA1468" s="46"/>
      <c r="AB1468" s="46"/>
      <c r="AC1468" s="46"/>
      <c r="AD1468" s="46"/>
      <c r="AE1468" s="46"/>
      <c r="AF1468" s="46"/>
      <c r="AG1468" s="46"/>
      <c r="AH1468" s="46"/>
      <c r="AI1468" s="46"/>
      <c r="AJ1468" s="46"/>
      <c r="AK1468" s="46"/>
      <c r="AL1468" s="46"/>
      <c r="AM1468" s="46"/>
      <c r="AN1468" s="46"/>
    </row>
    <row r="1469" spans="21:40" ht="12.75" customHeight="1" x14ac:dyDescent="0.2"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6"/>
      <c r="AF1469" s="46"/>
      <c r="AG1469" s="46"/>
      <c r="AH1469" s="46"/>
      <c r="AI1469" s="46"/>
      <c r="AJ1469" s="46"/>
      <c r="AK1469" s="46"/>
      <c r="AL1469" s="46"/>
      <c r="AM1469" s="46"/>
      <c r="AN1469" s="46"/>
    </row>
    <row r="1470" spans="21:40" ht="12.75" customHeight="1" x14ac:dyDescent="0.2">
      <c r="U1470" s="46"/>
      <c r="V1470" s="46"/>
      <c r="W1470" s="46"/>
      <c r="X1470" s="46"/>
      <c r="Y1470" s="46"/>
      <c r="Z1470" s="46"/>
      <c r="AA1470" s="46"/>
      <c r="AB1470" s="46"/>
      <c r="AC1470" s="46"/>
      <c r="AD1470" s="46"/>
      <c r="AE1470" s="46"/>
      <c r="AF1470" s="46"/>
      <c r="AG1470" s="46"/>
      <c r="AH1470" s="46"/>
      <c r="AI1470" s="46"/>
      <c r="AJ1470" s="46"/>
      <c r="AK1470" s="46"/>
      <c r="AL1470" s="46"/>
      <c r="AM1470" s="46"/>
      <c r="AN1470" s="46"/>
    </row>
    <row r="1471" spans="21:40" ht="12.75" customHeight="1" x14ac:dyDescent="0.2"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6"/>
      <c r="AF1471" s="46"/>
      <c r="AG1471" s="46"/>
      <c r="AH1471" s="46"/>
      <c r="AI1471" s="46"/>
      <c r="AJ1471" s="46"/>
      <c r="AK1471" s="46"/>
      <c r="AL1471" s="46"/>
      <c r="AM1471" s="46"/>
      <c r="AN1471" s="46"/>
    </row>
    <row r="1472" spans="21:40" ht="12.75" customHeight="1" x14ac:dyDescent="0.2">
      <c r="U1472" s="46"/>
      <c r="V1472" s="46"/>
      <c r="W1472" s="46"/>
      <c r="X1472" s="46"/>
      <c r="Y1472" s="46"/>
      <c r="Z1472" s="46"/>
      <c r="AA1472" s="46"/>
      <c r="AB1472" s="46"/>
      <c r="AC1472" s="46"/>
      <c r="AD1472" s="46"/>
      <c r="AE1472" s="46"/>
      <c r="AF1472" s="46"/>
      <c r="AG1472" s="46"/>
      <c r="AH1472" s="46"/>
      <c r="AI1472" s="46"/>
      <c r="AJ1472" s="46"/>
      <c r="AK1472" s="46"/>
      <c r="AL1472" s="46"/>
      <c r="AM1472" s="46"/>
      <c r="AN1472" s="46"/>
    </row>
    <row r="1473" spans="21:40" ht="12.75" customHeight="1" x14ac:dyDescent="0.2"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6"/>
      <c r="AF1473" s="46"/>
      <c r="AG1473" s="46"/>
      <c r="AH1473" s="46"/>
      <c r="AI1473" s="46"/>
      <c r="AJ1473" s="46"/>
      <c r="AK1473" s="46"/>
      <c r="AL1473" s="46"/>
      <c r="AM1473" s="46"/>
      <c r="AN1473" s="46"/>
    </row>
    <row r="1474" spans="21:40" ht="12.75" customHeight="1" x14ac:dyDescent="0.2">
      <c r="U1474" s="46"/>
      <c r="V1474" s="46"/>
      <c r="W1474" s="46"/>
      <c r="X1474" s="46"/>
      <c r="Y1474" s="46"/>
      <c r="Z1474" s="46"/>
      <c r="AA1474" s="46"/>
      <c r="AB1474" s="46"/>
      <c r="AC1474" s="46"/>
      <c r="AD1474" s="46"/>
      <c r="AE1474" s="46"/>
      <c r="AF1474" s="46"/>
      <c r="AG1474" s="46"/>
      <c r="AH1474" s="46"/>
      <c r="AI1474" s="46"/>
      <c r="AJ1474" s="46"/>
      <c r="AK1474" s="46"/>
      <c r="AL1474" s="46"/>
      <c r="AM1474" s="46"/>
      <c r="AN1474" s="46"/>
    </row>
    <row r="1475" spans="21:40" ht="12.75" customHeight="1" x14ac:dyDescent="0.2"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6"/>
      <c r="AF1475" s="46"/>
      <c r="AG1475" s="46"/>
      <c r="AH1475" s="46"/>
      <c r="AI1475" s="46"/>
      <c r="AJ1475" s="46"/>
      <c r="AK1475" s="46"/>
      <c r="AL1475" s="46"/>
      <c r="AM1475" s="46"/>
      <c r="AN1475" s="46"/>
    </row>
    <row r="1476" spans="21:40" ht="12.75" customHeight="1" x14ac:dyDescent="0.2">
      <c r="U1476" s="46"/>
      <c r="V1476" s="46"/>
      <c r="W1476" s="46"/>
      <c r="X1476" s="46"/>
      <c r="Y1476" s="46"/>
      <c r="Z1476" s="46"/>
      <c r="AA1476" s="46"/>
      <c r="AB1476" s="46"/>
      <c r="AC1476" s="46"/>
      <c r="AD1476" s="46"/>
      <c r="AE1476" s="46"/>
      <c r="AF1476" s="46"/>
      <c r="AG1476" s="46"/>
      <c r="AH1476" s="46"/>
      <c r="AI1476" s="46"/>
      <c r="AJ1476" s="46"/>
      <c r="AK1476" s="46"/>
      <c r="AL1476" s="46"/>
      <c r="AM1476" s="46"/>
      <c r="AN1476" s="46"/>
    </row>
  </sheetData>
  <sheetProtection formatCells="0" formatColumns="0" formatRows="0" selectLockedCells="1"/>
  <mergeCells count="229">
    <mergeCell ref="Z1446:AA1446"/>
    <mergeCell ref="W1444:X1444"/>
    <mergeCell ref="Z1444:AA1444"/>
    <mergeCell ref="W1445:X1445"/>
    <mergeCell ref="Z1445:AA1445"/>
    <mergeCell ref="AL1402:AM1402"/>
    <mergeCell ref="W1403:X1403"/>
    <mergeCell ref="Z1403:AA1403"/>
    <mergeCell ref="Z1404:AA1404"/>
    <mergeCell ref="W1402:X1402"/>
    <mergeCell ref="Y1402:Y1405"/>
    <mergeCell ref="Z1402:AA1402"/>
    <mergeCell ref="AF1402:AG1402"/>
    <mergeCell ref="AF1445:AG1445"/>
    <mergeCell ref="AL1445:AM1445"/>
    <mergeCell ref="Z1246:AA1246"/>
    <mergeCell ref="AF1202:AG1202"/>
    <mergeCell ref="Z1244:AA1244"/>
    <mergeCell ref="Y1202:Y1205"/>
    <mergeCell ref="AL1245:AM1245"/>
    <mergeCell ref="W1203:X1203"/>
    <mergeCell ref="Z1203:AA1203"/>
    <mergeCell ref="Z1204:AA1204"/>
    <mergeCell ref="W1244:X1244"/>
    <mergeCell ref="W1245:X1245"/>
    <mergeCell ref="Z1245:AA1245"/>
    <mergeCell ref="AF1245:AG1245"/>
    <mergeCell ref="Z1146:AA1146"/>
    <mergeCell ref="W1102:X1102"/>
    <mergeCell ref="AL1145:AM1145"/>
    <mergeCell ref="W1103:X1103"/>
    <mergeCell ref="Z1103:AA1103"/>
    <mergeCell ref="Z1104:AA1104"/>
    <mergeCell ref="W1144:X1144"/>
    <mergeCell ref="W1202:X1202"/>
    <mergeCell ref="Z1202:AA1202"/>
    <mergeCell ref="W1145:X1145"/>
    <mergeCell ref="Y1102:Y1105"/>
    <mergeCell ref="AL1202:AM1202"/>
    <mergeCell ref="Z1145:AA1145"/>
    <mergeCell ref="AF1145:AG1145"/>
    <mergeCell ref="Z1102:AA1102"/>
    <mergeCell ref="AF1102:AG1102"/>
    <mergeCell ref="Z1144:AA1144"/>
    <mergeCell ref="Z1045:AA1045"/>
    <mergeCell ref="AF1045:AG1045"/>
    <mergeCell ref="Z1046:AA1046"/>
    <mergeCell ref="AL1102:AM1102"/>
    <mergeCell ref="W1002:X1002"/>
    <mergeCell ref="AL1045:AM1045"/>
    <mergeCell ref="W1003:X1003"/>
    <mergeCell ref="Z1003:AA1003"/>
    <mergeCell ref="Z1004:AA1004"/>
    <mergeCell ref="W1044:X1044"/>
    <mergeCell ref="W1045:X1045"/>
    <mergeCell ref="Z1002:AA1002"/>
    <mergeCell ref="AF1002:AG1002"/>
    <mergeCell ref="Z1044:AA1044"/>
    <mergeCell ref="W844:X844"/>
    <mergeCell ref="Z844:AA844"/>
    <mergeCell ref="W845:X845"/>
    <mergeCell ref="Z845:AA845"/>
    <mergeCell ref="Z944:AA944"/>
    <mergeCell ref="AF845:AG845"/>
    <mergeCell ref="AL845:AM845"/>
    <mergeCell ref="Z846:AA846"/>
    <mergeCell ref="Y1002:Y1005"/>
    <mergeCell ref="W902:X902"/>
    <mergeCell ref="AL945:AM945"/>
    <mergeCell ref="W903:X903"/>
    <mergeCell ref="Z903:AA903"/>
    <mergeCell ref="Z904:AA904"/>
    <mergeCell ref="W944:X944"/>
    <mergeCell ref="W945:X945"/>
    <mergeCell ref="Z945:AA945"/>
    <mergeCell ref="AF902:AG902"/>
    <mergeCell ref="AF945:AG945"/>
    <mergeCell ref="Z902:AA902"/>
    <mergeCell ref="AL1002:AM1002"/>
    <mergeCell ref="AL902:AM902"/>
    <mergeCell ref="Z946:AA946"/>
    <mergeCell ref="Y902:Y905"/>
    <mergeCell ref="Z746:AA746"/>
    <mergeCell ref="W744:X744"/>
    <mergeCell ref="Z744:AA744"/>
    <mergeCell ref="AF745:AG745"/>
    <mergeCell ref="AL802:AM802"/>
    <mergeCell ref="W803:X803"/>
    <mergeCell ref="Z803:AA803"/>
    <mergeCell ref="AF802:AG802"/>
    <mergeCell ref="Z804:AA804"/>
    <mergeCell ref="W802:X802"/>
    <mergeCell ref="Y802:Y805"/>
    <mergeCell ref="Z802:AA802"/>
    <mergeCell ref="W702:X702"/>
    <mergeCell ref="Z702:AA702"/>
    <mergeCell ref="AL745:AM745"/>
    <mergeCell ref="W745:X745"/>
    <mergeCell ref="Z745:AA745"/>
    <mergeCell ref="AF702:AG702"/>
    <mergeCell ref="AL702:AM702"/>
    <mergeCell ref="Y702:Y705"/>
    <mergeCell ref="W703:X703"/>
    <mergeCell ref="Z703:AA703"/>
    <mergeCell ref="Z704:AA704"/>
    <mergeCell ref="W602:X602"/>
    <mergeCell ref="AL645:AM645"/>
    <mergeCell ref="W603:X603"/>
    <mergeCell ref="Z603:AA603"/>
    <mergeCell ref="Z604:AA604"/>
    <mergeCell ref="W644:X644"/>
    <mergeCell ref="W645:X645"/>
    <mergeCell ref="Z645:AA645"/>
    <mergeCell ref="AF645:AG645"/>
    <mergeCell ref="Z602:AA602"/>
    <mergeCell ref="Y602:Y605"/>
    <mergeCell ref="Z402:AA402"/>
    <mergeCell ref="AF402:AG402"/>
    <mergeCell ref="Z444:AA444"/>
    <mergeCell ref="Y502:Y505"/>
    <mergeCell ref="Z446:AA446"/>
    <mergeCell ref="Z644:AA644"/>
    <mergeCell ref="AL602:AM602"/>
    <mergeCell ref="Z646:AA646"/>
    <mergeCell ref="AL502:AM502"/>
    <mergeCell ref="Z546:AA546"/>
    <mergeCell ref="AF502:AG502"/>
    <mergeCell ref="Z544:AA544"/>
    <mergeCell ref="AL445:AM445"/>
    <mergeCell ref="W403:X403"/>
    <mergeCell ref="Z403:AA403"/>
    <mergeCell ref="Z404:AA404"/>
    <mergeCell ref="W444:X444"/>
    <mergeCell ref="W445:X445"/>
    <mergeCell ref="W502:X502"/>
    <mergeCell ref="AL545:AM545"/>
    <mergeCell ref="W503:X503"/>
    <mergeCell ref="Z503:AA503"/>
    <mergeCell ref="Z504:AA504"/>
    <mergeCell ref="W544:X544"/>
    <mergeCell ref="W545:X545"/>
    <mergeCell ref="Z545:AA545"/>
    <mergeCell ref="AF545:AG545"/>
    <mergeCell ref="Z502:AA502"/>
    <mergeCell ref="Z445:AA445"/>
    <mergeCell ref="AF445:AG445"/>
    <mergeCell ref="W402:X402"/>
    <mergeCell ref="AF602:AG602"/>
    <mergeCell ref="Y402:Y405"/>
    <mergeCell ref="AL402:AM402"/>
    <mergeCell ref="AL245:AM245"/>
    <mergeCell ref="W203:X203"/>
    <mergeCell ref="Z203:AA203"/>
    <mergeCell ref="Z204:AA204"/>
    <mergeCell ref="W244:X244"/>
    <mergeCell ref="W245:X245"/>
    <mergeCell ref="Z245:AA245"/>
    <mergeCell ref="AF302:AG302"/>
    <mergeCell ref="Z344:AA344"/>
    <mergeCell ref="W302:X302"/>
    <mergeCell ref="W303:X303"/>
    <mergeCell ref="W344:X344"/>
    <mergeCell ref="Z246:AA246"/>
    <mergeCell ref="Z345:AA345"/>
    <mergeCell ref="AF345:AG345"/>
    <mergeCell ref="AL302:AM302"/>
    <mergeCell ref="AF245:AG245"/>
    <mergeCell ref="AL345:AM345"/>
    <mergeCell ref="Z303:AA303"/>
    <mergeCell ref="Z304:AA304"/>
    <mergeCell ref="W345:X345"/>
    <mergeCell ref="Z302:AA302"/>
    <mergeCell ref="Z346:AA346"/>
    <mergeCell ref="AF145:AG145"/>
    <mergeCell ref="AL145:AM145"/>
    <mergeCell ref="AL102:AM102"/>
    <mergeCell ref="AF202:AG202"/>
    <mergeCell ref="Z244:AA244"/>
    <mergeCell ref="Y202:Y205"/>
    <mergeCell ref="Z144:AA144"/>
    <mergeCell ref="AL202:AM202"/>
    <mergeCell ref="W145:X145"/>
    <mergeCell ref="Z145:AA145"/>
    <mergeCell ref="Z146:AA146"/>
    <mergeCell ref="W144:X144"/>
    <mergeCell ref="W202:X202"/>
    <mergeCell ref="Z202:AA202"/>
    <mergeCell ref="Y302:Y305"/>
    <mergeCell ref="D4:E4"/>
    <mergeCell ref="F4:G4"/>
    <mergeCell ref="AF2:AG2"/>
    <mergeCell ref="Z104:AA104"/>
    <mergeCell ref="W102:X102"/>
    <mergeCell ref="Y102:Y105"/>
    <mergeCell ref="Z102:AA102"/>
    <mergeCell ref="W2:X2"/>
    <mergeCell ref="Z46:AA46"/>
    <mergeCell ref="W44:X44"/>
    <mergeCell ref="Z44:AA44"/>
    <mergeCell ref="AF102:AG102"/>
    <mergeCell ref="W103:X103"/>
    <mergeCell ref="Z103:AA103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AL1302:AM1302"/>
    <mergeCell ref="Z1346:AA1346"/>
    <mergeCell ref="W1302:X1302"/>
    <mergeCell ref="AL1345:AM1345"/>
    <mergeCell ref="W1303:X1303"/>
    <mergeCell ref="Z1303:AA1303"/>
    <mergeCell ref="Z1304:AA1304"/>
    <mergeCell ref="W1344:X1344"/>
    <mergeCell ref="W1345:X1345"/>
    <mergeCell ref="Z1345:AA1345"/>
    <mergeCell ref="AF1345:AG1345"/>
    <mergeCell ref="Z1302:AA1302"/>
    <mergeCell ref="Y1302:Y1305"/>
    <mergeCell ref="AF1302:AG1302"/>
    <mergeCell ref="Z1344:AA134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140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60</v>
      </c>
      <c r="C1" s="479" t="str">
        <f>IF(Notenbogen!F1="","",Notenbogen!F1)</f>
        <v/>
      </c>
      <c r="D1" s="479"/>
      <c r="E1" s="479"/>
      <c r="F1" s="229" t="s">
        <v>27</v>
      </c>
      <c r="G1" s="477"/>
      <c r="H1" s="478"/>
      <c r="I1" s="230"/>
      <c r="J1" s="230"/>
      <c r="K1" s="231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178"/>
      <c r="L2" s="179"/>
      <c r="M2" s="179"/>
      <c r="N2" s="179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178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IF(D4="","",IF($H$3="BE",LOOKUP(IF(E4="",D4+0.01,D4*$H$30/E4+0.5),NB!$X$24:$X$39,NB!$Y$24:$Y$39),D4))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178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IF(D5="","",IF($H$3="BE",LOOKUP(IF(E5="",D5+0.01,D5*$H$30/E5+0.5),NB!$X$24:$X$39,NB!$Y$24:$Y$39),D5))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178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IF(D6="","",IF($H$3="BE",LOOKUP(IF(E6="",D6+0.01,D6*$H$30/E6+0.5),NB!$X$24:$X$39,NB!$Y$24:$Y$39),D6))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178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IF(D7="","",IF($H$3="BE",LOOKUP(IF(E7="",D7+0.01,D7*$H$30/E7+0.5),NB!$X$24:$X$39,NB!$Y$24:$Y$39),D7))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12" si="2">IF(G$25="","",G7/G$25)</f>
        <v>#DIV/0!</v>
      </c>
      <c r="I7" s="227"/>
      <c r="J7" s="237" t="str">
        <f t="shared" ca="1" si="0"/>
        <v xml:space="preserve">, </v>
      </c>
      <c r="K7" s="178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IF(D8="","",IF($H$3="BE",LOOKUP(IF(E8="",D8+0.01,D8*$H$30/E8+0.5),NB!$X$24:$X$39,NB!$Y$24:$Y$39),D8))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178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IF(D9="","",IF($H$3="BE",LOOKUP(IF(E9="",D9+0.01,D9*$H$30/E9+0.5),NB!$X$24:$X$39,NB!$Y$24:$Y$39),D9))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178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IF(D10="","",IF($H$3="BE",LOOKUP(IF(E10="",D10+0.01,D10*$H$30/E10+0.5),NB!$X$24:$X$39,NB!$Y$24:$Y$39),D10))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178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IF(D11="","",IF($H$3="BE",LOOKUP(IF(E11="",D11+0.01,D11*$H$30/E11+0.5),NB!$X$24:$X$39,NB!$Y$24:$Y$39),D11))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178"/>
      <c r="L11" s="167"/>
      <c r="M11" s="167"/>
      <c r="N11" s="179"/>
    </row>
    <row r="12" spans="1:14" x14ac:dyDescent="0.2">
      <c r="A12" s="40">
        <v>9</v>
      </c>
      <c r="B12" s="214" t="str">
        <f ca="1">INDIRECT(ADDRESS(3+A12*2,2,,,"Notenbogen"))&amp;", "&amp;TRIM(INDIRECT(ADDRESS(4+A12*2,2,,,"Notenbogen")))</f>
        <v xml:space="preserve">, </v>
      </c>
      <c r="C12" s="223" t="str">
        <f>IF(D12="","",IF($H$3="BE",LOOKUP(IF(E12="",D12+0.01,D12*$H$30/E12+0.5),NB!$X$24:$X$39,NB!$Y$24:$Y$39),D12))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178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IF(D13="","",IF($H$3="BE",LOOKUP(IF(E13="",D13+0.01,D13*$H$30/E13+0.5),NB!$X$24:$X$39,NB!$Y$24:$Y$39),D13))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ref="H13:H22" si="4">IF(G$25="","",G13/G$25)</f>
        <v>#DIV/0!</v>
      </c>
      <c r="I13" s="227"/>
      <c r="J13" s="237" t="str">
        <f t="shared" ca="1" si="0"/>
        <v xml:space="preserve">, </v>
      </c>
      <c r="K13" s="178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IF(D14="","",IF($H$3="BE",LOOKUP(IF(E14="",D14+0.01,D14*$H$30/E14+0.5),NB!$X$24:$X$39,NB!$Y$24:$Y$39),D14))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4"/>
        <v>#DIV/0!</v>
      </c>
      <c r="I14" s="143" t="e">
        <f>+H13+H14+H15</f>
        <v>#DIV/0!</v>
      </c>
      <c r="J14" s="237" t="str">
        <f t="shared" ca="1" si="0"/>
        <v xml:space="preserve">, </v>
      </c>
      <c r="K14" s="178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IF(D15="","",IF($H$3="BE",LOOKUP(IF(E15="",D15+0.01,D15*$H$30/E15+0.5),NB!$X$24:$X$39,NB!$Y$24:$Y$39),D15))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4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ca="1">INDIRECT(ADDRESS(3+A16*2,2,,,"Notenbogen"))&amp;", "&amp;TRIM(INDIRECT(ADDRESS(4+A16*2,2,,,"Notenbogen")))</f>
        <v xml:space="preserve">, </v>
      </c>
      <c r="C16" s="223" t="str">
        <f>IF(D16="","",IF($H$3="BE",LOOKUP(IF(E16="",D16+0.01,D16*$H$30/E16+0.5),NB!$X$24:$X$39,NB!$Y$24:$Y$39),D16))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4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IF(D17="","",IF($H$3="BE",LOOKUP(IF(E17="",D17+0.01,D17*$H$30/E17+0.5),NB!$X$24:$X$39,NB!$Y$24:$Y$39),D17))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4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IF(D18="","",IF($H$3="BE",LOOKUP(IF(E18="",D18+0.01,D18*$H$30/E18+0.5),NB!$X$24:$X$39,NB!$Y$24:$Y$39),D18))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4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IF(D19="","",IF($H$3="BE",LOOKUP(IF(E19="",D19+0.01,D19*$H$30/E19+0.5),NB!$X$24:$X$39,NB!$Y$24:$Y$39),D19))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4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IF(D20="","",IF($H$3="BE",LOOKUP(IF(E20="",D20+0.01,D20*$H$30/E20+0.5),NB!$X$24:$X$39,NB!$Y$24:$Y$39),D20))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4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IF(D21="","",IF($H$3="BE",LOOKUP(IF(E21="",D21+0.01,D21*$H$30/E21+0.5),NB!$X$24:$X$39,NB!$Y$24:$Y$39),D21))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4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IF(D22="","",IF($H$3="BE",LOOKUP(IF(E22="",D22+0.01,D22*$H$30/E22+0.5),NB!$X$24:$X$39,NB!$Y$24:$Y$39),D22))</f>
        <v/>
      </c>
      <c r="D22" s="33"/>
      <c r="E22" s="142"/>
      <c r="F22" s="294">
        <v>0</v>
      </c>
      <c r="G22" s="295">
        <f t="shared" si="3"/>
        <v>0</v>
      </c>
      <c r="H22" s="296" t="e">
        <f t="shared" si="4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IF(D23="","",IF($H$3="BE",LOOKUP(IF(E23="",D23+0.01,D23*$H$30/E23+0.5),NB!$X$24:$X$39,NB!$Y$24:$Y$39),D23))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IF(D24="","",IF($H$3="BE",LOOKUP(IF(E24="",D24+0.01,D24*$H$30/E24+0.5),NB!$X$24:$X$39,NB!$Y$24:$Y$39),D24))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IF(D25="","",IF($H$3="BE",LOOKUP(IF(E25="",D25+0.01,D25*$H$30/E25+0.5),NB!$X$24:$X$39,NB!$Y$24:$Y$39),D25))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IF(D26="","",IF($H$3="BE",LOOKUP(IF(E26="",D26+0.01,D26*$H$30/E26+0.5),NB!$X$24:$X$39,NB!$Y$24:$Y$39),D26))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IF(D27="","",IF($H$3="BE",LOOKUP(IF(E27="",D27+0.01,D27*$H$30/E27+0.5),NB!$X$24:$X$39,NB!$Y$24:$Y$39),D27))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IF(D28="","",IF($H$3="BE",LOOKUP(IF(E28="",D28+0.01,D28*$H$30/E28+0.5),NB!$X$24:$X$39,NB!$Y$24:$Y$39),D28))</f>
        <v/>
      </c>
      <c r="D28" s="33"/>
      <c r="E28" s="142"/>
      <c r="F28" s="227"/>
      <c r="G28" s="227"/>
      <c r="H28" s="227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IF(D29="","",IF($H$3="BE",LOOKUP(IF(E29="",D29+0.01,D29*$H$30/E29+0.5),NB!$X$24:$X$39,NB!$Y$24:$Y$39),D29))</f>
        <v/>
      </c>
      <c r="D29" s="33"/>
      <c r="E29" s="142"/>
      <c r="F29" s="249" t="s">
        <v>34</v>
      </c>
      <c r="G29" s="227"/>
      <c r="H29" s="227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IF(D30="","",IF($H$3="BE",LOOKUP(IF(E30="",D30+0.01,D30*$H$30/E30+0.5),NB!$X$24:$X$39,NB!$Y$24:$Y$39),D30))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IF(D31="","",IF($H$3="BE",LOOKUP(IF(E31="",D31+0.01,D31*$H$30/E31+0.5),NB!$X$24:$X$39,NB!$Y$24:$Y$39),D31))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IF(D32="","",IF($H$3="BE",LOOKUP(IF(E32="",D32+0.01,D32*$H$30/E32+0.5),NB!$X$24:$X$39,NB!$Y$24:$Y$39),D32))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IF(D33="","",IF($H$3="BE",LOOKUP(IF(E33="",D33+0.01,D33*$H$30/E33+0.5),NB!$X$24:$X$39,NB!$Y$24:$Y$39),D33))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IF(D34="","",IF($H$3="BE",LOOKUP(IF(E34="",D34+0.01,D34*$H$30/E34+0.5),NB!$X$24:$X$39,NB!$Y$24:$Y$39),D34))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IF(D35="","",IF($H$3="BE",LOOKUP(IF(E35="",D35+0.01,D35*$H$30/E35+0.5),NB!$X$24:$X$39,NB!$Y$24:$Y$39),D35))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IF(D36="","",IF($H$3="BE",LOOKUP(IF(E36="",D36+0.01,D36*$H$30/E36+0.5),NB!$X$24:$X$39,NB!$Y$24:$Y$39),D36))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IF(D37="","",IF($H$3="BE",LOOKUP(IF(E37="",D37+0.01,D37*$H$30/E37+0.5),NB!$X$24:$X$39,NB!$Y$24:$Y$39),D37))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IF(D38="","",IF($H$3="BE",LOOKUP(IF(E38="",D38+0.01,D38*$H$30/E38+0.5),NB!$X$24:$X$39,NB!$Y$24:$Y$39),D38))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72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73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74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322"/>
      <c r="B43" s="315" t="str">
        <f>TEXT(NB!V6,"#0")&amp;"                      "&amp;TEXT(NB!Y6,"#0")&amp;"   "</f>
        <v xml:space="preserve">2                      15   </v>
      </c>
      <c r="C43" s="387">
        <f>+NB!W6</f>
        <v>40</v>
      </c>
      <c r="D43" s="354">
        <f>+NB!X6</f>
        <v>38.5</v>
      </c>
      <c r="E43" s="316" t="str">
        <f>+NB!Z6</f>
        <v xml:space="preserve"> </v>
      </c>
      <c r="F43" s="316"/>
      <c r="G43" s="319" t="str">
        <f>+NB!AA6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323"/>
      <c r="B44" s="310" t="str">
        <f>TEXT(NB!V7,"#0")&amp;"                      "&amp;TEXT(NB!Y7,"#0")&amp;"   "</f>
        <v xml:space="preserve">2                      14   </v>
      </c>
      <c r="C44" s="388">
        <f>+NB!W7</f>
        <v>38</v>
      </c>
      <c r="D44" s="355">
        <f>+NB!X7</f>
        <v>36.5</v>
      </c>
      <c r="E44" s="179" t="str">
        <f>+NB!Z7</f>
        <v xml:space="preserve"> </v>
      </c>
      <c r="F44" s="179"/>
      <c r="G44" s="311" t="str">
        <f>+NB!AA7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324"/>
      <c r="B45" s="317" t="str">
        <f>TEXT(NB!V8,"#0")&amp;"                      "&amp;TEXT(NB!Y8,"#0")&amp;"   "</f>
        <v xml:space="preserve">2                      13   </v>
      </c>
      <c r="C45" s="389">
        <f>+NB!W8</f>
        <v>36</v>
      </c>
      <c r="D45" s="356">
        <f>+NB!X8</f>
        <v>34.5</v>
      </c>
      <c r="E45" s="318" t="str">
        <f>+NB!Z8</f>
        <v xml:space="preserve"> </v>
      </c>
      <c r="F45" s="318"/>
      <c r="G45" s="320" t="str">
        <f>+NB!AA8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323"/>
      <c r="B46" s="310" t="str">
        <f>TEXT(NB!V9,"#0")&amp;"                      "&amp;TEXT(NB!Y9,"#0")&amp;"   "</f>
        <v xml:space="preserve">2                      12   </v>
      </c>
      <c r="C46" s="388">
        <f>+NB!W9</f>
        <v>34</v>
      </c>
      <c r="D46" s="355">
        <f>+NB!X9</f>
        <v>32.5</v>
      </c>
      <c r="E46" s="179" t="str">
        <f>+NB!Z9</f>
        <v xml:space="preserve"> </v>
      </c>
      <c r="F46" s="179"/>
      <c r="G46" s="311" t="str">
        <f>+NB!AA9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323"/>
      <c r="B47" s="310" t="str">
        <f>TEXT(NB!V10,"#0")&amp;"                      "&amp;TEXT(NB!Y10,"#0")&amp;"   "</f>
        <v xml:space="preserve">2                      11   </v>
      </c>
      <c r="C47" s="388">
        <f>+NB!W10</f>
        <v>32</v>
      </c>
      <c r="D47" s="355">
        <f>+NB!X10</f>
        <v>30.5</v>
      </c>
      <c r="E47" s="179" t="str">
        <f>+NB!Z10</f>
        <v xml:space="preserve"> </v>
      </c>
      <c r="F47" s="179"/>
      <c r="G47" s="311" t="str">
        <f>+NB!AA10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323"/>
      <c r="B48" s="310" t="str">
        <f>TEXT(NB!V11,"#0")&amp;"                      "&amp;TEXT(NB!Y11,"#0")&amp;"   "</f>
        <v xml:space="preserve">2                      10   </v>
      </c>
      <c r="C48" s="388">
        <f>+NB!W11</f>
        <v>30</v>
      </c>
      <c r="D48" s="355">
        <f>+NB!X11</f>
        <v>28.5</v>
      </c>
      <c r="E48" s="179" t="str">
        <f>+NB!Z11</f>
        <v xml:space="preserve"> </v>
      </c>
      <c r="F48" s="179"/>
      <c r="G48" s="311" t="str">
        <f>+NB!AA11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322"/>
      <c r="B49" s="315" t="str">
        <f>TEXT(NB!V12,"#0")&amp;"                        "&amp;TEXT(NB!Y12,"#0")&amp;"   "</f>
        <v xml:space="preserve">2                        9   </v>
      </c>
      <c r="C49" s="387">
        <f>+NB!W12</f>
        <v>28</v>
      </c>
      <c r="D49" s="354">
        <f>+NB!X12</f>
        <v>26.5</v>
      </c>
      <c r="E49" s="316" t="str">
        <f>+NB!Z12</f>
        <v xml:space="preserve"> </v>
      </c>
      <c r="F49" s="316"/>
      <c r="G49" s="319" t="str">
        <f>+NB!AA12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323"/>
      <c r="B50" s="310" t="str">
        <f>TEXT(NB!V13,"#0")&amp;"                        "&amp;TEXT(NB!Y13,"#0")&amp;"   "</f>
        <v xml:space="preserve">2                        8   </v>
      </c>
      <c r="C50" s="388">
        <f>+NB!W13</f>
        <v>26</v>
      </c>
      <c r="D50" s="355">
        <f>+NB!X13</f>
        <v>24.5</v>
      </c>
      <c r="E50" s="179" t="str">
        <f>+NB!Z13</f>
        <v xml:space="preserve"> </v>
      </c>
      <c r="F50" s="179"/>
      <c r="G50" s="311" t="str">
        <f>+NB!AA13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324"/>
      <c r="B51" s="317" t="str">
        <f>TEXT(NB!V14,"#0")&amp;"                        "&amp;TEXT(NB!Y14,"#0")&amp;"   "</f>
        <v xml:space="preserve">2                        7   </v>
      </c>
      <c r="C51" s="389">
        <f>+NB!W14</f>
        <v>24</v>
      </c>
      <c r="D51" s="356">
        <f>+NB!X14</f>
        <v>22.5</v>
      </c>
      <c r="E51" s="318" t="str">
        <f>+NB!Z14</f>
        <v xml:space="preserve"> </v>
      </c>
      <c r="F51" s="318"/>
      <c r="G51" s="320" t="str">
        <f>+NB!AA14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323"/>
      <c r="B52" s="310" t="str">
        <f>TEXT(NB!V15,"#0")&amp;"                        "&amp;TEXT(NB!Y15,"#0")&amp;"   "</f>
        <v xml:space="preserve">2                        6   </v>
      </c>
      <c r="C52" s="388">
        <f>+NB!W15</f>
        <v>22</v>
      </c>
      <c r="D52" s="355">
        <f>+NB!X15</f>
        <v>20.5</v>
      </c>
      <c r="E52" s="179" t="str">
        <f>+NB!Z15</f>
        <v xml:space="preserve"> </v>
      </c>
      <c r="F52" s="179"/>
      <c r="G52" s="311" t="str">
        <f>+NB!AA15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323"/>
      <c r="B53" s="310" t="str">
        <f>TEXT(NB!V16,"#0")&amp;"                        "&amp;TEXT(NB!Y16,"#0")&amp;"   "</f>
        <v xml:space="preserve">2                        5   </v>
      </c>
      <c r="C53" s="388">
        <f>+NB!W16</f>
        <v>20</v>
      </c>
      <c r="D53" s="355">
        <f>+NB!X16</f>
        <v>18.5</v>
      </c>
      <c r="E53" s="179" t="str">
        <f>+NB!Z16</f>
        <v xml:space="preserve"> </v>
      </c>
      <c r="F53" s="179"/>
      <c r="G53" s="311" t="str">
        <f>+NB!AA16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323"/>
      <c r="B54" s="310" t="str">
        <f>TEXT(NB!V17,"#0")&amp;"                        "&amp;TEXT(NB!Y17,"#0")&amp;"   "</f>
        <v xml:space="preserve">2                        4   </v>
      </c>
      <c r="C54" s="388">
        <f>+NB!W17</f>
        <v>18</v>
      </c>
      <c r="D54" s="355">
        <f>+NB!X17</f>
        <v>16.5</v>
      </c>
      <c r="E54" s="179" t="str">
        <f>+NB!Z17</f>
        <v xml:space="preserve"> </v>
      </c>
      <c r="F54" s="179"/>
      <c r="G54" s="311" t="str">
        <f>+NB!AA17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322"/>
      <c r="B55" s="315" t="str">
        <f>TEXT(NB!V18,"#0")&amp;"                        "&amp;TEXT(NB!Y18,"#0")&amp;"   "</f>
        <v xml:space="preserve">3                        3   </v>
      </c>
      <c r="C55" s="387">
        <f>+NB!W18</f>
        <v>16</v>
      </c>
      <c r="D55" s="354">
        <f>+NB!X18</f>
        <v>13.5</v>
      </c>
      <c r="E55" s="316" t="str">
        <f>+NB!Z18</f>
        <v xml:space="preserve"> </v>
      </c>
      <c r="F55" s="316"/>
      <c r="G55" s="319" t="str">
        <f>+NB!AA18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323"/>
      <c r="B56" s="310" t="str">
        <f>TEXT(NB!V19,"#0")&amp;"                        "&amp;TEXT(NB!Y19,"#0")&amp;"   "</f>
        <v xml:space="preserve">3                        2   </v>
      </c>
      <c r="C56" s="388">
        <f>+NB!W19</f>
        <v>13</v>
      </c>
      <c r="D56" s="355">
        <f>+NB!X19</f>
        <v>11</v>
      </c>
      <c r="E56" s="179" t="str">
        <f>+NB!Z19</f>
        <v xml:space="preserve"> </v>
      </c>
      <c r="F56" s="179"/>
      <c r="G56" s="311" t="str">
        <f>+NB!AA19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324"/>
      <c r="B57" s="317" t="str">
        <f>TEXT(NB!V20,"#0")&amp;"                        "&amp;TEXT(NB!Y20,"#0")&amp;"   "</f>
        <v xml:space="preserve">3                        1   </v>
      </c>
      <c r="C57" s="389">
        <f>+NB!W20</f>
        <v>10.5</v>
      </c>
      <c r="D57" s="356">
        <f>+NB!X20</f>
        <v>8</v>
      </c>
      <c r="E57" s="318" t="str">
        <f>+NB!Z20</f>
        <v xml:space="preserve"> </v>
      </c>
      <c r="F57" s="318"/>
      <c r="G57" s="320" t="str">
        <f>+NB!AA20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2.75" customHeight="1" thickBot="1" x14ac:dyDescent="0.25">
      <c r="A58" s="325"/>
      <c r="B58" s="312" t="str">
        <f>TEXT(NB!V21,"#0")&amp;"                        "&amp;TEXT(NB!Y21,"#0")&amp;"   "</f>
        <v xml:space="preserve">8                        0   </v>
      </c>
      <c r="C58" s="390">
        <f>+NB!W21</f>
        <v>7.5</v>
      </c>
      <c r="D58" s="357">
        <f>+NB!X21</f>
        <v>0</v>
      </c>
      <c r="E58" s="313" t="str">
        <f>+NB!Z21</f>
        <v xml:space="preserve"> </v>
      </c>
      <c r="F58" s="313"/>
      <c r="G58" s="314" t="str">
        <f>+NB!AA21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61</v>
      </c>
      <c r="C1" s="219" t="str">
        <f>IF(Notenbogen!F1="","",Notenbogen!F1)</f>
        <v/>
      </c>
      <c r="D1" s="8"/>
      <c r="E1" s="8"/>
      <c r="F1" s="216" t="s">
        <v>27</v>
      </c>
      <c r="G1" s="493">
        <v>40882</v>
      </c>
      <c r="H1" s="493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IF(D4="","",IF($H$3="BE",LOOKUP(IF(E4="",D4+0.01,D4*$H$30/E4+0.5),NB!$X$124:$X$139,NB!$Y$124:$Y$139),D4))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IF(D5="","",IF($H$3="BE",LOOKUP(IF(E5="",D5+0.01,D5*$H$30/E5+0.5),NB!$X$124:$X$139,NB!$Y$124:$Y$139),D5))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IF(D6="","",IF($H$3="BE",LOOKUP(IF(E6="",D6+0.01,D6*$H$30/E6+0.5),NB!$X$124:$X$139,NB!$Y$124:$Y$139),D6))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IF(D7="","",IF($H$3="BE",LOOKUP(IF(E7="",D7+0.01,D7*$H$30/E7+0.5),NB!$X$124:$X$139,NB!$Y$124:$Y$139),D7))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IF(D8="","",IF($H$3="BE",LOOKUP(IF(E8="",D8+0.01,D8*$H$30/E8+0.5),NB!$X$124:$X$139,NB!$Y$124:$Y$139),D8))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IF(D9="","",IF($H$3="BE",LOOKUP(IF(E9="",D9+0.01,D9*$H$30/E9+0.5),NB!$X$124:$X$139,NB!$Y$124:$Y$139),D9))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IF(D10="","",IF($H$3="BE",LOOKUP(IF(E10="",D10+0.01,D10*$H$30/E10+0.5),NB!$X$124:$X$139,NB!$Y$124:$Y$139),D10))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IF(D11="","",IF($H$3="BE",LOOKUP(IF(E11="",D11+0.01,D11*$H$30/E11+0.5),NB!$X$124:$X$139,NB!$Y$124:$Y$139),D11))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IF(D12="","",IF($H$3="BE",LOOKUP(IF(E12="",D12+0.01,D12*$H$30/E12+0.5),NB!$X$124:$X$139,NB!$Y$124:$Y$139),D12))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IF(D13="","",IF($H$3="BE",LOOKUP(IF(E13="",D13+0.01,D13*$H$30/E13+0.5),NB!$X$124:$X$139,NB!$Y$124:$Y$139),D13))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IF(D14="","",IF($H$3="BE",LOOKUP(IF(E14="",D14+0.01,D14*$H$30/E14+0.5),NB!$X$124:$X$139,NB!$Y$124:$Y$139),D14))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IF(D15="","",IF($H$3="BE",LOOKUP(IF(E15="",D15+0.01,D15*$H$30/E15+0.5),NB!$X$124:$X$139,NB!$Y$124:$Y$139),D15))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IF(D16="","",IF($H$3="BE",LOOKUP(IF(E16="",D16+0.01,D16*$H$30/E16+0.5),NB!$X$124:$X$139,NB!$Y$124:$Y$139),D16))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IF(D17="","",IF($H$3="BE",LOOKUP(IF(E17="",D17+0.01,D17*$H$30/E17+0.5),NB!$X$124:$X$139,NB!$Y$124:$Y$139),D17))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IF(D18="","",IF($H$3="BE",LOOKUP(IF(E18="",D18+0.01,D18*$H$30/E18+0.5),NB!$X$124:$X$139,NB!$Y$124:$Y$139),D18))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IF(D19="","",IF($H$3="BE",LOOKUP(IF(E19="",D19+0.01,D19*$H$30/E19+0.5),NB!$X$124:$X$139,NB!$Y$124:$Y$139),D19))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IF(D20="","",IF($H$3="BE",LOOKUP(IF(E20="",D20+0.01,D20*$H$30/E20+0.5),NB!$X$124:$X$139,NB!$Y$124:$Y$139),D20))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IF(D21="","",IF($H$3="BE",LOOKUP(IF(E21="",D21+0.01,D21*$H$30/E21+0.5),NB!$X$124:$X$139,NB!$Y$124:$Y$139),D21))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IF(D22="","",IF($H$3="BE",LOOKUP(IF(E22="",D22+0.01,D22*$H$30/E22+0.5),NB!$X$124:$X$139,NB!$Y$124:$Y$139),D22))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IF(D23="","",IF($H$3="BE",LOOKUP(IF(E23="",D23+0.01,D23*$H$30/E23+0.5),NB!$X$124:$X$139,NB!$Y$124:$Y$139),D23))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IF(D24="","",IF($H$3="BE",LOOKUP(IF(E24="",D24+0.01,D24*$H$30/E24+0.5),NB!$X$124:$X$139,NB!$Y$124:$Y$139),D24))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IF(D25="","",IF($H$3="BE",LOOKUP(IF(E25="",D25+0.01,D25*$H$30/E25+0.5),NB!$X$124:$X$139,NB!$Y$124:$Y$139),D25))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IF(D26="","",IF($H$3="BE",LOOKUP(IF(E26="",D26+0.01,D26*$H$30/E26+0.5),NB!$X$124:$X$139,NB!$Y$124:$Y$139),D26))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IF(D27="","",IF($H$3="BE",LOOKUP(IF(E27="",D27+0.01,D27*$H$30/E27+0.5),NB!$X$124:$X$139,NB!$Y$124:$Y$139),D27))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IF(D28="","",IF($H$3="BE",LOOKUP(IF(E28="",D28+0.01,D28*$H$30/E28+0.5),NB!$X$124:$X$139,NB!$Y$124:$Y$139),D28))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IF(D29="","",IF($H$3="BE",LOOKUP(IF(E29="",D29+0.01,D29*$H$30/E29+0.5),NB!$X$124:$X$139,NB!$Y$124:$Y$139),D29))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IF(D30="","",IF($H$3="BE",LOOKUP(IF(E30="",D30+0.01,D30*$H$30/E30+0.5),NB!$X$124:$X$139,NB!$Y$124:$Y$139),D30))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IF(D31="","",IF($H$3="BE",LOOKUP(IF(E31="",D31+0.01,D31*$H$30/E31+0.5),NB!$X$124:$X$139,NB!$Y$124:$Y$139),D31))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IF(D32="","",IF($H$3="BE",LOOKUP(IF(E32="",D32+0.01,D32*$H$30/E32+0.5),NB!$X$124:$X$139,NB!$Y$124:$Y$139),D32))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IF(D33="","",IF($H$3="BE",LOOKUP(IF(E33="",D33+0.01,D33*$H$30/E33+0.5),NB!$X$124:$X$139,NB!$Y$124:$Y$139),D33))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IF(D34="","",IF($H$3="BE",LOOKUP(IF(E34="",D34+0.01,D34*$H$30/E34+0.5),NB!$X$124:$X$139,NB!$Y$124:$Y$139),D34))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IF(D35="","",IF($H$3="BE",LOOKUP(IF(E35="",D35+0.01,D35*$H$30/E35+0.5),NB!$X$124:$X$139,NB!$Y$124:$Y$139),D35))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IF(D36="","",IF($H$3="BE",LOOKUP(IF(E36="",D36+0.01,D36*$H$30/E36+0.5),NB!$X$124:$X$139,NB!$Y$124:$Y$139),D36))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IF(D37="","",IF($H$3="BE",LOOKUP(IF(E37="",D37+0.01,D37*$H$30/E37+0.5),NB!$X$124:$X$139,NB!$Y$124:$Y$139),D37))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IF(D38="","",IF($H$3="BE",LOOKUP(IF(E38="",D38+0.01,D38*$H$30/E38+0.5),NB!$X$124:$X$139,NB!$Y$124:$Y$139),D38))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12.75" customHeight="1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TEXT(NB!V106,"#0")&amp;"                      "&amp;TEXT(NB!Y106,"#0")&amp;"   "</f>
        <v xml:space="preserve">2                      15   </v>
      </c>
      <c r="C43" s="387">
        <f>+NB!W106</f>
        <v>40</v>
      </c>
      <c r="D43" s="354">
        <f>+NB!X106</f>
        <v>38.5</v>
      </c>
      <c r="E43" s="316" t="str">
        <f>+NB!Z106</f>
        <v xml:space="preserve"> </v>
      </c>
      <c r="F43" s="316"/>
      <c r="G43" s="319" t="str">
        <f>+NB!AA106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TEXT(NB!V107,"#0")&amp;"                      "&amp;TEXT(NB!Y107,"#0")&amp;"   "</f>
        <v xml:space="preserve">2                      14   </v>
      </c>
      <c r="C44" s="388">
        <f>+NB!W107</f>
        <v>38</v>
      </c>
      <c r="D44" s="355">
        <f>+NB!X107</f>
        <v>36.5</v>
      </c>
      <c r="E44" s="179" t="str">
        <f>+NB!Z107</f>
        <v xml:space="preserve"> </v>
      </c>
      <c r="F44" s="179"/>
      <c r="G44" s="311" t="str">
        <f>+NB!AA107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TEXT(NB!V108,"#0")&amp;"                      "&amp;TEXT(NB!Y108,"#0")&amp;"   "</f>
        <v xml:space="preserve">2                      13   </v>
      </c>
      <c r="C45" s="389">
        <f>+NB!W108</f>
        <v>36</v>
      </c>
      <c r="D45" s="356">
        <f>+NB!X108</f>
        <v>34.5</v>
      </c>
      <c r="E45" s="318" t="str">
        <f>+NB!Z108</f>
        <v xml:space="preserve"> </v>
      </c>
      <c r="F45" s="318"/>
      <c r="G45" s="320" t="str">
        <f>+NB!AA108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TEXT(NB!V109,"#0")&amp;"                      "&amp;TEXT(NB!Y109,"#0")&amp;"   "</f>
        <v xml:space="preserve">2                      12   </v>
      </c>
      <c r="C46" s="388">
        <f>+NB!W109</f>
        <v>34</v>
      </c>
      <c r="D46" s="355">
        <f>+NB!X109</f>
        <v>32.5</v>
      </c>
      <c r="E46" s="179" t="str">
        <f>+NB!Z109</f>
        <v xml:space="preserve"> </v>
      </c>
      <c r="F46" s="179"/>
      <c r="G46" s="311" t="str">
        <f>+NB!AA109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TEXT(NB!V110,"#0")&amp;"                      "&amp;TEXT(NB!Y110,"#0")&amp;"   "</f>
        <v xml:space="preserve">2                      11   </v>
      </c>
      <c r="C47" s="388">
        <f>+NB!W110</f>
        <v>32</v>
      </c>
      <c r="D47" s="355">
        <f>+NB!X110</f>
        <v>30.5</v>
      </c>
      <c r="E47" s="179" t="str">
        <f>+NB!Z110</f>
        <v xml:space="preserve"> </v>
      </c>
      <c r="F47" s="179"/>
      <c r="G47" s="311" t="str">
        <f>+NB!AA110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TEXT(NB!V111,"#0")&amp;"                      "&amp;TEXT(NB!Y111,"#0")&amp;"   "</f>
        <v xml:space="preserve">2                      10   </v>
      </c>
      <c r="C48" s="388">
        <f>+NB!W111</f>
        <v>30</v>
      </c>
      <c r="D48" s="355">
        <f>+NB!X111</f>
        <v>28.5</v>
      </c>
      <c r="E48" s="179" t="str">
        <f>+NB!Z111</f>
        <v xml:space="preserve"> </v>
      </c>
      <c r="F48" s="179"/>
      <c r="G48" s="311" t="str">
        <f>+NB!AA111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TEXT(NB!V112,"#0")&amp;"                        "&amp;TEXT(NB!Y112,"#0")&amp;"   "</f>
        <v xml:space="preserve">2                        9   </v>
      </c>
      <c r="C49" s="387">
        <f>+NB!W112</f>
        <v>28</v>
      </c>
      <c r="D49" s="354">
        <f>+NB!X112</f>
        <v>26.5</v>
      </c>
      <c r="E49" s="316" t="str">
        <f>+NB!Z112</f>
        <v xml:space="preserve"> </v>
      </c>
      <c r="F49" s="316"/>
      <c r="G49" s="319" t="str">
        <f>+NB!AA112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TEXT(NB!V113,"#0")&amp;"                        "&amp;TEXT(NB!Y113,"#0")&amp;"   "</f>
        <v xml:space="preserve">2                        8   </v>
      </c>
      <c r="C50" s="388">
        <f>+NB!W113</f>
        <v>26</v>
      </c>
      <c r="D50" s="355">
        <f>+NB!X113</f>
        <v>24.5</v>
      </c>
      <c r="E50" s="179" t="str">
        <f>+NB!Z113</f>
        <v xml:space="preserve"> </v>
      </c>
      <c r="F50" s="179"/>
      <c r="G50" s="311" t="str">
        <f>+NB!AA113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TEXT(NB!V114,"#0")&amp;"                        "&amp;TEXT(NB!Y114,"#0")&amp;"   "</f>
        <v xml:space="preserve">2                        7   </v>
      </c>
      <c r="C51" s="389">
        <f>+NB!W114</f>
        <v>24</v>
      </c>
      <c r="D51" s="356">
        <f>+NB!X114</f>
        <v>22.5</v>
      </c>
      <c r="E51" s="318" t="str">
        <f>+NB!Z114</f>
        <v xml:space="preserve"> </v>
      </c>
      <c r="F51" s="318"/>
      <c r="G51" s="320" t="str">
        <f>+NB!AA114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TEXT(NB!V115,"#0")&amp;"                        "&amp;TEXT(NB!Y115,"#0")&amp;"   "</f>
        <v xml:space="preserve">2                        6   </v>
      </c>
      <c r="C52" s="388">
        <f>+NB!W115</f>
        <v>22</v>
      </c>
      <c r="D52" s="355">
        <f>+NB!X115</f>
        <v>20.5</v>
      </c>
      <c r="E52" s="179" t="str">
        <f>+NB!Z115</f>
        <v xml:space="preserve"> </v>
      </c>
      <c r="F52" s="179"/>
      <c r="G52" s="311" t="str">
        <f>+NB!AA115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TEXT(NB!V116,"#0")&amp;"                        "&amp;TEXT(NB!Y116,"#0")&amp;"   "</f>
        <v xml:space="preserve">2                        5   </v>
      </c>
      <c r="C53" s="388">
        <f>+NB!W116</f>
        <v>20</v>
      </c>
      <c r="D53" s="355">
        <f>+NB!X116</f>
        <v>18.5</v>
      </c>
      <c r="E53" s="179" t="str">
        <f>+NB!Z116</f>
        <v xml:space="preserve"> </v>
      </c>
      <c r="F53" s="179"/>
      <c r="G53" s="311" t="str">
        <f>+NB!AA116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TEXT(NB!V117,"#0")&amp;"                        "&amp;TEXT(NB!Y117,"#0")&amp;"   "</f>
        <v xml:space="preserve">2                        4   </v>
      </c>
      <c r="C54" s="388">
        <f>+NB!W117</f>
        <v>18</v>
      </c>
      <c r="D54" s="355">
        <f>+NB!X117</f>
        <v>16.5</v>
      </c>
      <c r="E54" s="179" t="str">
        <f>+NB!Z117</f>
        <v xml:space="preserve"> </v>
      </c>
      <c r="F54" s="179"/>
      <c r="G54" s="311" t="str">
        <f>+NB!AA117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TEXT(NB!V118,"#0")&amp;"                        "&amp;TEXT(NB!Y118,"#0")&amp;"   "</f>
        <v xml:space="preserve">3                        3   </v>
      </c>
      <c r="C55" s="387">
        <f>+NB!W118</f>
        <v>16</v>
      </c>
      <c r="D55" s="354">
        <f>+NB!X118</f>
        <v>13.5</v>
      </c>
      <c r="E55" s="316" t="str">
        <f>+NB!Z118</f>
        <v xml:space="preserve"> </v>
      </c>
      <c r="F55" s="316"/>
      <c r="G55" s="319" t="str">
        <f>+NB!AA118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TEXT(NB!V119,"#0")&amp;"                        "&amp;TEXT(NB!Y119,"#0")&amp;"   "</f>
        <v xml:space="preserve">3                        2   </v>
      </c>
      <c r="C56" s="388">
        <f>+NB!W119</f>
        <v>13</v>
      </c>
      <c r="D56" s="355">
        <f>+NB!X119</f>
        <v>11</v>
      </c>
      <c r="E56" s="179" t="str">
        <f>+NB!Z119</f>
        <v xml:space="preserve"> </v>
      </c>
      <c r="F56" s="179"/>
      <c r="G56" s="311" t="str">
        <f>+NB!AA119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TEXT(NB!V120,"#0")&amp;"                        "&amp;TEXT(NB!Y120,"#0")&amp;"   "</f>
        <v xml:space="preserve">3                        1   </v>
      </c>
      <c r="C57" s="389">
        <f>+NB!W120</f>
        <v>10.5</v>
      </c>
      <c r="D57" s="356">
        <f>+NB!X120</f>
        <v>8</v>
      </c>
      <c r="E57" s="318" t="str">
        <f>+NB!Z120</f>
        <v xml:space="preserve"> </v>
      </c>
      <c r="F57" s="318"/>
      <c r="G57" s="320" t="str">
        <f>+NB!AA120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TEXT(NB!V121,"#0")&amp;"                        "&amp;TEXT(NB!Y121,"#0")&amp;"   "</f>
        <v xml:space="preserve">8                        0   </v>
      </c>
      <c r="C58" s="390">
        <f>+NB!W121</f>
        <v>7.5</v>
      </c>
      <c r="D58" s="357">
        <f>+NB!X121</f>
        <v>0</v>
      </c>
      <c r="E58" s="313" t="str">
        <f>+NB!Z121</f>
        <v xml:space="preserve"> </v>
      </c>
      <c r="F58" s="313"/>
      <c r="G58" s="314" t="str">
        <f>+NB!AA121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62</v>
      </c>
      <c r="C1" s="219" t="str">
        <f>IF(Notenbogen!F1="","",Notenbogen!F1)</f>
        <v/>
      </c>
      <c r="D1" s="226"/>
      <c r="E1" s="8"/>
      <c r="F1" s="216" t="s">
        <v>27</v>
      </c>
      <c r="G1" s="494"/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IF(D4="","",IF($H$3="BE",LOOKUP(IF(E4="",D4+0.01,D4*$H$30/E4+0.5),NB!$X$224:$X$239,NB!$Y$224:$Y$239),D4))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IF(D5="","",IF($H$3="BE",LOOKUP(IF(E5="",D5+0.01,D5*$H$30/E5+0.5),NB!$X$224:$X$239,NB!$Y$224:$Y$239),D5))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IF(D6="","",IF($H$3="BE",LOOKUP(IF(E6="",D6+0.01,D6*$H$30/E6+0.5),NB!$X$224:$X$239,NB!$Y$224:$Y$239),D6))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IF(D7="","",IF($H$3="BE",LOOKUP(IF(E7="",D7+0.01,D7*$H$30/E7+0.5),NB!$X$224:$X$239,NB!$Y$224:$Y$239),D7))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IF(D8="","",IF($H$3="BE",LOOKUP(IF(E8="",D8+0.01,D8*$H$30/E8+0.5),NB!$X$224:$X$239,NB!$Y$224:$Y$239),D8))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IF(D9="","",IF($H$3="BE",LOOKUP(IF(E9="",D9+0.01,D9*$H$30/E9+0.5),NB!$X$224:$X$239,NB!$Y$224:$Y$239),D9))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IF(D10="","",IF($H$3="BE",LOOKUP(IF(E10="",D10+0.01,D10*$H$30/E10+0.5),NB!$X$224:$X$239,NB!$Y$224:$Y$239),D10))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IF(D11="","",IF($H$3="BE",LOOKUP(IF(E11="",D11+0.01,D11*$H$30/E11+0.5),NB!$X$224:$X$239,NB!$Y$224:$Y$239),D11))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IF(D12="","",IF($H$3="BE",LOOKUP(IF(E12="",D12+0.01,D12*$H$30/E12+0.5),NB!$X$224:$X$239,NB!$Y$224:$Y$239),D12))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IF(D13="","",IF($H$3="BE",LOOKUP(IF(E13="",D13+0.01,D13*$H$30/E13+0.5),NB!$X$224:$X$239,NB!$Y$224:$Y$239),D13))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IF(D14="","",IF($H$3="BE",LOOKUP(IF(E14="",D14+0.01,D14*$H$30/E14+0.5),NB!$X$224:$X$239,NB!$Y$224:$Y$239),D14))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IF(D15="","",IF($H$3="BE",LOOKUP(IF(E15="",D15+0.01,D15*$H$30/E15+0.5),NB!$X$224:$X$239,NB!$Y$224:$Y$239),D15))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IF(D16="","",IF($H$3="BE",LOOKUP(IF(E16="",D16+0.01,D16*$H$30/E16+0.5),NB!$X$224:$X$239,NB!$Y$224:$Y$239),D16))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IF(D17="","",IF($H$3="BE",LOOKUP(IF(E17="",D17+0.01,D17*$H$30/E17+0.5),NB!$X$224:$X$239,NB!$Y$224:$Y$239),D17))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IF(D18="","",IF($H$3="BE",LOOKUP(IF(E18="",D18+0.01,D18*$H$30/E18+0.5),NB!$X$224:$X$239,NB!$Y$224:$Y$239),D18))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IF(D19="","",IF($H$3="BE",LOOKUP(IF(E19="",D19+0.01,D19*$H$30/E19+0.5),NB!$X$224:$X$239,NB!$Y$224:$Y$239),D19))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IF(D20="","",IF($H$3="BE",LOOKUP(IF(E20="",D20+0.01,D20*$H$30/E20+0.5),NB!$X$224:$X$239,NB!$Y$224:$Y$239),D20))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IF(D21="","",IF($H$3="BE",LOOKUP(IF(E21="",D21+0.01,D21*$H$30/E21+0.5),NB!$X$224:$X$239,NB!$Y$224:$Y$239),D21))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IF(D22="","",IF($H$3="BE",LOOKUP(IF(E22="",D22+0.01,D22*$H$30/E22+0.5),NB!$X$224:$X$239,NB!$Y$224:$Y$239),D22))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IF(D23="","",IF($H$3="BE",LOOKUP(IF(E23="",D23+0.01,D23*$H$30/E23+0.5),NB!$X$224:$X$239,NB!$Y$224:$Y$239),D23))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IF(D24="","",IF($H$3="BE",LOOKUP(IF(E24="",D24+0.01,D24*$H$30/E24+0.5),NB!$X$224:$X$239,NB!$Y$224:$Y$239),D24))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IF(D25="","",IF($H$3="BE",LOOKUP(IF(E25="",D25+0.01,D25*$H$30/E25+0.5),NB!$X$224:$X$239,NB!$Y$224:$Y$239),D25))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IF(D26="","",IF($H$3="BE",LOOKUP(IF(E26="",D26+0.01,D26*$H$30/E26+0.5),NB!$X$224:$X$239,NB!$Y$224:$Y$239),D26))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IF(D27="","",IF($H$3="BE",LOOKUP(IF(E27="",D27+0.01,D27*$H$30/E27+0.5),NB!$X$224:$X$239,NB!$Y$224:$Y$239),D27))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IF(D28="","",IF($H$3="BE",LOOKUP(IF(E28="",D28+0.01,D28*$H$30/E28+0.5),NB!$X$224:$X$239,NB!$Y$224:$Y$239),D28))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IF(D29="","",IF($H$3="BE",LOOKUP(IF(E29="",D29+0.01,D29*$H$30/E29+0.5),NB!$X$224:$X$239,NB!$Y$224:$Y$239),D29))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IF(D30="","",IF($H$3="BE",LOOKUP(IF(E30="",D30+0.01,D30*$H$30/E30+0.5),NB!$X$224:$X$239,NB!$Y$224:$Y$239),D30))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IF(D31="","",IF($H$3="BE",LOOKUP(IF(E31="",D31+0.01,D31*$H$30/E31+0.5),NB!$X$224:$X$239,NB!$Y$224:$Y$239),D31))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IF(D32="","",IF($H$3="BE",LOOKUP(IF(E32="",D32+0.01,D32*$H$30/E32+0.5),NB!$X$224:$X$239,NB!$Y$224:$Y$239),D32))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IF(D33="","",IF($H$3="BE",LOOKUP(IF(E33="",D33+0.01,D33*$H$30/E33+0.5),NB!$X$224:$X$239,NB!$Y$224:$Y$239),D33))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IF(D34="","",IF($H$3="BE",LOOKUP(IF(E34="",D34+0.01,D34*$H$30/E34+0.5),NB!$X$224:$X$239,NB!$Y$224:$Y$239),D34))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IF(D35="","",IF($H$3="BE",LOOKUP(IF(E35="",D35+0.01,D35*$H$30/E35+0.5),NB!$X$224:$X$239,NB!$Y$224:$Y$239),D35))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IF(D36="","",IF($H$3="BE",LOOKUP(IF(E36="",D36+0.01,D36*$H$30/E36+0.5),NB!$X$224:$X$239,NB!$Y$224:$Y$239),D36))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IF(D37="","",IF($H$3="BE",LOOKUP(IF(E37="",D37+0.01,D37*$H$30/E37+0.5),NB!$X$224:$X$239,NB!$Y$224:$Y$239),D37))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IF(D38="","",IF($H$3="BE",LOOKUP(IF(E38="",D38+0.01,D38*$H$30/E38+0.5),NB!$X$224:$X$239,NB!$Y$224:$Y$239),D38))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TEXT(NB!V206,"#0")&amp;"                      "&amp;TEXT(NB!Y206,"#0")&amp;"   "</f>
        <v xml:space="preserve">2                      15   </v>
      </c>
      <c r="C43" s="387">
        <f>+NB!W206</f>
        <v>40</v>
      </c>
      <c r="D43" s="354">
        <f>+NB!X206</f>
        <v>38.5</v>
      </c>
      <c r="E43" s="316" t="str">
        <f>+NB!Z206</f>
        <v xml:space="preserve"> </v>
      </c>
      <c r="F43" s="316"/>
      <c r="G43" s="319" t="str">
        <f>+NB!AA206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TEXT(NB!V207,"#0")&amp;"                      "&amp;TEXT(NB!Y207,"#0")&amp;"   "</f>
        <v xml:space="preserve">2                      14   </v>
      </c>
      <c r="C44" s="388">
        <f>+NB!W207</f>
        <v>38</v>
      </c>
      <c r="D44" s="355">
        <f>+NB!X207</f>
        <v>36.5</v>
      </c>
      <c r="E44" s="179" t="str">
        <f>+NB!Z207</f>
        <v xml:space="preserve"> </v>
      </c>
      <c r="F44" s="179"/>
      <c r="G44" s="311" t="str">
        <f>+NB!AA207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TEXT(NB!V208,"#0")&amp;"                      "&amp;TEXT(NB!Y208,"#0")&amp;"   "</f>
        <v xml:space="preserve">2                      13   </v>
      </c>
      <c r="C45" s="389">
        <f>+NB!W208</f>
        <v>36</v>
      </c>
      <c r="D45" s="356">
        <f>+NB!X208</f>
        <v>34.5</v>
      </c>
      <c r="E45" s="318" t="str">
        <f>+NB!Z208</f>
        <v xml:space="preserve"> </v>
      </c>
      <c r="F45" s="318"/>
      <c r="G45" s="320" t="str">
        <f>+NB!AA208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TEXT(NB!V209,"#0")&amp;"                      "&amp;TEXT(NB!Y209,"#0")&amp;"   "</f>
        <v xml:space="preserve">2                      12   </v>
      </c>
      <c r="C46" s="388">
        <f>+NB!W209</f>
        <v>34</v>
      </c>
      <c r="D46" s="355">
        <f>+NB!X209</f>
        <v>32.5</v>
      </c>
      <c r="E46" s="179" t="str">
        <f>+NB!Z209</f>
        <v xml:space="preserve"> </v>
      </c>
      <c r="F46" s="179"/>
      <c r="G46" s="311" t="str">
        <f>+NB!AA209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TEXT(NB!V210,"#0")&amp;"                      "&amp;TEXT(NB!Y210,"#0")&amp;"   "</f>
        <v xml:space="preserve">2                      11   </v>
      </c>
      <c r="C47" s="388">
        <f>+NB!W210</f>
        <v>32</v>
      </c>
      <c r="D47" s="355">
        <f>+NB!X210</f>
        <v>30.5</v>
      </c>
      <c r="E47" s="179" t="str">
        <f>+NB!Z210</f>
        <v xml:space="preserve"> </v>
      </c>
      <c r="F47" s="179"/>
      <c r="G47" s="311" t="str">
        <f>+NB!AA210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TEXT(NB!V211,"#0")&amp;"                      "&amp;TEXT(NB!Y211,"#0")&amp;"   "</f>
        <v xml:space="preserve">2                      10   </v>
      </c>
      <c r="C48" s="388">
        <f>+NB!W211</f>
        <v>30</v>
      </c>
      <c r="D48" s="355">
        <f>+NB!X211</f>
        <v>28.5</v>
      </c>
      <c r="E48" s="179" t="str">
        <f>+NB!Z211</f>
        <v xml:space="preserve"> </v>
      </c>
      <c r="F48" s="179"/>
      <c r="G48" s="311" t="str">
        <f>+NB!AA211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TEXT(NB!V212,"#0")&amp;"                        "&amp;TEXT(NB!Y212,"#0")&amp;"   "</f>
        <v xml:space="preserve">2                        9   </v>
      </c>
      <c r="C49" s="387">
        <f>+NB!W212</f>
        <v>28</v>
      </c>
      <c r="D49" s="354">
        <f>+NB!X212</f>
        <v>26.5</v>
      </c>
      <c r="E49" s="316" t="str">
        <f>+NB!Z212</f>
        <v xml:space="preserve"> </v>
      </c>
      <c r="F49" s="316"/>
      <c r="G49" s="319" t="str">
        <f>+NB!AA212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TEXT(NB!V213,"#0")&amp;"                        "&amp;TEXT(NB!Y213,"#0")&amp;"   "</f>
        <v xml:space="preserve">2                        8   </v>
      </c>
      <c r="C50" s="388">
        <f>+NB!W213</f>
        <v>26</v>
      </c>
      <c r="D50" s="355">
        <f>+NB!X213</f>
        <v>24.5</v>
      </c>
      <c r="E50" s="179" t="str">
        <f>+NB!Z213</f>
        <v xml:space="preserve"> </v>
      </c>
      <c r="F50" s="179"/>
      <c r="G50" s="311" t="str">
        <f>+NB!AA213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TEXT(NB!V214,"#0")&amp;"                        "&amp;TEXT(NB!Y214,"#0")&amp;"   "</f>
        <v xml:space="preserve">2                        7   </v>
      </c>
      <c r="C51" s="389">
        <f>+NB!W214</f>
        <v>24</v>
      </c>
      <c r="D51" s="356">
        <f>+NB!X214</f>
        <v>22.5</v>
      </c>
      <c r="E51" s="318" t="str">
        <f>+NB!Z214</f>
        <v xml:space="preserve"> </v>
      </c>
      <c r="F51" s="318"/>
      <c r="G51" s="320" t="str">
        <f>+NB!AA214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TEXT(NB!V215,"#0")&amp;"                        "&amp;TEXT(NB!Y215,"#0")&amp;"   "</f>
        <v xml:space="preserve">2                        6   </v>
      </c>
      <c r="C52" s="388">
        <f>+NB!W215</f>
        <v>22</v>
      </c>
      <c r="D52" s="355">
        <f>+NB!X215</f>
        <v>20.5</v>
      </c>
      <c r="E52" s="179" t="str">
        <f>+NB!Z215</f>
        <v xml:space="preserve"> </v>
      </c>
      <c r="F52" s="179"/>
      <c r="G52" s="311" t="str">
        <f>+NB!AA215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TEXT(NB!V216,"#0")&amp;"                        "&amp;TEXT(NB!Y216,"#0")&amp;"   "</f>
        <v xml:space="preserve">2                        5   </v>
      </c>
      <c r="C53" s="388">
        <f>+NB!W216</f>
        <v>20</v>
      </c>
      <c r="D53" s="355">
        <f>+NB!X216</f>
        <v>18.5</v>
      </c>
      <c r="E53" s="179" t="str">
        <f>+NB!Z216</f>
        <v xml:space="preserve"> </v>
      </c>
      <c r="F53" s="179"/>
      <c r="G53" s="311" t="str">
        <f>+NB!AA216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TEXT(NB!V217,"#0")&amp;"                        "&amp;TEXT(NB!Y217,"#0")&amp;"   "</f>
        <v xml:space="preserve">2                        4   </v>
      </c>
      <c r="C54" s="388">
        <f>+NB!W217</f>
        <v>18</v>
      </c>
      <c r="D54" s="355">
        <f>+NB!X217</f>
        <v>16.5</v>
      </c>
      <c r="E54" s="179" t="str">
        <f>+NB!Z217</f>
        <v xml:space="preserve"> </v>
      </c>
      <c r="F54" s="179"/>
      <c r="G54" s="311" t="str">
        <f>+NB!AA217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TEXT(NB!V218,"#0")&amp;"                        "&amp;TEXT(NB!Y218,"#0")&amp;"   "</f>
        <v xml:space="preserve">3                        3   </v>
      </c>
      <c r="C55" s="387">
        <f>+NB!W218</f>
        <v>16</v>
      </c>
      <c r="D55" s="354">
        <f>+NB!X218</f>
        <v>13.5</v>
      </c>
      <c r="E55" s="316" t="str">
        <f>+NB!Z218</f>
        <v xml:space="preserve"> </v>
      </c>
      <c r="F55" s="316"/>
      <c r="G55" s="319" t="str">
        <f>+NB!AA218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TEXT(NB!V219,"#0")&amp;"                        "&amp;TEXT(NB!Y219,"#0")&amp;"   "</f>
        <v xml:space="preserve">3                        2   </v>
      </c>
      <c r="C56" s="388">
        <f>+NB!W219</f>
        <v>13</v>
      </c>
      <c r="D56" s="355">
        <f>+NB!X219</f>
        <v>11</v>
      </c>
      <c r="E56" s="179" t="str">
        <f>+NB!Z219</f>
        <v xml:space="preserve"> </v>
      </c>
      <c r="F56" s="179"/>
      <c r="G56" s="311" t="str">
        <f>+NB!AA219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TEXT(NB!V220,"#0")&amp;"                        "&amp;TEXT(NB!Y220,"#0")&amp;"   "</f>
        <v xml:space="preserve">3                        1   </v>
      </c>
      <c r="C57" s="389">
        <f>+NB!W220</f>
        <v>10.5</v>
      </c>
      <c r="D57" s="356">
        <f>+NB!X220</f>
        <v>8</v>
      </c>
      <c r="E57" s="318" t="str">
        <f>+NB!Z220</f>
        <v xml:space="preserve"> </v>
      </c>
      <c r="F57" s="318"/>
      <c r="G57" s="320" t="str">
        <f>+NB!AA220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TEXT(NB!V221,"#0")&amp;"                        "&amp;TEXT(NB!Y221,"#0")&amp;"   "</f>
        <v xml:space="preserve">8                        0   </v>
      </c>
      <c r="C58" s="390">
        <f>+NB!W221</f>
        <v>7.5</v>
      </c>
      <c r="D58" s="357">
        <f>+NB!X221</f>
        <v>0</v>
      </c>
      <c r="E58" s="313" t="str">
        <f>+NB!Z221</f>
        <v xml:space="preserve"> </v>
      </c>
      <c r="F58" s="313"/>
      <c r="G58" s="314" t="str">
        <f>+NB!AA221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9" right="0.49" top="0.44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45" sqref="C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93" t="s">
        <v>109</v>
      </c>
      <c r="C1" s="256" t="str">
        <f>IF(Notenbogen!F1="","",Notenbogen!F1)</f>
        <v/>
      </c>
      <c r="D1" s="257"/>
      <c r="E1" s="227"/>
      <c r="F1" s="229" t="s">
        <v>27</v>
      </c>
      <c r="G1" s="493"/>
      <c r="H1" s="494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IF(D4="","",IF($H$3="BE",LOOKUP(IF(E4="",D4+0.01,D4*$H$30/E4+0.5),NB!$X$324:$X$339,NB!$Y$324:$Y$339),D4))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IF(D5="","",IF($H$3="BE",LOOKUP(IF(E5="",D5+0.01,D5*$H$30/E5+0.5),NB!$X$324:$X$339,NB!$Y$324:$Y$339),D5))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IF(D6="","",IF($H$3="BE",LOOKUP(IF(E6="",D6+0.01,D6*$H$30/E6+0.5),NB!$X$324:$X$339,NB!$Y$324:$Y$339),D6))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IF(D7="","",IF($H$3="BE",LOOKUP(IF(E7="",D7+0.01,D7*$H$30/E7+0.5),NB!$X$324:$X$339,NB!$Y$324:$Y$339),D7))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IF(D8="","",IF($H$3="BE",LOOKUP(IF(E8="",D8+0.01,D8*$H$30/E8+0.5),NB!$X$324:$X$339,NB!$Y$324:$Y$339),D8))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IF(D9="","",IF($H$3="BE",LOOKUP(IF(E9="",D9+0.01,D9*$H$30/E9+0.5),NB!$X$324:$X$339,NB!$Y$324:$Y$339),D9))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IF(D10="","",IF($H$3="BE",LOOKUP(IF(E10="",D10+0.01,D10*$H$30/E10+0.5),NB!$X$324:$X$339,NB!$Y$324:$Y$339),D10))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IF(D11="","",IF($H$3="BE",LOOKUP(IF(E11="",D11+0.01,D11*$H$30/E11+0.5),NB!$X$324:$X$339,NB!$Y$324:$Y$339),D11))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IF(D12="","",IF($H$3="BE",LOOKUP(IF(E12="",D12+0.01,D12*$H$30/E12+0.5),NB!$X$324:$X$339,NB!$Y$324:$Y$339),D12))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IF(D13="","",IF($H$3="BE",LOOKUP(IF(E13="",D13+0.01,D13*$H$30/E13+0.5),NB!$X$324:$X$339,NB!$Y$324:$Y$339),D13))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IF(D14="","",IF($H$3="BE",LOOKUP(IF(E14="",D14+0.01,D14*$H$30/E14+0.5),NB!$X$324:$X$339,NB!$Y$324:$Y$339),D14))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IF(D15="","",IF($H$3="BE",LOOKUP(IF(E15="",D15+0.01,D15*$H$30/E15+0.5),NB!$X$324:$X$339,NB!$Y$324:$Y$339),D15))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IF(D16="","",IF($H$3="BE",LOOKUP(IF(E16="",D16+0.01,D16*$H$30/E16+0.5),NB!$X$324:$X$339,NB!$Y$324:$Y$339),D16))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IF(D17="","",IF($H$3="BE",LOOKUP(IF(E17="",D17+0.01,D17*$H$30/E17+0.5),NB!$X$324:$X$339,NB!$Y$324:$Y$339),D17))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IF(D18="","",IF($H$3="BE",LOOKUP(IF(E18="",D18+0.01,D18*$H$30/E18+0.5),NB!$X$324:$X$339,NB!$Y$324:$Y$339),D18))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IF(D19="","",IF($H$3="BE",LOOKUP(IF(E19="",D19+0.01,D19*$H$30/E19+0.5),NB!$X$324:$X$339,NB!$Y$324:$Y$339),D19))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IF(D20="","",IF($H$3="BE",LOOKUP(IF(E20="",D20+0.01,D20*$H$30/E20+0.5),NB!$X$324:$X$339,NB!$Y$324:$Y$339),D20))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IF(D21="","",IF($H$3="BE",LOOKUP(IF(E21="",D21+0.01,D21*$H$30/E21+0.5),NB!$X$324:$X$339,NB!$Y$324:$Y$339),D21))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IF(D22="","",IF($H$3="BE",LOOKUP(IF(E22="",D22+0.01,D22*$H$30/E22+0.5),NB!$X$324:$X$339,NB!$Y$324:$Y$339),D22))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IF(D23="","",IF($H$3="BE",LOOKUP(IF(E23="",D23+0.01,D23*$H$30/E23+0.5),NB!$X$324:$X$339,NB!$Y$324:$Y$339),D23))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IF(D24="","",IF($H$3="BE",LOOKUP(IF(E24="",D24+0.01,D24*$H$30/E24+0.5),NB!$X$324:$X$339,NB!$Y$324:$Y$339),D24))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IF(D25="","",IF($H$3="BE",LOOKUP(IF(E25="",D25+0.01,D25*$H$30/E25+0.5),NB!$X$324:$X$339,NB!$Y$324:$Y$339),D25))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IF(D26="","",IF($H$3="BE",LOOKUP(IF(E26="",D26+0.01,D26*$H$30/E26+0.5),NB!$X$324:$X$339,NB!$Y$324:$Y$339),D26))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IF(D27="","",IF($H$3="BE",LOOKUP(IF(E27="",D27+0.01,D27*$H$30/E27+0.5),NB!$X$324:$X$339,NB!$Y$324:$Y$339),D27))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IF(D28="","",IF($H$3="BE",LOOKUP(IF(E28="",D28+0.01,D28*$H$30/E28+0.5),NB!$X$324:$X$339,NB!$Y$324:$Y$339),D28))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IF(D29="","",IF($H$3="BE",LOOKUP(IF(E29="",D29+0.01,D29*$H$30/E29+0.5),NB!$X$324:$X$339,NB!$Y$324:$Y$339),D29))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IF(D30="","",IF($H$3="BE",LOOKUP(IF(E30="",D30+0.01,D30*$H$30/E30+0.5),NB!$X$324:$X$339,NB!$Y$324:$Y$339),D30))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IF(D31="","",IF($H$3="BE",LOOKUP(IF(E31="",D31+0.01,D31*$H$30/E31+0.5),NB!$X$324:$X$339,NB!$Y$324:$Y$339),D31))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IF(D32="","",IF($H$3="BE",LOOKUP(IF(E32="",D32+0.01,D32*$H$30/E32+0.5),NB!$X$324:$X$339,NB!$Y$324:$Y$339),D32))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IF(D33="","",IF($H$3="BE",LOOKUP(IF(E33="",D33+0.01,D33*$H$30/E33+0.5),NB!$X$324:$X$339,NB!$Y$324:$Y$339),D33))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IF(D34="","",IF($H$3="BE",LOOKUP(IF(E34="",D34+0.01,D34*$H$30/E34+0.5),NB!$X$324:$X$339,NB!$Y$324:$Y$339),D34))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IF(D35="","",IF($H$3="BE",LOOKUP(IF(E35="",D35+0.01,D35*$H$30/E35+0.5),NB!$X$324:$X$339,NB!$Y$324:$Y$339),D35))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IF(D36="","",IF($H$3="BE",LOOKUP(IF(E36="",D36+0.01,D36*$H$30/E36+0.5),NB!$X$324:$X$339,NB!$Y$324:$Y$339),D36))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IF(D37="","",IF($H$3="BE",LOOKUP(IF(E37="",D37+0.01,D37*$H$30/E37+0.5),NB!$X$324:$X$339,NB!$Y$324:$Y$339),D37))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IF(D38="","",IF($H$3="BE",LOOKUP(IF(E38="",D38+0.01,D38*$H$30/E38+0.5),NB!$X$324:$X$339,NB!$Y$324:$Y$339),D38))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TEXT(NB!V306,"#0")&amp;"                      "&amp;TEXT(NB!Y306,"#0")&amp;"   "</f>
        <v xml:space="preserve">2                      15   </v>
      </c>
      <c r="C43" s="387">
        <f>+NB!W306</f>
        <v>40</v>
      </c>
      <c r="D43" s="354">
        <f>+NB!X306</f>
        <v>38.5</v>
      </c>
      <c r="E43" s="316" t="str">
        <f>+NB!Z306</f>
        <v xml:space="preserve"> </v>
      </c>
      <c r="F43" s="316"/>
      <c r="G43" s="319" t="str">
        <f>+NB!AA306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TEXT(NB!V307,"#0")&amp;"                      "&amp;TEXT(NB!Y307,"#0")&amp;"   "</f>
        <v xml:space="preserve">2                      14   </v>
      </c>
      <c r="C44" s="388">
        <f>+NB!W307</f>
        <v>38</v>
      </c>
      <c r="D44" s="355">
        <f>+NB!X307</f>
        <v>36.5</v>
      </c>
      <c r="E44" s="179" t="str">
        <f>+NB!Z307</f>
        <v xml:space="preserve"> </v>
      </c>
      <c r="F44" s="179"/>
      <c r="G44" s="311" t="str">
        <f>+NB!AA307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TEXT(NB!V308,"#0")&amp;"                      "&amp;TEXT(NB!Y308,"#0")&amp;"   "</f>
        <v xml:space="preserve">2                      13   </v>
      </c>
      <c r="C45" s="389">
        <f>+NB!W308</f>
        <v>36</v>
      </c>
      <c r="D45" s="356">
        <f>+NB!X308</f>
        <v>34.5</v>
      </c>
      <c r="E45" s="318" t="str">
        <f>+NB!Z308</f>
        <v xml:space="preserve"> </v>
      </c>
      <c r="F45" s="318"/>
      <c r="G45" s="320" t="str">
        <f>+NB!AA308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TEXT(NB!V309,"#0")&amp;"                      "&amp;TEXT(NB!Y309,"#0")&amp;"   "</f>
        <v xml:space="preserve">2                      12   </v>
      </c>
      <c r="C46" s="388">
        <f>+NB!W309</f>
        <v>34</v>
      </c>
      <c r="D46" s="355">
        <f>+NB!X309</f>
        <v>32.5</v>
      </c>
      <c r="E46" s="179" t="str">
        <f>+NB!Z309</f>
        <v xml:space="preserve"> </v>
      </c>
      <c r="F46" s="179"/>
      <c r="G46" s="311" t="str">
        <f>+NB!AA309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TEXT(NB!V310,"#0")&amp;"                      "&amp;TEXT(NB!Y310,"#0")&amp;"   "</f>
        <v xml:space="preserve">2                      11   </v>
      </c>
      <c r="C47" s="388">
        <f>+NB!W310</f>
        <v>32</v>
      </c>
      <c r="D47" s="355">
        <f>+NB!X310</f>
        <v>30.5</v>
      </c>
      <c r="E47" s="179" t="str">
        <f>+NB!Z310</f>
        <v xml:space="preserve"> </v>
      </c>
      <c r="F47" s="179"/>
      <c r="G47" s="311" t="str">
        <f>+NB!AA310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TEXT(NB!V311,"#0")&amp;"                      "&amp;TEXT(NB!Y311,"#0")&amp;"   "</f>
        <v xml:space="preserve">2                      10   </v>
      </c>
      <c r="C48" s="388">
        <f>+NB!W311</f>
        <v>30</v>
      </c>
      <c r="D48" s="355">
        <f>+NB!X311</f>
        <v>28.5</v>
      </c>
      <c r="E48" s="179" t="str">
        <f>+NB!Z311</f>
        <v xml:space="preserve"> </v>
      </c>
      <c r="F48" s="179"/>
      <c r="G48" s="311" t="str">
        <f>+NB!AA311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TEXT(NB!V312,"#0")&amp;"                        "&amp;TEXT(NB!Y312,"#0")&amp;"   "</f>
        <v xml:space="preserve">2                        9   </v>
      </c>
      <c r="C49" s="387">
        <f>+NB!W312</f>
        <v>28</v>
      </c>
      <c r="D49" s="354">
        <f>+NB!X312</f>
        <v>26.5</v>
      </c>
      <c r="E49" s="316" t="str">
        <f>+NB!Z312</f>
        <v xml:space="preserve"> </v>
      </c>
      <c r="F49" s="316"/>
      <c r="G49" s="319" t="str">
        <f>+NB!AA312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TEXT(NB!V313,"#0")&amp;"                        "&amp;TEXT(NB!Y313,"#0")&amp;"   "</f>
        <v xml:space="preserve">2                        8   </v>
      </c>
      <c r="C50" s="388">
        <f>+NB!W313</f>
        <v>26</v>
      </c>
      <c r="D50" s="355">
        <f>+NB!X313</f>
        <v>24.5</v>
      </c>
      <c r="E50" s="179" t="str">
        <f>+NB!Z313</f>
        <v xml:space="preserve"> </v>
      </c>
      <c r="F50" s="179"/>
      <c r="G50" s="311" t="str">
        <f>+NB!AA313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TEXT(NB!V314,"#0")&amp;"                        "&amp;TEXT(NB!Y314,"#0")&amp;"   "</f>
        <v xml:space="preserve">2                        7   </v>
      </c>
      <c r="C51" s="389">
        <f>+NB!W314</f>
        <v>24</v>
      </c>
      <c r="D51" s="356">
        <f>+NB!X314</f>
        <v>22.5</v>
      </c>
      <c r="E51" s="318" t="str">
        <f>+NB!Z314</f>
        <v xml:space="preserve"> </v>
      </c>
      <c r="F51" s="318"/>
      <c r="G51" s="320" t="str">
        <f>+NB!AA314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TEXT(NB!V315,"#0")&amp;"                        "&amp;TEXT(NB!Y315,"#0")&amp;"   "</f>
        <v xml:space="preserve">2                        6   </v>
      </c>
      <c r="C52" s="388">
        <f>+NB!W315</f>
        <v>22</v>
      </c>
      <c r="D52" s="355">
        <f>+NB!X315</f>
        <v>20.5</v>
      </c>
      <c r="E52" s="179" t="str">
        <f>+NB!Z315</f>
        <v xml:space="preserve"> </v>
      </c>
      <c r="F52" s="179"/>
      <c r="G52" s="311" t="str">
        <f>+NB!AA315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TEXT(NB!V316,"#0")&amp;"                        "&amp;TEXT(NB!Y316,"#0")&amp;"   "</f>
        <v xml:space="preserve">2                        5   </v>
      </c>
      <c r="C53" s="388">
        <f>+NB!W316</f>
        <v>20</v>
      </c>
      <c r="D53" s="355">
        <f>+NB!X316</f>
        <v>18.5</v>
      </c>
      <c r="E53" s="179" t="str">
        <f>+NB!Z316</f>
        <v xml:space="preserve"> </v>
      </c>
      <c r="F53" s="179"/>
      <c r="G53" s="311" t="str">
        <f>+NB!AA316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TEXT(NB!V317,"#0")&amp;"                        "&amp;TEXT(NB!Y317,"#0")&amp;"   "</f>
        <v xml:space="preserve">2                        4   </v>
      </c>
      <c r="C54" s="388">
        <f>+NB!W317</f>
        <v>18</v>
      </c>
      <c r="D54" s="355">
        <f>+NB!X317</f>
        <v>16.5</v>
      </c>
      <c r="E54" s="179" t="str">
        <f>+NB!Z317</f>
        <v xml:space="preserve"> </v>
      </c>
      <c r="F54" s="179"/>
      <c r="G54" s="311" t="str">
        <f>+NB!AA317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TEXT(NB!V318,"#0")&amp;"                        "&amp;TEXT(NB!Y318,"#0")&amp;"   "</f>
        <v xml:space="preserve">3                        3   </v>
      </c>
      <c r="C55" s="387">
        <f>+NB!W318</f>
        <v>16</v>
      </c>
      <c r="D55" s="354">
        <f>+NB!X318</f>
        <v>13.5</v>
      </c>
      <c r="E55" s="316" t="str">
        <f>+NB!Z318</f>
        <v xml:space="preserve"> </v>
      </c>
      <c r="F55" s="316"/>
      <c r="G55" s="319" t="str">
        <f>+NB!AA318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TEXT(NB!V319,"#0")&amp;"                        "&amp;TEXT(NB!Y319,"#0")&amp;"   "</f>
        <v xml:space="preserve">3                        2   </v>
      </c>
      <c r="C56" s="388">
        <f>+NB!W319</f>
        <v>13</v>
      </c>
      <c r="D56" s="355">
        <f>+NB!X319</f>
        <v>11</v>
      </c>
      <c r="E56" s="179" t="str">
        <f>+NB!Z319</f>
        <v xml:space="preserve"> </v>
      </c>
      <c r="F56" s="179"/>
      <c r="G56" s="311" t="str">
        <f>+NB!AA319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TEXT(NB!V320,"#0")&amp;"                        "&amp;TEXT(NB!Y320,"#0")&amp;"   "</f>
        <v xml:space="preserve">3                        1   </v>
      </c>
      <c r="C57" s="389">
        <f>+NB!W320</f>
        <v>10.5</v>
      </c>
      <c r="D57" s="356">
        <f>+NB!X320</f>
        <v>8</v>
      </c>
      <c r="E57" s="318" t="str">
        <f>+NB!Z320</f>
        <v xml:space="preserve"> </v>
      </c>
      <c r="F57" s="318"/>
      <c r="G57" s="320" t="str">
        <f>+NB!AA320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TEXT(NB!V321,"#0")&amp;"                        "&amp;TEXT(NB!Y321,"#0")&amp;"   "</f>
        <v xml:space="preserve">8                        0   </v>
      </c>
      <c r="C58" s="390">
        <f>+NB!W321</f>
        <v>7.5</v>
      </c>
      <c r="D58" s="357">
        <f>+NB!X321</f>
        <v>0</v>
      </c>
      <c r="E58" s="313" t="str">
        <f>+NB!Z321</f>
        <v xml:space="preserve"> </v>
      </c>
      <c r="F58" s="313"/>
      <c r="G58" s="314" t="str">
        <f>+NB!AA321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 - 2. Extemporale aus","I - 2. Kurzarbeit aus")</f>
        <v>I - 2. Extemporale aus</v>
      </c>
      <c r="C1" s="256" t="str">
        <f>IF(Notenbogen!F1="","",Notenbogen!F1)</f>
        <v/>
      </c>
      <c r="D1" s="257"/>
      <c r="E1" s="227"/>
      <c r="F1" s="229" t="s">
        <v>27</v>
      </c>
      <c r="G1" s="493"/>
      <c r="H1" s="494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IF(D4="","",IF($H$3="BE",LOOKUP(IF(E4="",D4+0.01,D4*$H$30/E4+0.5),NB!$X$424:$X$439,NB!$Y$424:$Y$439),D4))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IF(D5="","",IF($H$3="BE",LOOKUP(IF(E5="",D5+0.01,D5*$H$30/E5+0.5),NB!$X$424:$X$439,NB!$Y$424:$Y$439),D5))</f>
        <v/>
      </c>
      <c r="D5" s="33"/>
      <c r="E5" s="142"/>
      <c r="F5" s="475" t="s">
        <v>25</v>
      </c>
      <c r="G5" s="476"/>
      <c r="H5" s="476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IF(D6="","",IF($H$3="BE",LOOKUP(IF(E6="",D6+0.01,D6*$H$30/E6+0.5),NB!$X$424:$X$439,NB!$Y$424:$Y$439),D6))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IF(D7="","",IF($H$3="BE",LOOKUP(IF(E7="",D7+0.01,D7*$H$30/E7+0.5),NB!$X$424:$X$439,NB!$Y$424:$Y$439),D7))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IF(D8="","",IF($H$3="BE",LOOKUP(IF(E8="",D8+0.01,D8*$H$30/E8+0.5),NB!$X$424:$X$439,NB!$Y$424:$Y$439),D8))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IF(D9="","",IF($H$3="BE",LOOKUP(IF(E9="",D9+0.01,D9*$H$30/E9+0.5),NB!$X$424:$X$439,NB!$Y$424:$Y$439),D9))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IF(D10="","",IF($H$3="BE",LOOKUP(IF(E10="",D10+0.01,D10*$H$30/E10+0.5),NB!$X$424:$X$439,NB!$Y$424:$Y$439),D10))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IF(D11="","",IF($H$3="BE",LOOKUP(IF(E11="",D11+0.01,D11*$H$30/E11+0.5),NB!$X$424:$X$439,NB!$Y$424:$Y$439),D11))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IF(D12="","",IF($H$3="BE",LOOKUP(IF(E12="",D12+0.01,D12*$H$30/E12+0.5),NB!$X$424:$X$439,NB!$Y$424:$Y$439),D12))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IF(D13="","",IF($H$3="BE",LOOKUP(IF(E13="",D13+0.01,D13*$H$30/E13+0.5),NB!$X$424:$X$439,NB!$Y$424:$Y$439),D13))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IF(D14="","",IF($H$3="BE",LOOKUP(IF(E14="",D14+0.01,D14*$H$30/E14+0.5),NB!$X$424:$X$439,NB!$Y$424:$Y$439),D14))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IF(D15="","",IF($H$3="BE",LOOKUP(IF(E15="",D15+0.01,D15*$H$30/E15+0.5),NB!$X$424:$X$439,NB!$Y$424:$Y$439),D15))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IF(D16="","",IF($H$3="BE",LOOKUP(IF(E16="",D16+0.01,D16*$H$30/E16+0.5),NB!$X$424:$X$439,NB!$Y$424:$Y$439),D16))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IF(D17="","",IF($H$3="BE",LOOKUP(IF(E17="",D17+0.01,D17*$H$30/E17+0.5),NB!$X$424:$X$439,NB!$Y$424:$Y$439),D17))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IF(D18="","",IF($H$3="BE",LOOKUP(IF(E18="",D18+0.01,D18*$H$30/E18+0.5),NB!$X$424:$X$439,NB!$Y$424:$Y$439),D18))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IF(D19="","",IF($H$3="BE",LOOKUP(IF(E19="",D19+0.01,D19*$H$30/E19+0.5),NB!$X$424:$X$439,NB!$Y$424:$Y$439),D19))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IF(D20="","",IF($H$3="BE",LOOKUP(IF(E20="",D20+0.01,D20*$H$30/E20+0.5),NB!$X$424:$X$439,NB!$Y$424:$Y$439),D20))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IF(D21="","",IF($H$3="BE",LOOKUP(IF(E21="",D21+0.01,D21*$H$30/E21+0.5),NB!$X$424:$X$439,NB!$Y$424:$Y$439),D21))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IF(D22="","",IF($H$3="BE",LOOKUP(IF(E22="",D22+0.01,D22*$H$30/E22+0.5),NB!$X$424:$X$439,NB!$Y$424:$Y$439),D22))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IF(D23="","",IF($H$3="BE",LOOKUP(IF(E23="",D23+0.01,D23*$H$30/E23+0.5),NB!$X$424:$X$439,NB!$Y$424:$Y$439),D23))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IF(D24="","",IF($H$3="BE",LOOKUP(IF(E24="",D24+0.01,D24*$H$30/E24+0.5),NB!$X$424:$X$439,NB!$Y$424:$Y$439),D24))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IF(D25="","",IF($H$3="BE",LOOKUP(IF(E25="",D25+0.01,D25*$H$30/E25+0.5),NB!$X$424:$X$439,NB!$Y$424:$Y$439),D25))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IF(D26="","",IF($H$3="BE",LOOKUP(IF(E26="",D26+0.01,D26*$H$30/E26+0.5),NB!$X$424:$X$439,NB!$Y$424:$Y$439),D26))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IF(D27="","",IF($H$3="BE",LOOKUP(IF(E27="",D27+0.01,D27*$H$30/E27+0.5),NB!$X$424:$X$439,NB!$Y$424:$Y$439),D27))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IF(D28="","",IF($H$3="BE",LOOKUP(IF(E28="",D28+0.01,D28*$H$30/E28+0.5),NB!$X$424:$X$439,NB!$Y$424:$Y$439),D28))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IF(D29="","",IF($H$3="BE",LOOKUP(IF(E29="",D29+0.01,D29*$H$30/E29+0.5),NB!$X$424:$X$439,NB!$Y$424:$Y$439),D29))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IF(D30="","",IF($H$3="BE",LOOKUP(IF(E30="",D30+0.01,D30*$H$30/E30+0.5),NB!$X$424:$X$439,NB!$Y$424:$Y$439),D30))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IF(D31="","",IF($H$3="BE",LOOKUP(IF(E31="",D31+0.01,D31*$H$30/E31+0.5),NB!$X$424:$X$439,NB!$Y$424:$Y$439),D31))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IF(D32="","",IF($H$3="BE",LOOKUP(IF(E32="",D32+0.01,D32*$H$30/E32+0.5),NB!$X$424:$X$439,NB!$Y$424:$Y$439),D32))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IF(D33="","",IF($H$3="BE",LOOKUP(IF(E33="",D33+0.01,D33*$H$30/E33+0.5),NB!$X$424:$X$439,NB!$Y$424:$Y$439),D33))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IF(D34="","",IF($H$3="BE",LOOKUP(IF(E34="",D34+0.01,D34*$H$30/E34+0.5),NB!$X$424:$X$439,NB!$Y$424:$Y$439),D34))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IF(D35="","",IF($H$3="BE",LOOKUP(IF(E35="",D35+0.01,D35*$H$30/E35+0.5),NB!$X$424:$X$439,NB!$Y$424:$Y$439),D35))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IF(D36="","",IF($H$3="BE",LOOKUP(IF(E36="",D36+0.01,D36*$H$30/E36+0.5),NB!$X$424:$X$439,NB!$Y$424:$Y$439),D36))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IF(D37="","",IF($H$3="BE",LOOKUP(IF(E37="",D37+0.01,D37*$H$30/E37+0.5),NB!$X$424:$X$439,NB!$Y$424:$Y$439),D37))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IF(D38="","",IF($H$3="BE",LOOKUP(IF(E38="",D38+0.01,D38*$H$30/E38+0.5),NB!$X$424:$X$439,NB!$Y$424:$Y$439),D38))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TEXT(NB!V406,"#0")&amp;"                      "&amp;TEXT(NB!Y406,"#0")&amp;"   "</f>
        <v xml:space="preserve">2                      15   </v>
      </c>
      <c r="C43" s="387">
        <f>+NB!W406</f>
        <v>40</v>
      </c>
      <c r="D43" s="354">
        <f>+NB!X406</f>
        <v>38.5</v>
      </c>
      <c r="E43" s="316" t="str">
        <f>+NB!Z406</f>
        <v xml:space="preserve"> </v>
      </c>
      <c r="F43" s="316"/>
      <c r="G43" s="319" t="str">
        <f>+NB!AA406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TEXT(NB!V407,"#0")&amp;"                      "&amp;TEXT(NB!Y407,"#0")&amp;"   "</f>
        <v xml:space="preserve">2                      14   </v>
      </c>
      <c r="C44" s="388">
        <f>+NB!W407</f>
        <v>38</v>
      </c>
      <c r="D44" s="355">
        <f>+NB!X407</f>
        <v>36.5</v>
      </c>
      <c r="E44" s="179" t="str">
        <f>+NB!Z407</f>
        <v xml:space="preserve"> </v>
      </c>
      <c r="F44" s="179"/>
      <c r="G44" s="311" t="str">
        <f>+NB!AA407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TEXT(NB!V408,"#0")&amp;"                      "&amp;TEXT(NB!Y408,"#0")&amp;"   "</f>
        <v xml:space="preserve">2                      13   </v>
      </c>
      <c r="C45" s="389">
        <f>+NB!W408</f>
        <v>36</v>
      </c>
      <c r="D45" s="356">
        <f>+NB!X408</f>
        <v>34.5</v>
      </c>
      <c r="E45" s="318" t="str">
        <f>+NB!Z408</f>
        <v xml:space="preserve"> </v>
      </c>
      <c r="F45" s="318"/>
      <c r="G45" s="320" t="str">
        <f>+NB!AA408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TEXT(NB!V409,"#0")&amp;"                      "&amp;TEXT(NB!Y409,"#0")&amp;"   "</f>
        <v xml:space="preserve">2                      12   </v>
      </c>
      <c r="C46" s="388">
        <f>+NB!W409</f>
        <v>34</v>
      </c>
      <c r="D46" s="355">
        <f>+NB!X409</f>
        <v>32.5</v>
      </c>
      <c r="E46" s="179" t="str">
        <f>+NB!Z409</f>
        <v xml:space="preserve"> </v>
      </c>
      <c r="F46" s="179"/>
      <c r="G46" s="311" t="str">
        <f>+NB!AA409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TEXT(NB!V410,"#0")&amp;"                      "&amp;TEXT(NB!Y410,"#0")&amp;"   "</f>
        <v xml:space="preserve">2                      11   </v>
      </c>
      <c r="C47" s="388">
        <f>+NB!W410</f>
        <v>32</v>
      </c>
      <c r="D47" s="355">
        <f>+NB!X410</f>
        <v>30.5</v>
      </c>
      <c r="E47" s="179" t="str">
        <f>+NB!Z410</f>
        <v xml:space="preserve"> </v>
      </c>
      <c r="F47" s="179"/>
      <c r="G47" s="311" t="str">
        <f>+NB!AA410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TEXT(NB!V411,"#0")&amp;"                      "&amp;TEXT(NB!Y411,"#0")&amp;"   "</f>
        <v xml:space="preserve">2                      10   </v>
      </c>
      <c r="C48" s="388">
        <f>+NB!W411</f>
        <v>30</v>
      </c>
      <c r="D48" s="355">
        <f>+NB!X411</f>
        <v>28.5</v>
      </c>
      <c r="E48" s="179" t="str">
        <f>+NB!Z411</f>
        <v xml:space="preserve"> </v>
      </c>
      <c r="F48" s="179"/>
      <c r="G48" s="311" t="str">
        <f>+NB!AA411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TEXT(NB!V412,"#0")&amp;"                        "&amp;TEXT(NB!Y412,"#0")&amp;"   "</f>
        <v xml:space="preserve">2                        9   </v>
      </c>
      <c r="C49" s="387">
        <f>+NB!W412</f>
        <v>28</v>
      </c>
      <c r="D49" s="354">
        <f>+NB!X412</f>
        <v>26.5</v>
      </c>
      <c r="E49" s="316" t="str">
        <f>+NB!Z412</f>
        <v xml:space="preserve"> </v>
      </c>
      <c r="F49" s="316"/>
      <c r="G49" s="319" t="str">
        <f>+NB!AA412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TEXT(NB!V413,"#0")&amp;"                        "&amp;TEXT(NB!Y413,"#0")&amp;"   "</f>
        <v xml:space="preserve">2                        8   </v>
      </c>
      <c r="C50" s="388">
        <f>+NB!W413</f>
        <v>26</v>
      </c>
      <c r="D50" s="355">
        <f>+NB!X413</f>
        <v>24.5</v>
      </c>
      <c r="E50" s="179" t="str">
        <f>+NB!Z413</f>
        <v xml:space="preserve"> </v>
      </c>
      <c r="F50" s="179"/>
      <c r="G50" s="311" t="str">
        <f>+NB!AA413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TEXT(NB!V414,"#0")&amp;"                        "&amp;TEXT(NB!Y414,"#0")&amp;"   "</f>
        <v xml:space="preserve">2                        7   </v>
      </c>
      <c r="C51" s="389">
        <f>+NB!W414</f>
        <v>24</v>
      </c>
      <c r="D51" s="356">
        <f>+NB!X414</f>
        <v>22.5</v>
      </c>
      <c r="E51" s="318" t="str">
        <f>+NB!Z414</f>
        <v xml:space="preserve"> </v>
      </c>
      <c r="F51" s="318"/>
      <c r="G51" s="320" t="str">
        <f>+NB!AA414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TEXT(NB!V415,"#0")&amp;"                        "&amp;TEXT(NB!Y415,"#0")&amp;"   "</f>
        <v xml:space="preserve">2                        6   </v>
      </c>
      <c r="C52" s="388">
        <f>+NB!W415</f>
        <v>22</v>
      </c>
      <c r="D52" s="355">
        <f>+NB!X415</f>
        <v>20.5</v>
      </c>
      <c r="E52" s="179" t="str">
        <f>+NB!Z415</f>
        <v xml:space="preserve"> </v>
      </c>
      <c r="F52" s="179"/>
      <c r="G52" s="311" t="str">
        <f>+NB!AA415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TEXT(NB!V416,"#0")&amp;"                        "&amp;TEXT(NB!Y416,"#0")&amp;"   "</f>
        <v xml:space="preserve">2                        5   </v>
      </c>
      <c r="C53" s="388">
        <f>+NB!W416</f>
        <v>20</v>
      </c>
      <c r="D53" s="355">
        <f>+NB!X416</f>
        <v>18.5</v>
      </c>
      <c r="E53" s="179" t="str">
        <f>+NB!Z416</f>
        <v xml:space="preserve"> </v>
      </c>
      <c r="F53" s="179"/>
      <c r="G53" s="311" t="str">
        <f>+NB!AA416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TEXT(NB!V417,"#0")&amp;"                        "&amp;TEXT(NB!Y417,"#0")&amp;"   "</f>
        <v xml:space="preserve">2                        4   </v>
      </c>
      <c r="C54" s="388">
        <f>+NB!W417</f>
        <v>18</v>
      </c>
      <c r="D54" s="355">
        <f>+NB!X417</f>
        <v>16.5</v>
      </c>
      <c r="E54" s="179" t="str">
        <f>+NB!Z417</f>
        <v xml:space="preserve"> </v>
      </c>
      <c r="F54" s="179"/>
      <c r="G54" s="311" t="str">
        <f>+NB!AA417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TEXT(NB!V418,"#0")&amp;"                        "&amp;TEXT(NB!Y418,"#0")&amp;"   "</f>
        <v xml:space="preserve">3                        3   </v>
      </c>
      <c r="C55" s="387">
        <f>+NB!W418</f>
        <v>16</v>
      </c>
      <c r="D55" s="354">
        <f>+NB!X418</f>
        <v>13.5</v>
      </c>
      <c r="E55" s="316" t="str">
        <f>+NB!Z418</f>
        <v xml:space="preserve"> </v>
      </c>
      <c r="F55" s="316"/>
      <c r="G55" s="319" t="str">
        <f>+NB!AA418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TEXT(NB!V419,"#0")&amp;"                        "&amp;TEXT(NB!Y419,"#0")&amp;"   "</f>
        <v xml:space="preserve">3                        2   </v>
      </c>
      <c r="C56" s="388">
        <f>+NB!W419</f>
        <v>13</v>
      </c>
      <c r="D56" s="355">
        <f>+NB!X419</f>
        <v>11</v>
      </c>
      <c r="E56" s="179" t="str">
        <f>+NB!Z419</f>
        <v xml:space="preserve"> </v>
      </c>
      <c r="F56" s="179"/>
      <c r="G56" s="311" t="str">
        <f>+NB!AA419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TEXT(NB!V420,"#0")&amp;"                        "&amp;TEXT(NB!Y420,"#0")&amp;"   "</f>
        <v xml:space="preserve">3                        1   </v>
      </c>
      <c r="C57" s="389">
        <f>+NB!W420</f>
        <v>10.5</v>
      </c>
      <c r="D57" s="356">
        <f>+NB!X420</f>
        <v>8</v>
      </c>
      <c r="E57" s="318" t="str">
        <f>+NB!Z420</f>
        <v xml:space="preserve"> </v>
      </c>
      <c r="F57" s="318"/>
      <c r="G57" s="320" t="str">
        <f>+NB!AA420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TEXT(NB!V421,"#0")&amp;"                        "&amp;TEXT(NB!Y421,"#0")&amp;"   "</f>
        <v xml:space="preserve">8                        0   </v>
      </c>
      <c r="C58" s="390">
        <f>+NB!W421</f>
        <v>7.5</v>
      </c>
      <c r="D58" s="357">
        <f>+NB!X421</f>
        <v>0</v>
      </c>
      <c r="E58" s="313" t="str">
        <f>+NB!Z421</f>
        <v xml:space="preserve"> </v>
      </c>
      <c r="F58" s="313"/>
      <c r="G58" s="314" t="str">
        <f>+NB!AA421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- 3. Extemporale aus","I - 3. Kurzarbeit aus")</f>
        <v>I - 3. Extemporale aus</v>
      </c>
      <c r="C1" s="219" t="str">
        <f>IF(Notenbogen!F1="","",Notenbogen!F1)</f>
        <v/>
      </c>
      <c r="D1" s="226"/>
      <c r="E1" s="8"/>
      <c r="F1" s="216" t="s">
        <v>27</v>
      </c>
      <c r="G1" s="493">
        <v>40212</v>
      </c>
      <c r="H1" s="49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IF(D4="","",IF($H$3="BE",LOOKUP(IF(E4="",D4+0.01,D4*$H$30/E4+0.5),NB!$X$524:$X$539,NB!$Y$524:$Y$539),D4))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IF(D5="","",IF($H$3="BE",LOOKUP(IF(E5="",D5+0.01,D5*$H$30/E5+0.5),NB!$X$524:$X$539,NB!$Y$524:$Y$539),D5))</f>
        <v/>
      </c>
      <c r="D5" s="33"/>
      <c r="E5" s="142"/>
      <c r="F5" s="491" t="s">
        <v>25</v>
      </c>
      <c r="G5" s="492"/>
      <c r="H5" s="492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IF(D6="","",IF($H$3="BE",LOOKUP(IF(E6="",D6+0.01,D6*$H$30/E6+0.5),NB!$X$524:$X$539,NB!$Y$524:$Y$539),D6))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IF(D7="","",IF($H$3="BE",LOOKUP(IF(E7="",D7+0.01,D7*$H$30/E7+0.5),NB!$X$524:$X$539,NB!$Y$524:$Y$539),D7))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IF(D8="","",IF($H$3="BE",LOOKUP(IF(E8="",D8+0.01,D8*$H$30/E8+0.5),NB!$X$524:$X$539,NB!$Y$524:$Y$539),D8))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IF(D9="","",IF($H$3="BE",LOOKUP(IF(E9="",D9+0.01,D9*$H$30/E9+0.5),NB!$X$524:$X$539,NB!$Y$524:$Y$539),D9))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IF(D10="","",IF($H$3="BE",LOOKUP(IF(E10="",D10+0.01,D10*$H$30/E10+0.5),NB!$X$524:$X$539,NB!$Y$524:$Y$539),D10))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IF(D11="","",IF($H$3="BE",LOOKUP(IF(E11="",D11+0.01,D11*$H$30/E11+0.5),NB!$X$524:$X$539,NB!$Y$524:$Y$539),D11))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IF(D12="","",IF($H$3="BE",LOOKUP(IF(E12="",D12+0.01,D12*$H$30/E12+0.5),NB!$X$524:$X$539,NB!$Y$524:$Y$539),D12))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IF(D13="","",IF($H$3="BE",LOOKUP(IF(E13="",D13+0.01,D13*$H$30/E13+0.5),NB!$X$524:$X$539,NB!$Y$524:$Y$539),D13))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IF(D14="","",IF($H$3="BE",LOOKUP(IF(E14="",D14+0.01,D14*$H$30/E14+0.5),NB!$X$524:$X$539,NB!$Y$524:$Y$539),D14))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IF(D15="","",IF($H$3="BE",LOOKUP(IF(E15="",D15+0.01,D15*$H$30/E15+0.5),NB!$X$524:$X$539,NB!$Y$524:$Y$539),D15))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IF(D16="","",IF($H$3="BE",LOOKUP(IF(E16="",D16+0.01,D16*$H$30/E16+0.5),NB!$X$524:$X$539,NB!$Y$524:$Y$539),D16))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IF(D17="","",IF($H$3="BE",LOOKUP(IF(E17="",D17+0.01,D17*$H$30/E17+0.5),NB!$X$524:$X$539,NB!$Y$524:$Y$539),D17))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IF(D18="","",IF($H$3="BE",LOOKUP(IF(E18="",D18+0.01,D18*$H$30/E18+0.5),NB!$X$524:$X$539,NB!$Y$524:$Y$539),D18))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IF(D19="","",IF($H$3="BE",LOOKUP(IF(E19="",D19+0.01,D19*$H$30/E19+0.5),NB!$X$524:$X$539,NB!$Y$524:$Y$539),D19))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IF(D20="","",IF($H$3="BE",LOOKUP(IF(E20="",D20+0.01,D20*$H$30/E20+0.5),NB!$X$524:$X$539,NB!$Y$524:$Y$539),D20))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IF(D21="","",IF($H$3="BE",LOOKUP(IF(E21="",D21+0.01,D21*$H$30/E21+0.5),NB!$X$524:$X$539,NB!$Y$524:$Y$539),D21))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IF(D22="","",IF($H$3="BE",LOOKUP(IF(E22="",D22+0.01,D22*$H$30/E22+0.5),NB!$X$524:$X$539,NB!$Y$524:$Y$539),D22))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IF(D23="","",IF($H$3="BE",LOOKUP(IF(E23="",D23+0.01,D23*$H$30/E23+0.5),NB!$X$524:$X$539,NB!$Y$524:$Y$539),D23))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IF(D24="","",IF($H$3="BE",LOOKUP(IF(E24="",D24+0.01,D24*$H$30/E24+0.5),NB!$X$524:$X$539,NB!$Y$524:$Y$539),D24))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IF(D25="","",IF($H$3="BE",LOOKUP(IF(E25="",D25+0.01,D25*$H$30/E25+0.5),NB!$X$524:$X$539,NB!$Y$524:$Y$539),D25))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IF(D26="","",IF($H$3="BE",LOOKUP(IF(E26="",D26+0.01,D26*$H$30/E26+0.5),NB!$X$524:$X$539,NB!$Y$524:$Y$539),D26))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IF(D27="","",IF($H$3="BE",LOOKUP(IF(E27="",D27+0.01,D27*$H$30/E27+0.5),NB!$X$524:$X$539,NB!$Y$524:$Y$539),D27))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IF(D28="","",IF($H$3="BE",LOOKUP(IF(E28="",D28+0.01,D28*$H$30/E28+0.5),NB!$X$524:$X$539,NB!$Y$524:$Y$539),D28))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IF(D29="","",IF($H$3="BE",LOOKUP(IF(E29="",D29+0.01,D29*$H$30/E29+0.5),NB!$X$524:$X$539,NB!$Y$524:$Y$539),D29))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IF(D30="","",IF($H$3="BE",LOOKUP(IF(E30="",D30+0.01,D30*$H$30/E30+0.5),NB!$X$524:$X$539,NB!$Y$524:$Y$539),D30))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IF(D31="","",IF($H$3="BE",LOOKUP(IF(E31="",D31+0.01,D31*$H$30/E31+0.5),NB!$X$524:$X$539,NB!$Y$524:$Y$539),D31))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IF(D32="","",IF($H$3="BE",LOOKUP(IF(E32="",D32+0.01,D32*$H$30/E32+0.5),NB!$X$524:$X$539,NB!$Y$524:$Y$539),D32))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IF(D33="","",IF($H$3="BE",LOOKUP(IF(E33="",D33+0.01,D33*$H$30/E33+0.5),NB!$X$524:$X$539,NB!$Y$524:$Y$539),D33))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IF(D34="","",IF($H$3="BE",LOOKUP(IF(E34="",D34+0.01,D34*$H$30/E34+0.5),NB!$X$524:$X$539,NB!$Y$524:$Y$539),D34))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IF(D35="","",IF($H$3="BE",LOOKUP(IF(E35="",D35+0.01,D35*$H$30/E35+0.5),NB!$X$524:$X$539,NB!$Y$524:$Y$539),D35))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IF(D36="","",IF($H$3="BE",LOOKUP(IF(E36="",D36+0.01,D36*$H$30/E36+0.5),NB!$X$524:$X$539,NB!$Y$524:$Y$539),D36))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IF(D37="","",IF($H$3="BE",LOOKUP(IF(E37="",D37+0.01,D37*$H$30/E37+0.5),NB!$X$524:$X$539,NB!$Y$524:$Y$539),D37))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IF(D38="","",IF($H$3="BE",LOOKUP(IF(E38="",D38+0.01,D38*$H$30/E38+0.5),NB!$X$524:$X$539,NB!$Y$524:$Y$539),D38))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488" t="s">
        <v>149</v>
      </c>
      <c r="B40" s="321" t="s">
        <v>141</v>
      </c>
      <c r="C40" s="480" t="s">
        <v>138</v>
      </c>
      <c r="D40" s="481"/>
      <c r="E40" s="484" t="str">
        <f>+NB!Z2</f>
        <v>Kontrolle</v>
      </c>
      <c r="F40" s="484"/>
      <c r="G40" s="48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489"/>
      <c r="B41" s="179" t="s">
        <v>139</v>
      </c>
      <c r="C41" s="482" t="s">
        <v>140</v>
      </c>
      <c r="D41" s="483"/>
      <c r="E41" s="486" t="str">
        <f>+NB!Z3</f>
        <v>"Alarm" bei Abweichung</v>
      </c>
      <c r="F41" s="486"/>
      <c r="G41" s="487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490"/>
      <c r="B42" s="179"/>
      <c r="C42" s="308" t="s">
        <v>46</v>
      </c>
      <c r="D42" s="309" t="s">
        <v>47</v>
      </c>
      <c r="E42" s="486" t="str">
        <f>+NB!Z4</f>
        <v>um mehr als 1 BE</v>
      </c>
      <c r="F42" s="486"/>
      <c r="G42" s="487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TEXT(NB!V506,"#0")&amp;"                      "&amp;TEXT(NB!Y506,"#0")&amp;"   "</f>
        <v xml:space="preserve">2                      15   </v>
      </c>
      <c r="C43" s="387">
        <f>+NB!W506</f>
        <v>40</v>
      </c>
      <c r="D43" s="354">
        <f>+NB!X506</f>
        <v>38.5</v>
      </c>
      <c r="E43" s="316" t="str">
        <f>+NB!Z506</f>
        <v xml:space="preserve"> </v>
      </c>
      <c r="F43" s="316"/>
      <c r="G43" s="319" t="str">
        <f>+NB!AA506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TEXT(NB!V507,"#0")&amp;"                      "&amp;TEXT(NB!Y507,"#0")&amp;"   "</f>
        <v xml:space="preserve">2                      14   </v>
      </c>
      <c r="C44" s="388">
        <f>+NB!W507</f>
        <v>38</v>
      </c>
      <c r="D44" s="355">
        <f>+NB!X507</f>
        <v>36.5</v>
      </c>
      <c r="E44" s="179" t="str">
        <f>+NB!Z507</f>
        <v xml:space="preserve"> </v>
      </c>
      <c r="F44" s="179"/>
      <c r="G44" s="311" t="str">
        <f>+NB!AA507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TEXT(NB!V508,"#0")&amp;"                      "&amp;TEXT(NB!Y508,"#0")&amp;"   "</f>
        <v xml:space="preserve">2                      13   </v>
      </c>
      <c r="C45" s="389">
        <f>+NB!W508</f>
        <v>36</v>
      </c>
      <c r="D45" s="356">
        <f>+NB!X508</f>
        <v>34.5</v>
      </c>
      <c r="E45" s="318" t="str">
        <f>+NB!Z508</f>
        <v xml:space="preserve"> </v>
      </c>
      <c r="F45" s="318"/>
      <c r="G45" s="320" t="str">
        <f>+NB!AA508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TEXT(NB!V509,"#0")&amp;"                      "&amp;TEXT(NB!Y509,"#0")&amp;"   "</f>
        <v xml:space="preserve">2                      12   </v>
      </c>
      <c r="C46" s="388">
        <f>+NB!W509</f>
        <v>34</v>
      </c>
      <c r="D46" s="355">
        <f>+NB!X509</f>
        <v>32.5</v>
      </c>
      <c r="E46" s="179" t="str">
        <f>+NB!Z509</f>
        <v xml:space="preserve"> </v>
      </c>
      <c r="F46" s="179"/>
      <c r="G46" s="311" t="str">
        <f>+NB!AA509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TEXT(NB!V510,"#0")&amp;"                      "&amp;TEXT(NB!Y510,"#0")&amp;"   "</f>
        <v xml:space="preserve">2                      11   </v>
      </c>
      <c r="C47" s="388">
        <f>+NB!W510</f>
        <v>32</v>
      </c>
      <c r="D47" s="355">
        <f>+NB!X510</f>
        <v>30.5</v>
      </c>
      <c r="E47" s="179" t="str">
        <f>+NB!Z510</f>
        <v xml:space="preserve"> </v>
      </c>
      <c r="F47" s="179"/>
      <c r="G47" s="311" t="str">
        <f>+NB!AA510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TEXT(NB!V511,"#0")&amp;"                      "&amp;TEXT(NB!Y511,"#0")&amp;"   "</f>
        <v xml:space="preserve">2                      10   </v>
      </c>
      <c r="C48" s="388">
        <f>+NB!W511</f>
        <v>30</v>
      </c>
      <c r="D48" s="355">
        <f>+NB!X511</f>
        <v>28.5</v>
      </c>
      <c r="E48" s="179" t="str">
        <f>+NB!Z511</f>
        <v xml:space="preserve"> </v>
      </c>
      <c r="F48" s="179"/>
      <c r="G48" s="311" t="str">
        <f>+NB!AA511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TEXT(NB!V512,"#0")&amp;"                        "&amp;TEXT(NB!Y512,"#0")&amp;"   "</f>
        <v xml:space="preserve">2                        9   </v>
      </c>
      <c r="C49" s="387">
        <f>+NB!W512</f>
        <v>28</v>
      </c>
      <c r="D49" s="354">
        <f>+NB!X512</f>
        <v>26.5</v>
      </c>
      <c r="E49" s="316" t="str">
        <f>+NB!Z512</f>
        <v xml:space="preserve"> </v>
      </c>
      <c r="F49" s="316"/>
      <c r="G49" s="319" t="str">
        <f>+NB!AA512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TEXT(NB!V513,"#0")&amp;"                        "&amp;TEXT(NB!Y513,"#0")&amp;"   "</f>
        <v xml:space="preserve">2                        8   </v>
      </c>
      <c r="C50" s="388">
        <f>+NB!W513</f>
        <v>26</v>
      </c>
      <c r="D50" s="355">
        <f>+NB!X513</f>
        <v>24.5</v>
      </c>
      <c r="E50" s="179" t="str">
        <f>+NB!Z513</f>
        <v xml:space="preserve"> </v>
      </c>
      <c r="F50" s="179"/>
      <c r="G50" s="311" t="str">
        <f>+NB!AA513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TEXT(NB!V514,"#0")&amp;"                        "&amp;TEXT(NB!Y514,"#0")&amp;"   "</f>
        <v xml:space="preserve">2                        7   </v>
      </c>
      <c r="C51" s="389">
        <f>+NB!W514</f>
        <v>24</v>
      </c>
      <c r="D51" s="356">
        <f>+NB!X514</f>
        <v>22.5</v>
      </c>
      <c r="E51" s="318" t="str">
        <f>+NB!Z514</f>
        <v xml:space="preserve"> </v>
      </c>
      <c r="F51" s="318"/>
      <c r="G51" s="320" t="str">
        <f>+NB!AA514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TEXT(NB!V515,"#0")&amp;"                        "&amp;TEXT(NB!Y515,"#0")&amp;"   "</f>
        <v xml:space="preserve">2                        6   </v>
      </c>
      <c r="C52" s="388">
        <f>+NB!W515</f>
        <v>22</v>
      </c>
      <c r="D52" s="355">
        <f>+NB!X515</f>
        <v>20.5</v>
      </c>
      <c r="E52" s="179" t="str">
        <f>+NB!Z515</f>
        <v xml:space="preserve"> </v>
      </c>
      <c r="F52" s="179"/>
      <c r="G52" s="311" t="str">
        <f>+NB!AA515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TEXT(NB!V516,"#0")&amp;"                        "&amp;TEXT(NB!Y516,"#0")&amp;"   "</f>
        <v xml:space="preserve">2                        5   </v>
      </c>
      <c r="C53" s="388">
        <f>+NB!W516</f>
        <v>20</v>
      </c>
      <c r="D53" s="355">
        <f>+NB!X516</f>
        <v>18.5</v>
      </c>
      <c r="E53" s="179" t="str">
        <f>+NB!Z516</f>
        <v xml:space="preserve"> </v>
      </c>
      <c r="F53" s="179"/>
      <c r="G53" s="311" t="str">
        <f>+NB!AA516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TEXT(NB!V517,"#0")&amp;"                        "&amp;TEXT(NB!Y517,"#0")&amp;"   "</f>
        <v xml:space="preserve">2                        4   </v>
      </c>
      <c r="C54" s="388">
        <f>+NB!W517</f>
        <v>18</v>
      </c>
      <c r="D54" s="355">
        <f>+NB!X517</f>
        <v>16.5</v>
      </c>
      <c r="E54" s="179" t="str">
        <f>+NB!Z517</f>
        <v xml:space="preserve"> </v>
      </c>
      <c r="F54" s="179"/>
      <c r="G54" s="311" t="str">
        <f>+NB!AA517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TEXT(NB!V518,"#0")&amp;"                        "&amp;TEXT(NB!Y518,"#0")&amp;"   "</f>
        <v xml:space="preserve">3                        3   </v>
      </c>
      <c r="C55" s="387">
        <f>+NB!W518</f>
        <v>16</v>
      </c>
      <c r="D55" s="354">
        <f>+NB!X518</f>
        <v>13.5</v>
      </c>
      <c r="E55" s="316" t="str">
        <f>+NB!Z518</f>
        <v xml:space="preserve"> </v>
      </c>
      <c r="F55" s="316"/>
      <c r="G55" s="319" t="str">
        <f>+NB!AA518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TEXT(NB!V519,"#0")&amp;"                        "&amp;TEXT(NB!Y519,"#0")&amp;"   "</f>
        <v xml:space="preserve">3                        2   </v>
      </c>
      <c r="C56" s="388">
        <f>+NB!W519</f>
        <v>13</v>
      </c>
      <c r="D56" s="355">
        <f>+NB!X519</f>
        <v>11</v>
      </c>
      <c r="E56" s="179" t="str">
        <f>+NB!Z519</f>
        <v xml:space="preserve"> </v>
      </c>
      <c r="F56" s="179"/>
      <c r="G56" s="311" t="str">
        <f>+NB!AA519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TEXT(NB!V520,"#0")&amp;"                        "&amp;TEXT(NB!Y520,"#0")&amp;"   "</f>
        <v xml:space="preserve">3                        1   </v>
      </c>
      <c r="C57" s="389">
        <f>+NB!W520</f>
        <v>10.5</v>
      </c>
      <c r="D57" s="356">
        <f>+NB!X520</f>
        <v>8</v>
      </c>
      <c r="E57" s="318" t="str">
        <f>+NB!Z520</f>
        <v xml:space="preserve"> </v>
      </c>
      <c r="F57" s="318"/>
      <c r="G57" s="320" t="str">
        <f>+NB!AA520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TEXT(NB!V521,"#0")&amp;"                        "&amp;TEXT(NB!Y521,"#0")&amp;"   "</f>
        <v xml:space="preserve">8                        0   </v>
      </c>
      <c r="C58" s="390">
        <f>+NB!W521</f>
        <v>7.5</v>
      </c>
      <c r="D58" s="357">
        <f>+NB!X521</f>
        <v>0</v>
      </c>
      <c r="E58" s="313" t="str">
        <f>+NB!Z521</f>
        <v xml:space="preserve"> </v>
      </c>
      <c r="F58" s="313"/>
      <c r="G58" s="314" t="str">
        <f>+NB!AA521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13</vt:i4>
      </vt:variant>
    </vt:vector>
  </HeadingPairs>
  <TitlesOfParts>
    <vt:vector size="35" baseType="lpstr">
      <vt:lpstr>Trans</vt:lpstr>
      <vt:lpstr>Notenbogen</vt:lpstr>
      <vt:lpstr>NB</vt:lpstr>
      <vt:lpstr>I1SA</vt:lpstr>
      <vt:lpstr>I2SA</vt:lpstr>
      <vt:lpstr>I3SA</vt:lpstr>
      <vt:lpstr>I1Ext</vt:lpstr>
      <vt:lpstr>I2Ext</vt:lpstr>
      <vt:lpstr>I3Ext</vt:lpstr>
      <vt:lpstr>I4Ext</vt:lpstr>
      <vt:lpstr>II1SA</vt:lpstr>
      <vt:lpstr>II2SA</vt:lpstr>
      <vt:lpstr>II3SA</vt:lpstr>
      <vt:lpstr>II1Ext</vt:lpstr>
      <vt:lpstr>II2Ext</vt:lpstr>
      <vt:lpstr>II3Ext</vt:lpstr>
      <vt:lpstr>II4Ext</vt:lpstr>
      <vt:lpstr>AP</vt:lpstr>
      <vt:lpstr>Ausdruck SAP</vt:lpstr>
      <vt:lpstr>APRohpunkte</vt:lpstr>
      <vt:lpstr>Was wäre wenn</vt:lpstr>
      <vt:lpstr>diNo</vt:lpstr>
      <vt:lpstr>'Ausdruck SAP'!Druckbereich</vt:lpstr>
      <vt:lpstr>I3SA!Druckbereich</vt:lpstr>
      <vt:lpstr>I4Ext!Druckbereich</vt:lpstr>
      <vt:lpstr>Notenbogen!Druckbereich</vt:lpstr>
      <vt:lpstr>diNo!FR</vt:lpstr>
      <vt:lpstr>FR</vt:lpstr>
      <vt:lpstr>diNo!gew</vt:lpstr>
      <vt:lpstr>gew</vt:lpstr>
      <vt:lpstr>diNo!M</vt:lpstr>
      <vt:lpstr>M</vt:lpstr>
      <vt:lpstr>pt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2012-06-20T12:14:58Z</cp:lastPrinted>
  <dcterms:created xsi:type="dcterms:W3CDTF">2001-05-29T23:50:03Z</dcterms:created>
  <dcterms:modified xsi:type="dcterms:W3CDTF">2015-07-03T20:38:24Z</dcterms:modified>
</cp:coreProperties>
</file>