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Capital Investment" sheetId="1" r:id="rId4"/>
    <sheet state="visible" name="12 Months 2025" sheetId="2" r:id="rId5"/>
    <sheet state="visible" name="Forecast table from 25-27" sheetId="3" r:id="rId6"/>
    <sheet state="visible" name="Assumption" sheetId="4" r:id="rId7"/>
    <sheet state="visible" name="Valuation" sheetId="5" r:id="rId8"/>
    <sheet state="visible" name="Fundraising&#10;" sheetId="6" r:id="rId9"/>
    <sheet state="visible" name="Ratios " sheetId="7" r:id="rId10"/>
    <sheet state="visible" name="Chart" sheetId="8" r:id="rId11"/>
    <sheet state="visible" name="Reference Link" sheetId="9" r:id="rId12"/>
    <sheet state="visible" name="Chi Phí Khấu Hao" sheetId="10" r:id="rId13"/>
  </sheets>
  <definedNames>
    <definedName hidden="1" localSheetId="0" name="_xlnm._FilterDatabase">'Initial Capital Investment'!$E$1:$E$11</definedName>
  </definedNames>
  <calcPr/>
</workbook>
</file>

<file path=xl/sharedStrings.xml><?xml version="1.0" encoding="utf-8"?>
<sst xmlns="http://schemas.openxmlformats.org/spreadsheetml/2006/main" count="284" uniqueCount="205">
  <si>
    <t xml:space="preserve">TỔNG VỐN ĐẦU TƯ </t>
  </si>
  <si>
    <t xml:space="preserve">Số tiền (VND) </t>
  </si>
  <si>
    <t>Số cổ phần (%)</t>
  </si>
  <si>
    <t>Ngân hàng</t>
  </si>
  <si>
    <t>Vay thế chấp (%/năm)</t>
  </si>
  <si>
    <t>Vũ Minh Nhật</t>
  </si>
  <si>
    <t>ABBank</t>
  </si>
  <si>
    <t>Vũ Long</t>
  </si>
  <si>
    <t>ACB</t>
  </si>
  <si>
    <t>Huỳnh Thị Hồng Nhi</t>
  </si>
  <si>
    <t>Argibank</t>
  </si>
  <si>
    <t>Nguyễn Trần Hồng Phúc</t>
  </si>
  <si>
    <t>BIDV</t>
  </si>
  <si>
    <t>Trần Lê Hữu Bằng</t>
  </si>
  <si>
    <t>Eximbank</t>
  </si>
  <si>
    <t>Phùng Trần Mai Hà</t>
  </si>
  <si>
    <t>Sacombank</t>
  </si>
  <si>
    <t>Total</t>
  </si>
  <si>
    <t>TPBank</t>
  </si>
  <si>
    <t>VIB</t>
  </si>
  <si>
    <t xml:space="preserve">TRƯỜNG HỢP ĐI VAY NGÂN HÀNG THẾ CHẤP </t>
  </si>
  <si>
    <t>Vietcombank</t>
  </si>
  <si>
    <t xml:space="preserve">TOTAL LOANS </t>
  </si>
  <si>
    <t>Vietinbank</t>
  </si>
  <si>
    <t>INTEREST RATE (YEARLY)</t>
  </si>
  <si>
    <t>6.40%</t>
  </si>
  <si>
    <t>DURATION (YEARS)</t>
  </si>
  <si>
    <t xml:space="preserve">MONEY TO PAID PER MONTH </t>
  </si>
  <si>
    <t>Company</t>
  </si>
  <si>
    <t>DentiCare</t>
  </si>
  <si>
    <t>Forecast monthly</t>
  </si>
  <si>
    <t>Sales</t>
  </si>
  <si>
    <t>Revenue 1 - Commission 7%/contraction</t>
  </si>
  <si>
    <t>Volume per month</t>
  </si>
  <si>
    <t>Service 1</t>
  </si>
  <si>
    <t>Service 2</t>
  </si>
  <si>
    <t>Service 3</t>
  </si>
  <si>
    <t>Volume per month total</t>
  </si>
  <si>
    <t>Volume Growth</t>
  </si>
  <si>
    <t>Selling Price</t>
  </si>
  <si>
    <t>Revenue 2 - Premium Package 750.000VNĐ/ 3 months</t>
  </si>
  <si>
    <t>COGS</t>
  </si>
  <si>
    <t xml:space="preserve">Cost: Premium Package </t>
  </si>
  <si>
    <t>Gross Profit</t>
  </si>
  <si>
    <t>Staff Salaries Total</t>
  </si>
  <si>
    <t>Number of staffs</t>
  </si>
  <si>
    <t>CFO</t>
  </si>
  <si>
    <t xml:space="preserve">DM  </t>
  </si>
  <si>
    <t>IT</t>
  </si>
  <si>
    <t>C&amp;B per staff per month</t>
  </si>
  <si>
    <t>General &amp; admin expenses</t>
  </si>
  <si>
    <t>Insurance</t>
  </si>
  <si>
    <t>Salaries</t>
  </si>
  <si>
    <t>Front-end Platform (Vercel)</t>
  </si>
  <si>
    <t>Cloud Service (Microsoft Azure)</t>
  </si>
  <si>
    <t>Domain Hosting</t>
  </si>
  <si>
    <t>Marketing Expense</t>
  </si>
  <si>
    <t>Google Ads (CPC~2080-2890 clicks in 5 month, CPC~1700-2400 monthly)</t>
  </si>
  <si>
    <t>Total expenses</t>
  </si>
  <si>
    <t>Earning before interest and Taxes (EBIT)</t>
  </si>
  <si>
    <t>EBIT margin (%)</t>
  </si>
  <si>
    <t>Interest expenses</t>
  </si>
  <si>
    <t>Net profit before tax</t>
  </si>
  <si>
    <t>Net profit margin (%)</t>
  </si>
  <si>
    <t>FORECAST TABLE FROM 2025 - 2027</t>
  </si>
  <si>
    <t>Profit Tax</t>
  </si>
  <si>
    <t>Forecast year</t>
  </si>
  <si>
    <t>Unit</t>
  </si>
  <si>
    <t>INCOME STATEMENT</t>
  </si>
  <si>
    <t>VND</t>
  </si>
  <si>
    <t>Volume per year total</t>
  </si>
  <si>
    <t>Volume growth</t>
  </si>
  <si>
    <t>Selling Price Increase</t>
  </si>
  <si>
    <t>Selling Price - Premium Package</t>
  </si>
  <si>
    <t>Volume per year</t>
  </si>
  <si>
    <t>Increase (Inflation)</t>
  </si>
  <si>
    <t>Gross profit</t>
  </si>
  <si>
    <t>Expected GPM</t>
  </si>
  <si>
    <t>Selling expenses</t>
  </si>
  <si>
    <t>Selling staff salaries</t>
  </si>
  <si>
    <t>headcount</t>
  </si>
  <si>
    <t xml:space="preserve">CFO </t>
  </si>
  <si>
    <t>month</t>
  </si>
  <si>
    <t>Rate increase</t>
  </si>
  <si>
    <t>Marketing expenses</t>
  </si>
  <si>
    <t>Ads</t>
  </si>
  <si>
    <t xml:space="preserve">Insurance </t>
  </si>
  <si>
    <t xml:space="preserve">Marketing </t>
  </si>
  <si>
    <t>Cloud Service (Mircrosoft Azure)</t>
  </si>
  <si>
    <t>Depreciation &amp; amortization</t>
  </si>
  <si>
    <t>Furniture &amp; equipment</t>
  </si>
  <si>
    <t>BALANCE SHEET</t>
  </si>
  <si>
    <t>CAPITAL STRUCTURE</t>
  </si>
  <si>
    <t>Short-Term Debt</t>
  </si>
  <si>
    <t>% WC</t>
  </si>
  <si>
    <t>Common stock and additional paid-in capital</t>
  </si>
  <si>
    <t>Add in</t>
  </si>
  <si>
    <t>Debt to asset</t>
  </si>
  <si>
    <t>Total other assets</t>
  </si>
  <si>
    <t>Seed money</t>
  </si>
  <si>
    <t>TOTAL ASSETS</t>
  </si>
  <si>
    <t>Retained Earnings</t>
  </si>
  <si>
    <t>Opening</t>
  </si>
  <si>
    <t>NI</t>
  </si>
  <si>
    <t>Withdrawal</t>
  </si>
  <si>
    <t>Ending</t>
  </si>
  <si>
    <t>Front-end platform (Vercel)</t>
  </si>
  <si>
    <t>Cloud Service</t>
  </si>
  <si>
    <t>Operating expenses</t>
  </si>
  <si>
    <t>Operating income</t>
  </si>
  <si>
    <t>Interest expense</t>
  </si>
  <si>
    <t>Profit before tax</t>
  </si>
  <si>
    <t>Tax</t>
  </si>
  <si>
    <t>Profit after tax</t>
  </si>
  <si>
    <t>Current Assets</t>
  </si>
  <si>
    <t>Cash and Cash Equivalents</t>
  </si>
  <si>
    <t>Other Current Assets</t>
  </si>
  <si>
    <t>Total Current Assets</t>
  </si>
  <si>
    <t>Non-current Assets</t>
  </si>
  <si>
    <t>Other long-term assets</t>
  </si>
  <si>
    <t>Total Non-current Assets</t>
  </si>
  <si>
    <t>Total Assets</t>
  </si>
  <si>
    <t>Current Liabilities</t>
  </si>
  <si>
    <t>Total Current Liabilities</t>
  </si>
  <si>
    <t>Long-Term Debt</t>
  </si>
  <si>
    <t>Total Liabilities</t>
  </si>
  <si>
    <t>Stock Holders Equity</t>
  </si>
  <si>
    <t>Total Equity</t>
  </si>
  <si>
    <t>Total Liabilities &amp; Equity</t>
  </si>
  <si>
    <t>Balance</t>
  </si>
  <si>
    <t>CASH FLOW STATEMENT</t>
  </si>
  <si>
    <t>Cash flow from operating activities</t>
  </si>
  <si>
    <t>Net income</t>
  </si>
  <si>
    <t>Net cash provided by operating activities</t>
  </si>
  <si>
    <t>Net cash provided by financing activities</t>
  </si>
  <si>
    <t>Cash balance at the beginning</t>
  </si>
  <si>
    <t>Net increase in cash and cash equivalent</t>
  </si>
  <si>
    <t>Cash balance at the end</t>
  </si>
  <si>
    <t>FCF</t>
  </si>
  <si>
    <t>EBIT</t>
  </si>
  <si>
    <t>NOPAT</t>
  </si>
  <si>
    <t>D&amp;A</t>
  </si>
  <si>
    <t>capex</t>
  </si>
  <si>
    <t>WC</t>
  </si>
  <si>
    <t>CAPEX</t>
  </si>
  <si>
    <t>g</t>
  </si>
  <si>
    <t>Terminal value</t>
  </si>
  <si>
    <t>FCF with terminal value</t>
  </si>
  <si>
    <t>NPV</t>
  </si>
  <si>
    <t>IRR</t>
  </si>
  <si>
    <t>Revenue</t>
  </si>
  <si>
    <t>Company valuation</t>
  </si>
  <si>
    <t>Sell share (%)</t>
  </si>
  <si>
    <t>-</t>
  </si>
  <si>
    <t>Sell share (VND)</t>
  </si>
  <si>
    <t>Reason for fundraising</t>
  </si>
  <si>
    <t>- Market research and product development
- Introducing products to the market
- Develop business model
- Promote MKT</t>
  </si>
  <si>
    <t>- Expand market share 
- Promote MKT
- Upgrade server</t>
  </si>
  <si>
    <t>Note</t>
  </si>
  <si>
    <t>(No fundraising this year)</t>
  </si>
  <si>
    <t>Ratios</t>
  </si>
  <si>
    <t>Profitability Ratios:</t>
  </si>
  <si>
    <t>Gross profit margin</t>
  </si>
  <si>
    <t>Operating profit margin</t>
  </si>
  <si>
    <t>Net profit margin</t>
  </si>
  <si>
    <t>Return on assets</t>
  </si>
  <si>
    <t>Return on equity</t>
  </si>
  <si>
    <t>Cloud</t>
  </si>
  <si>
    <t>https://azure.microsoft.com/en-us/pricing/details/cloud-services/</t>
  </si>
  <si>
    <t>Domain</t>
  </si>
  <si>
    <t>https://vercel.com/pricing</t>
  </si>
  <si>
    <t>Lãi suất ngân hàng</t>
  </si>
  <si>
    <t>https://thuvienphapluat.vn/banan/tin-tuc/muc-lai-suat-cho-vay-binh-quan-cua-cac-ngan-hang-hien-nay-la-bao-nhieu-9926</t>
  </si>
  <si>
    <t>KOC nano (10.000 - 50.000 follower): Giá book từ 2 triệu đến 5 triệu đồng.</t>
  </si>
  <si>
    <t>số lượng người đi khám</t>
  </si>
  <si>
    <t>https://www.researchgate.net/publication/378539137_Thuc_trang_suc_khoe_rang_mieng_cua_nguoi_benh_den_kham_rang_ham_mat_tai_Vien_Y_hoc_Phong_khong_-_Khong_quan_nam_2023</t>
  </si>
  <si>
    <t>tình trang bệnh răng miệng, tần suất sử dụng các laoij dịch vụ</t>
  </si>
  <si>
    <t>https://tapchinghiencuuyhoc.vn/index.php/tcncyh/article/download/2157/1479/26527</t>
  </si>
  <si>
    <t>giá cả trung bình theo thông tư 21/2023/TT-BYT VÀ THÔNG TƯ 22/2023/TT-BYT</t>
  </si>
  <si>
    <t>https://bvranghammat.com/bang-gia-benh-vien/</t>
  </si>
  <si>
    <t>Google Ads Pricing</t>
  </si>
  <si>
    <t>https://www.semrush.com/blog/keyword-cost/?fbclid=IwZXh0bgNhZW0CMTAAAR06_T_1EyLds-dqs0H2nmBcxWUBlpk6KjQ0fUZ4BSmI8u3SeGsQ68OSHoA_aem_ao9swRkh323j4gUmJbs2Lg</t>
  </si>
  <si>
    <t>https://www.webfx.com/blog/ppc/much-cost-advertise-google-adwords/#:~:text=Google%20Ads%20costs%20%24100%20%E2%80%93%20%2410%2C000,campaign%20targeting%2C%20and%20ad%20network.</t>
  </si>
  <si>
    <t>REVENUE MULTIPLES BY INDUSTRY (For fundraising)
Number: 2.0 (EV to Revenue)</t>
  </si>
  <si>
    <t>https://eqvista.com/revenue-multiples-by-industry/</t>
  </si>
  <si>
    <t xml:space="preserve">giá tham khảo cho chi phí tăng trưởng những năm gần nhất </t>
  </si>
  <si>
    <t>https://nhakhoakim.com/bang-gia-nha-khoa-nieng-rang-rang-su-implant.html</t>
  </si>
  <si>
    <t>https://www.docosan.com/blog/nha-khoa/bang-gia-nho-rang-sau/</t>
  </si>
  <si>
    <t>máy in</t>
  </si>
  <si>
    <t>https://www.nguyenkim.com/may-in-phun-da-nang-brother-mfc-t920dw.html</t>
  </si>
  <si>
    <t>máy tính</t>
  </si>
  <si>
    <t>thuê văn phòng</t>
  </si>
  <si>
    <t>https://grandpark-vinhomes.com/cho-thue-can-ho-chung-cu-vinhomes-grand-park/</t>
  </si>
  <si>
    <t>Depreciation &amp; Amortization Table</t>
  </si>
  <si>
    <t>Name</t>
  </si>
  <si>
    <t>Initial Cost</t>
  </si>
  <si>
    <t>Year</t>
  </si>
  <si>
    <t xml:space="preserve">D/A cost for 1 year </t>
  </si>
  <si>
    <t xml:space="preserve">Start from ( second year ) </t>
  </si>
  <si>
    <t>Desktop Computers</t>
  </si>
  <si>
    <t xml:space="preserve">Printers  </t>
  </si>
  <si>
    <t>Office Furniture</t>
  </si>
  <si>
    <t>Office equipment</t>
  </si>
  <si>
    <t>Ending book value table</t>
  </si>
  <si>
    <t>Item/Year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</si>
</sst>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#,##0[$ ₫]"/>
    <numFmt numFmtId="165" formatCode="d.m"/>
    <numFmt numFmtId="166" formatCode="#,##0.00;(#,##0.00)"/>
    <numFmt numFmtId="167" formatCode="mmm yyyy"/>
    <numFmt numFmtId="168" formatCode="mmmm yyyy"/>
    <numFmt numFmtId="169" formatCode="#,##0\ [$đ-42A]"/>
    <numFmt numFmtId="170" formatCode="#,##0;(#,##0)"/>
    <numFmt numFmtId="171" formatCode="0;-0;-;@"/>
    <numFmt numFmtId="172" formatCode="-"/>
    <numFmt numFmtId="173" formatCode="0.000"/>
    <numFmt numFmtId="174" formatCode="d/m/yyyy"/>
    <numFmt numFmtId="175" formatCode="_(* #,##0.0_);_(* \(#,##0.0\);_(* &quot;-&quot;??_);_(@_)"/>
  </numFmts>
  <fonts count="57">
    <font>
      <sz val="10.0"/>
      <color rgb="FF000000"/>
      <name val="Arial"/>
      <scheme val="minor"/>
    </font>
    <font>
      <b/>
      <color rgb="FF000000"/>
      <name val="&quot;Times New Roman&quot;"/>
    </font>
    <font>
      <color rgb="FF000000"/>
      <name val="Arial"/>
    </font>
    <font>
      <color theme="1"/>
      <name val="Arial"/>
    </font>
    <font>
      <color rgb="FF000000"/>
      <name val="&quot;Times New Roman&quot;"/>
    </font>
    <font>
      <sz val="11.0"/>
      <color rgb="FF000000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Times New Roman"/>
    </font>
    <font>
      <i/>
      <sz val="11.0"/>
      <color rgb="FF000000"/>
      <name val="Times New Roman"/>
    </font>
    <font>
      <b/>
      <i/>
      <sz val="11.0"/>
      <color rgb="FF000000"/>
      <name val="Times New Roman"/>
    </font>
    <font>
      <b/>
      <sz val="11.0"/>
      <color rgb="FF000000"/>
      <name val="Times New Roman"/>
    </font>
    <font>
      <i/>
      <sz val="11.0"/>
      <color rgb="FFFF0000"/>
      <name val="Times New Roman"/>
    </font>
    <font>
      <sz val="11.0"/>
      <color rgb="FFFF0000"/>
      <name val="Times New Roman"/>
    </font>
    <font>
      <i/>
      <sz val="11.0"/>
      <color theme="1"/>
      <name val="Times New Roman"/>
    </font>
    <font>
      <sz val="11.0"/>
      <color rgb="FFFF0000"/>
      <name val="&quot;Times New Roman&quot;"/>
    </font>
    <font>
      <color rgb="FFD9D9D9"/>
      <name val="Arial"/>
    </font>
    <font>
      <b/>
      <color rgb="FF000000"/>
      <name val="Arial"/>
    </font>
    <font>
      <sz val="11.0"/>
      <color rgb="FF000000"/>
      <name val="Arial"/>
    </font>
    <font>
      <i/>
      <color rgb="FF000000"/>
      <name val="Arial"/>
    </font>
    <font>
      <b/>
      <i/>
      <color rgb="FF2B2B2B"/>
      <name val="Arial"/>
    </font>
    <font>
      <color rgb="FF2B2B2B"/>
      <name val="Arial"/>
    </font>
    <font>
      <b/>
      <color rgb="FF2B2B2B"/>
      <name val="Arial"/>
    </font>
    <font>
      <b/>
      <color theme="1"/>
      <name val="Arial"/>
    </font>
    <font>
      <b/>
      <u/>
      <color rgb="FF000000"/>
      <name val="Arial"/>
    </font>
    <font>
      <sz val="11.0"/>
      <color rgb="FF000000"/>
      <name val="Inconsolata"/>
    </font>
    <font>
      <b/>
      <u/>
      <color rgb="FF000000"/>
      <name val="Arial"/>
    </font>
    <font>
      <b/>
      <color theme="1"/>
      <name val="&quot;Times New Roman&quot;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sz val="11.0"/>
      <color rgb="FF5C4700"/>
      <name val="Arial"/>
    </font>
    <font>
      <b/>
      <u/>
      <color rgb="FF000000"/>
      <name val="Arial"/>
    </font>
    <font>
      <b/>
      <u/>
      <color rgb="FF000000"/>
      <name val="Arial"/>
    </font>
    <font/>
    <font>
      <u/>
      <color theme="1"/>
      <name val="Arial"/>
      <scheme val="minor"/>
    </font>
    <font>
      <u/>
      <color theme="1"/>
      <name val="Arial"/>
      <scheme val="minor"/>
    </font>
    <font>
      <b/>
      <u/>
      <color rgb="FF000000"/>
      <name val="Arial"/>
    </font>
    <font>
      <u/>
      <color rgb="FF0000FF"/>
    </font>
    <font>
      <b/>
      <sz val="12.0"/>
      <color rgb="FF1F1F1F"/>
      <name val="&quot;Google Sans&quot;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i/>
      <sz val="12.0"/>
      <color rgb="FF000000"/>
      <name val="&quot;Times New Roman&quot;"/>
    </font>
    <font>
      <sz val="12.0"/>
      <color rgb="FF000000"/>
      <name val="&quot;Times New Roman&quot;"/>
    </font>
    <font>
      <u/>
      <sz val="12.0"/>
      <color rgb="FF000000"/>
      <name val="&quot;Times New Roman&quot;"/>
    </font>
    <font>
      <i/>
      <sz val="12.0"/>
      <color theme="1"/>
      <name val="&quot;Times New Roman&quot;"/>
    </font>
    <font>
      <b/>
      <sz val="12.0"/>
      <color rgb="FF000000"/>
      <name val="&quot;Times New Roman&quot;"/>
    </font>
    <font>
      <b/>
      <sz val="9.0"/>
      <color theme="1"/>
      <name val="&quot;Open Sans&quot;"/>
    </font>
    <font>
      <b/>
      <sz val="12.0"/>
      <color rgb="FF000000"/>
      <name val="Calibri"/>
    </font>
    <font>
      <b/>
      <color rgb="FF000000"/>
      <name val="Roboto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rgb="FFFF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horizontal="right" vertical="bottom"/>
    </xf>
    <xf borderId="3" fillId="0" fontId="2" numFmtId="0" xfId="0" applyAlignment="1" applyBorder="1" applyFont="1">
      <alignment vertical="bottom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0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3" fontId="4" numFmtId="0" xfId="0" applyAlignment="1" applyFill="1" applyFont="1">
      <alignment horizontal="center" readingOrder="0" vertical="bottom"/>
    </xf>
    <xf borderId="0" fillId="3" fontId="4" numFmtId="10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vertical="bottom"/>
    </xf>
    <xf borderId="0" fillId="3" fontId="4" numFmtId="0" xfId="0" applyAlignment="1" applyFont="1">
      <alignment horizontal="center" vertical="bottom"/>
    </xf>
    <xf borderId="0" fillId="3" fontId="4" numFmtId="10" xfId="0" applyAlignment="1" applyFont="1" applyNumberFormat="1">
      <alignment horizontal="center" vertical="bottom"/>
    </xf>
    <xf borderId="4" fillId="4" fontId="1" numFmtId="0" xfId="0" applyAlignment="1" applyBorder="1" applyFill="1" applyFont="1">
      <alignment horizontal="right" readingOrder="0" vertical="bottom"/>
    </xf>
    <xf borderId="4" fillId="4" fontId="1" numFmtId="164" xfId="0" applyAlignment="1" applyBorder="1" applyFont="1" applyNumberFormat="1">
      <alignment horizontal="right" vertical="bottom"/>
    </xf>
    <xf borderId="4" fillId="4" fontId="1" numFmtId="4" xfId="0" applyAlignment="1" applyBorder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3" fontId="1" numFmtId="3" xfId="0" applyAlignment="1" applyFont="1" applyNumberFormat="1">
      <alignment horizontal="right" readingOrder="0" vertical="bottom"/>
    </xf>
    <xf borderId="0" fillId="5" fontId="3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1" numFmtId="166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0" fontId="6" numFmtId="168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2" fontId="5" numFmtId="0" xfId="0" applyAlignment="1" applyFont="1">
      <alignment shrinkToFit="0" vertical="bottom" wrapText="1"/>
    </xf>
    <xf borderId="0" fillId="2" fontId="6" numFmtId="167" xfId="0" applyAlignment="1" applyFont="1" applyNumberFormat="1">
      <alignment horizontal="center" readingOrder="0"/>
    </xf>
    <xf borderId="0" fillId="2" fontId="6" numFmtId="168" xfId="0" applyAlignment="1" applyFont="1" applyNumberFormat="1">
      <alignment horizontal="center" readingOrder="0"/>
    </xf>
    <xf borderId="0" fillId="2" fontId="7" numFmtId="0" xfId="0" applyAlignment="1" applyFont="1">
      <alignment horizontal="center" readingOrder="0"/>
    </xf>
    <xf borderId="0" fillId="6" fontId="8" numFmtId="0" xfId="0" applyAlignment="1" applyFill="1" applyFont="1">
      <alignment readingOrder="0" shrinkToFit="0" wrapText="1"/>
    </xf>
    <xf borderId="0" fillId="6" fontId="9" numFmtId="164" xfId="0" applyFont="1" applyNumberFormat="1"/>
    <xf borderId="0" fillId="0" fontId="8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9" numFmtId="1" xfId="0" applyFont="1" applyNumberFormat="1"/>
    <xf borderId="0" fillId="7" fontId="9" numFmtId="1" xfId="0" applyAlignment="1" applyFill="1" applyFont="1" applyNumberFormat="1">
      <alignment readingOrder="0" shrinkToFit="0" wrapText="1"/>
    </xf>
    <xf borderId="0" fillId="7" fontId="9" numFmtId="1" xfId="0" applyFont="1" applyNumberFormat="1"/>
    <xf borderId="0" fillId="7" fontId="9" numFmtId="1" xfId="0" applyAlignment="1" applyFont="1" applyNumberFormat="1">
      <alignment readingOrder="0"/>
    </xf>
    <xf borderId="0" fillId="7" fontId="9" numFmtId="0" xfId="0" applyAlignment="1" applyFont="1">
      <alignment readingOrder="0" shrinkToFit="0" wrapText="1"/>
    </xf>
    <xf borderId="0" fillId="7" fontId="9" numFmtId="0" xfId="0" applyFont="1"/>
    <xf borderId="0" fillId="7" fontId="9" numFmtId="9" xfId="0" applyAlignment="1" applyFont="1" applyNumberFormat="1">
      <alignment readingOrder="0"/>
    </xf>
    <xf borderId="0" fillId="7" fontId="9" numFmtId="9" xfId="0" applyFont="1" applyNumberFormat="1"/>
    <xf borderId="0" fillId="0" fontId="9" numFmtId="9" xfId="0" applyAlignment="1" applyFont="1" applyNumberFormat="1">
      <alignment readingOrder="0"/>
    </xf>
    <xf borderId="0" fillId="0" fontId="9" numFmtId="164" xfId="0" applyFont="1" applyNumberFormat="1"/>
    <xf borderId="0" fillId="7" fontId="9" numFmtId="164" xfId="0" applyAlignment="1" applyFont="1" applyNumberFormat="1">
      <alignment readingOrder="0" shrinkToFit="0" wrapText="1"/>
    </xf>
    <xf borderId="0" fillId="7" fontId="9" numFmtId="164" xfId="0" applyFont="1" applyNumberFormat="1"/>
    <xf borderId="0" fillId="7" fontId="9" numFmtId="164" xfId="0" applyAlignment="1" applyFont="1" applyNumberFormat="1">
      <alignment readingOrder="0"/>
    </xf>
    <xf borderId="0" fillId="0" fontId="8" numFmtId="164" xfId="0" applyAlignment="1" applyFont="1" applyNumberFormat="1">
      <alignment readingOrder="0" shrinkToFit="0" wrapText="1"/>
    </xf>
    <xf borderId="0" fillId="0" fontId="9" numFmtId="164" xfId="0" applyAlignment="1" applyFont="1" applyNumberFormat="1">
      <alignment readingOrder="0"/>
    </xf>
    <xf borderId="0" fillId="0" fontId="9" numFmtId="3" xfId="0" applyAlignment="1" applyFont="1" applyNumberFormat="1">
      <alignment vertical="top"/>
    </xf>
    <xf borderId="0" fillId="7" fontId="10" numFmtId="0" xfId="0" applyAlignment="1" applyFont="1">
      <alignment readingOrder="0" shrinkToFit="0" wrapText="1"/>
    </xf>
    <xf borderId="0" fillId="7" fontId="9" numFmtId="3" xfId="0" applyAlignment="1" applyFont="1" applyNumberFormat="1">
      <alignment vertical="top"/>
    </xf>
    <xf borderId="0" fillId="7" fontId="9" numFmtId="3" xfId="0" applyAlignment="1" applyFont="1" applyNumberFormat="1">
      <alignment readingOrder="0" vertical="top"/>
    </xf>
    <xf borderId="0" fillId="0" fontId="9" numFmtId="164" xfId="0" applyAlignment="1" applyFont="1" applyNumberFormat="1">
      <alignment vertical="top"/>
    </xf>
    <xf borderId="0" fillId="7" fontId="9" numFmtId="164" xfId="0" applyAlignment="1" applyFont="1" applyNumberFormat="1">
      <alignment readingOrder="0" shrinkToFit="0" vertical="top" wrapText="1"/>
    </xf>
    <xf borderId="0" fillId="7" fontId="9" numFmtId="164" xfId="0" applyAlignment="1" applyFont="1" applyNumberFormat="1">
      <alignment vertical="top"/>
    </xf>
    <xf borderId="0" fillId="7" fontId="9" numFmtId="164" xfId="0" applyAlignment="1" applyFont="1" applyNumberFormat="1">
      <alignment readingOrder="0" vertical="top"/>
    </xf>
    <xf borderId="0" fillId="6" fontId="11" numFmtId="169" xfId="0" applyAlignment="1" applyFont="1" applyNumberFormat="1">
      <alignment readingOrder="0" shrinkToFit="0" vertical="bottom" wrapText="1"/>
    </xf>
    <xf borderId="0" fillId="6" fontId="9" numFmtId="164" xfId="0" applyAlignment="1" applyFont="1" applyNumberFormat="1">
      <alignment readingOrder="0"/>
    </xf>
    <xf borderId="0" fillId="7" fontId="9" numFmtId="3" xfId="0" applyAlignment="1" applyFont="1" applyNumberFormat="1">
      <alignment readingOrder="0" shrinkToFit="0" vertical="top" wrapText="1"/>
    </xf>
    <xf borderId="0" fillId="6" fontId="11" numFmtId="169" xfId="0" applyAlignment="1" applyFont="1" applyNumberFormat="1">
      <alignment shrinkToFit="0" vertical="bottom" wrapText="1"/>
    </xf>
    <xf borderId="0" fillId="6" fontId="9" numFmtId="0" xfId="0" applyFont="1"/>
    <xf borderId="0" fillId="0" fontId="11" numFmtId="169" xfId="0" applyAlignment="1" applyFont="1" applyNumberFormat="1">
      <alignment readingOrder="0" shrinkToFit="0" vertical="bottom" wrapText="1"/>
    </xf>
    <xf borderId="0" fillId="7" fontId="12" numFmtId="0" xfId="0" applyAlignment="1" applyFont="1">
      <alignment readingOrder="0" shrinkToFit="0" vertical="bottom" wrapText="0"/>
    </xf>
    <xf borderId="0" fillId="7" fontId="9" numFmtId="0" xfId="0" applyAlignment="1" applyFont="1">
      <alignment readingOrder="0"/>
    </xf>
    <xf borderId="0" fillId="7" fontId="6" numFmtId="0" xfId="0" applyAlignment="1" applyFont="1">
      <alignment readingOrder="0" vertical="bottom"/>
    </xf>
    <xf borderId="0" fillId="5" fontId="13" numFmtId="0" xfId="0" applyAlignment="1" applyFont="1">
      <alignment readingOrder="0" shrinkToFit="0" vertical="bottom" wrapText="0"/>
    </xf>
    <xf borderId="0" fillId="7" fontId="11" numFmtId="169" xfId="0" applyAlignment="1" applyFont="1" applyNumberFormat="1">
      <alignment readingOrder="0" shrinkToFit="0" vertical="bottom" wrapText="1"/>
    </xf>
    <xf borderId="0" fillId="7" fontId="11" numFmtId="164" xfId="0" applyAlignment="1" applyFont="1" applyNumberFormat="1">
      <alignment readingOrder="0" shrinkToFit="0" vertical="bottom" wrapText="1"/>
    </xf>
    <xf borderId="0" fillId="6" fontId="9" numFmtId="3" xfId="0" applyFont="1" applyNumberFormat="1"/>
    <xf borderId="0" fillId="7" fontId="9" numFmtId="3" xfId="0" applyAlignment="1" applyFont="1" applyNumberFormat="1">
      <alignment readingOrder="0"/>
    </xf>
    <xf borderId="0" fillId="8" fontId="11" numFmtId="169" xfId="0" applyAlignment="1" applyFill="1" applyFont="1" applyNumberFormat="1">
      <alignment shrinkToFit="0" vertical="bottom" wrapText="1"/>
    </xf>
    <xf borderId="0" fillId="8" fontId="9" numFmtId="0" xfId="0" applyFont="1"/>
    <xf borderId="0" fillId="8" fontId="9" numFmtId="164" xfId="0" applyFont="1" applyNumberFormat="1"/>
    <xf borderId="0" fillId="6" fontId="9" numFmtId="10" xfId="0" applyFont="1" applyNumberFormat="1"/>
    <xf borderId="0" fillId="6" fontId="11" numFmtId="164" xfId="0" applyAlignment="1" applyFont="1" applyNumberFormat="1">
      <alignment shrinkToFit="0" vertical="bottom" wrapText="1"/>
    </xf>
    <xf borderId="0" fillId="0" fontId="9" numFmtId="0" xfId="0" applyAlignment="1" applyFont="1">
      <alignment shrinkToFit="0" wrapText="1"/>
    </xf>
    <xf borderId="0" fillId="0" fontId="8" numFmtId="0" xfId="0" applyAlignment="1" applyFont="1">
      <alignment horizontal="center" readingOrder="0"/>
    </xf>
    <xf borderId="0" fillId="2" fontId="9" numFmtId="0" xfId="0" applyFont="1"/>
    <xf borderId="0" fillId="2" fontId="9" numFmtId="0" xfId="0" applyAlignment="1" applyFont="1">
      <alignment horizontal="center" readingOrder="0"/>
    </xf>
    <xf borderId="0" fillId="0" fontId="9" numFmtId="10" xfId="0" applyFont="1" applyNumberFormat="1"/>
    <xf borderId="0" fillId="5" fontId="5" numFmtId="0" xfId="0" applyAlignment="1" applyFont="1">
      <alignment readingOrder="0" shrinkToFit="0" vertical="bottom" wrapText="0"/>
    </xf>
    <xf borderId="0" fillId="5" fontId="5" numFmtId="0" xfId="0" applyAlignment="1" applyFont="1">
      <alignment shrinkToFit="0" vertical="bottom" wrapText="0"/>
    </xf>
    <xf borderId="0" fillId="0" fontId="6" numFmtId="0" xfId="0" applyFont="1"/>
    <xf borderId="0" fillId="5" fontId="5" numFmtId="170" xfId="0" applyFont="1" applyNumberFormat="1"/>
    <xf borderId="0" fillId="5" fontId="14" numFmtId="0" xfId="0" applyAlignment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14" numFmtId="0" xfId="0" applyAlignment="1" applyFont="1">
      <alignment readingOrder="0" shrinkToFit="0" vertical="bottom" wrapText="0"/>
    </xf>
    <xf borderId="0" fillId="2" fontId="6" numFmtId="0" xfId="0" applyAlignment="1" applyFont="1">
      <alignment horizontal="center" readingOrder="0"/>
    </xf>
    <xf borderId="0" fillId="5" fontId="14" numFmtId="0" xfId="0" applyAlignment="1" applyFont="1">
      <alignment horizontal="left" readingOrder="0" shrinkToFit="0" vertical="bottom" wrapText="0"/>
    </xf>
    <xf borderId="0" fillId="5" fontId="14" numFmtId="0" xfId="0" applyAlignment="1" applyFont="1">
      <alignment horizontal="center" readingOrder="0" shrinkToFit="0" vertical="bottom" wrapText="0"/>
    </xf>
    <xf borderId="0" fillId="5" fontId="5" numFmtId="164" xfId="0" applyAlignment="1" applyFont="1" applyNumberFormat="1">
      <alignment shrinkToFit="0" vertical="bottom" wrapText="0"/>
    </xf>
    <xf borderId="0" fillId="6" fontId="14" numFmtId="164" xfId="0" applyAlignment="1" applyFont="1" applyNumberFormat="1">
      <alignment readingOrder="0" shrinkToFit="0" vertical="bottom" wrapText="0"/>
    </xf>
    <xf borderId="0" fillId="6" fontId="5" numFmtId="164" xfId="0" applyAlignment="1" applyFont="1" applyNumberFormat="1">
      <alignment readingOrder="0" shrinkToFit="0" vertical="bottom" wrapText="0"/>
    </xf>
    <xf borderId="0" fillId="6" fontId="6" numFmtId="164" xfId="0" applyFont="1" applyNumberFormat="1"/>
    <xf borderId="0" fillId="6" fontId="7" numFmtId="164" xfId="0" applyFont="1" applyNumberFormat="1"/>
    <xf borderId="0" fillId="0" fontId="6" numFmtId="164" xfId="0" applyFont="1" applyNumberFormat="1"/>
    <xf borderId="0" fillId="0" fontId="5" numFmtId="0" xfId="0" applyAlignment="1" applyFont="1">
      <alignment shrinkToFit="0" vertical="bottom" wrapText="0"/>
    </xf>
    <xf borderId="0" fillId="0" fontId="6" numFmtId="3" xfId="0" applyAlignment="1" applyFont="1" applyNumberFormat="1">
      <alignment horizontal="right" readingOrder="0" vertical="bottom"/>
    </xf>
    <xf borderId="0" fillId="0" fontId="6" numFmtId="3" xfId="0" applyAlignment="1" applyFont="1" applyNumberFormat="1">
      <alignment horizontal="right" vertical="bottom"/>
    </xf>
    <xf borderId="0" fillId="0" fontId="12" numFmtId="0" xfId="0" applyAlignment="1" applyFont="1">
      <alignment readingOrder="0" shrinkToFit="0" vertical="bottom" wrapText="1"/>
    </xf>
    <xf borderId="0" fillId="7" fontId="5" numFmtId="0" xfId="0" applyAlignment="1" applyFont="1">
      <alignment shrinkToFit="0" vertical="bottom" wrapText="0"/>
    </xf>
    <xf borderId="0" fillId="7" fontId="6" numFmtId="0" xfId="0" applyFont="1"/>
    <xf borderId="0" fillId="7" fontId="6" numFmtId="3" xfId="0" applyAlignment="1" applyFont="1" applyNumberFormat="1">
      <alignment horizontal="right" vertical="bottom"/>
    </xf>
    <xf borderId="0" fillId="5" fontId="15" numFmtId="0" xfId="0" applyAlignment="1" applyFont="1">
      <alignment horizontal="right" readingOrder="0" shrinkToFit="0" vertical="bottom" wrapText="0"/>
    </xf>
    <xf borderId="0" fillId="5" fontId="15" numFmtId="0" xfId="0" applyAlignment="1" applyFont="1">
      <alignment shrinkToFit="0" vertical="bottom" wrapText="0"/>
    </xf>
    <xf borderId="0" fillId="0" fontId="16" numFmtId="0" xfId="0" applyFont="1"/>
    <xf borderId="0" fillId="0" fontId="16" numFmtId="169" xfId="0" applyFont="1" applyNumberFormat="1"/>
    <xf borderId="0" fillId="3" fontId="15" numFmtId="9" xfId="0" applyAlignment="1" applyFont="1" applyNumberFormat="1">
      <alignment horizontal="right" readingOrder="0" shrinkToFit="0" vertical="bottom" wrapText="0"/>
    </xf>
    <xf borderId="0" fillId="0" fontId="15" numFmtId="10" xfId="0" applyAlignment="1" applyFont="1" applyNumberFormat="1">
      <alignment horizontal="right" readingOrder="0" shrinkToFit="0" vertical="bottom" wrapText="0"/>
    </xf>
    <xf borderId="0" fillId="0" fontId="17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9" xfId="0" applyAlignment="1" applyFont="1" applyNumberFormat="1">
      <alignment readingOrder="0"/>
    </xf>
    <xf borderId="0" fillId="7" fontId="5" numFmtId="0" xfId="0" applyAlignment="1" applyFont="1">
      <alignment readingOrder="0" shrinkToFit="0" vertical="bottom" wrapText="0"/>
    </xf>
    <xf borderId="0" fillId="7" fontId="6" numFmtId="164" xfId="0" applyAlignment="1" applyFont="1" applyNumberFormat="1">
      <alignment readingOrder="0"/>
    </xf>
    <xf borderId="0" fillId="0" fontId="15" numFmtId="0" xfId="0" applyAlignment="1" applyFont="1">
      <alignment horizontal="right" readingOrder="0"/>
    </xf>
    <xf borderId="0" fillId="3" fontId="16" numFmtId="10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170" xfId="0" applyAlignment="1" applyFont="1" applyNumberFormat="1">
      <alignment readingOrder="0"/>
    </xf>
    <xf borderId="0" fillId="0" fontId="5" numFmtId="164" xfId="0" applyAlignment="1" applyFont="1" applyNumberFormat="1">
      <alignment shrinkToFit="0" vertical="bottom" wrapText="0"/>
    </xf>
    <xf borderId="0" fillId="7" fontId="17" numFmtId="164" xfId="0" applyAlignment="1" applyFont="1" applyNumberFormat="1">
      <alignment readingOrder="0" shrinkToFit="0" wrapText="1"/>
    </xf>
    <xf borderId="0" fillId="7" fontId="5" numFmtId="164" xfId="0" applyAlignment="1" applyFont="1" applyNumberFormat="1">
      <alignment readingOrder="0" shrinkToFit="0" vertical="bottom" wrapText="0"/>
    </xf>
    <xf borderId="0" fillId="7" fontId="6" numFmtId="164" xfId="0" applyFont="1" applyNumberFormat="1"/>
    <xf borderId="0" fillId="7" fontId="17" numFmtId="0" xfId="0" applyAlignment="1" applyFont="1">
      <alignment readingOrder="0" shrinkToFit="0" wrapText="1"/>
    </xf>
    <xf borderId="0" fillId="7" fontId="6" numFmtId="170" xfId="0" applyAlignment="1" applyFont="1" applyNumberFormat="1">
      <alignment readingOrder="0"/>
    </xf>
    <xf borderId="0" fillId="3" fontId="16" numFmtId="9" xfId="0" applyAlignment="1" applyFont="1" applyNumberFormat="1">
      <alignment readingOrder="0"/>
    </xf>
    <xf borderId="0" fillId="0" fontId="16" numFmtId="9" xfId="0" applyAlignment="1" applyFont="1" applyNumberFormat="1">
      <alignment readingOrder="0"/>
    </xf>
    <xf borderId="0" fillId="6" fontId="14" numFmtId="164" xfId="0" applyAlignment="1" applyFont="1" applyNumberFormat="1">
      <alignment readingOrder="0" shrinkToFit="0" vertical="bottom" wrapText="0"/>
    </xf>
    <xf borderId="0" fillId="6" fontId="12" numFmtId="164" xfId="0" applyAlignment="1" applyFont="1" applyNumberFormat="1">
      <alignment shrinkToFit="0" vertical="bottom" wrapText="0"/>
    </xf>
    <xf borderId="0" fillId="6" fontId="6" numFmtId="164" xfId="0" applyAlignment="1" applyFont="1" applyNumberFormat="1">
      <alignment readingOrder="0"/>
    </xf>
    <xf borderId="0" fillId="0" fontId="15" numFmtId="164" xfId="0" applyAlignment="1" applyFont="1" applyNumberFormat="1">
      <alignment horizontal="right" readingOrder="0" shrinkToFit="0" vertical="bottom" wrapText="0"/>
    </xf>
    <xf borderId="0" fillId="5" fontId="12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readingOrder="0"/>
    </xf>
    <xf borderId="0" fillId="3" fontId="18" numFmtId="10" xfId="0" applyAlignment="1" applyFont="1" applyNumberFormat="1">
      <alignment horizontal="right" readingOrder="0"/>
    </xf>
    <xf borderId="0" fillId="0" fontId="16" numFmtId="10" xfId="0" applyAlignment="1" applyFont="1" applyNumberFormat="1">
      <alignment readingOrder="0"/>
    </xf>
    <xf borderId="0" fillId="6" fontId="14" numFmtId="0" xfId="0" applyAlignment="1" applyFont="1">
      <alignment readingOrder="0" shrinkToFit="0" vertical="bottom" wrapText="0"/>
    </xf>
    <xf borderId="0" fillId="6" fontId="14" numFmtId="0" xfId="0" applyAlignment="1" applyFont="1">
      <alignment shrinkToFit="0" vertical="bottom" wrapText="0"/>
    </xf>
    <xf borderId="0" fillId="6" fontId="6" numFmtId="0" xfId="0" applyFont="1"/>
    <xf borderId="0" fillId="0" fontId="7" numFmtId="0" xfId="0" applyAlignment="1" applyFont="1">
      <alignment readingOrder="0"/>
    </xf>
    <xf borderId="0" fillId="7" fontId="14" numFmtId="0" xfId="0" applyAlignment="1" applyFont="1">
      <alignment shrinkToFit="0" vertical="bottom" wrapText="0"/>
    </xf>
    <xf borderId="0" fillId="7" fontId="6" numFmtId="10" xfId="0" applyFont="1" applyNumberFormat="1"/>
    <xf borderId="0" fillId="0" fontId="6" numFmtId="10" xfId="0" applyFont="1" applyNumberFormat="1"/>
    <xf borderId="0" fillId="5" fontId="12" numFmtId="0" xfId="0" applyAlignment="1" applyFont="1">
      <alignment shrinkToFit="0" vertical="bottom" wrapText="0"/>
    </xf>
    <xf borderId="0" fillId="5" fontId="14" numFmtId="0" xfId="0" applyAlignment="1" applyFont="1">
      <alignment shrinkToFit="0" vertical="bottom" wrapText="0"/>
    </xf>
    <xf borderId="0" fillId="0" fontId="7" numFmtId="170" xfId="0" applyFont="1" applyNumberFormat="1"/>
    <xf borderId="0" fillId="0" fontId="6" numFmtId="170" xfId="0" applyFont="1" applyNumberFormat="1"/>
    <xf borderId="0" fillId="7" fontId="12" numFmtId="0" xfId="0" applyAlignment="1" applyFont="1">
      <alignment shrinkToFit="0" vertical="bottom" wrapText="0"/>
    </xf>
    <xf borderId="0" fillId="7" fontId="6" numFmtId="0" xfId="0" applyAlignment="1" applyFont="1">
      <alignment readingOrder="0"/>
    </xf>
    <xf borderId="0" fillId="7" fontId="16" numFmtId="0" xfId="0" applyFont="1"/>
    <xf borderId="0" fillId="0" fontId="16" numFmtId="170" xfId="0" applyFont="1" applyNumberFormat="1"/>
    <xf borderId="0" fillId="0" fontId="6" numFmtId="0" xfId="0" applyAlignment="1" applyFont="1">
      <alignment vertical="bottom"/>
    </xf>
    <xf borderId="0" fillId="5" fontId="12" numFmtId="0" xfId="0" applyAlignment="1" applyFont="1">
      <alignment readingOrder="0" shrinkToFit="0" vertical="bottom" wrapText="0"/>
    </xf>
    <xf borderId="0" fillId="3" fontId="16" numFmtId="9" xfId="0" applyAlignment="1" applyFont="1" applyNumberFormat="1">
      <alignment horizontal="right" readingOrder="0"/>
    </xf>
    <xf borderId="0" fillId="0" fontId="16" numFmtId="10" xfId="0" applyAlignment="1" applyFont="1" applyNumberFormat="1">
      <alignment horizontal="right" readingOrder="0"/>
    </xf>
    <xf borderId="0" fillId="0" fontId="12" numFmtId="0" xfId="0" applyAlignment="1" applyFont="1">
      <alignment readingOrder="0" shrinkToFit="0" vertical="bottom" wrapText="0"/>
    </xf>
    <xf borderId="0" fillId="0" fontId="6" numFmtId="10" xfId="0" applyAlignment="1" applyFont="1" applyNumberFormat="1">
      <alignment horizontal="right" readingOrder="0"/>
    </xf>
    <xf borderId="0" fillId="0" fontId="6" numFmtId="0" xfId="0" applyAlignment="1" applyFont="1">
      <alignment horizontal="right" readingOrder="0"/>
    </xf>
    <xf borderId="0" fillId="6" fontId="14" numFmtId="164" xfId="0" applyAlignment="1" applyFont="1" applyNumberFormat="1">
      <alignment shrinkToFit="0" vertical="bottom" wrapText="0"/>
    </xf>
    <xf borderId="0" fillId="6" fontId="8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7" fontId="14" numFmtId="164" xfId="0" applyAlignment="1" applyFont="1" applyNumberFormat="1">
      <alignment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7" fontId="5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171" xfId="0" applyAlignment="1" applyFont="1" applyNumberFormat="1">
      <alignment readingOrder="0"/>
    </xf>
    <xf borderId="0" fillId="3" fontId="6" numFmtId="9" xfId="0" applyAlignment="1" applyFont="1" applyNumberFormat="1">
      <alignment readingOrder="0"/>
    </xf>
    <xf borderId="0" fillId="5" fontId="14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readingOrder="0"/>
    </xf>
    <xf borderId="0" fillId="0" fontId="7" numFmtId="3" xfId="0" applyAlignment="1" applyFont="1" applyNumberFormat="1">
      <alignment readingOrder="0"/>
    </xf>
    <xf borderId="0" fillId="0" fontId="6" numFmtId="3" xfId="0" applyFont="1" applyNumberFormat="1"/>
    <xf borderId="0" fillId="0" fontId="6" numFmtId="3" xfId="0" applyAlignment="1" applyFont="1" applyNumberFormat="1">
      <alignment readingOrder="0"/>
    </xf>
    <xf borderId="0" fillId="0" fontId="7" numFmtId="3" xfId="0" applyFont="1" applyNumberFormat="1"/>
    <xf borderId="0" fillId="9" fontId="7" numFmtId="164" xfId="0" applyAlignment="1" applyFill="1" applyFont="1" applyNumberFormat="1">
      <alignment readingOrder="0"/>
    </xf>
    <xf borderId="0" fillId="0" fontId="7" numFmtId="164" xfId="0" applyFont="1" applyNumberFormat="1"/>
    <xf borderId="0" fillId="5" fontId="14" numFmtId="164" xfId="0" applyAlignment="1" applyFont="1" applyNumberFormat="1">
      <alignment readingOrder="0" shrinkToFit="0" vertical="bottom" wrapText="0"/>
    </xf>
    <xf borderId="0" fillId="5" fontId="14" numFmtId="164" xfId="0" applyAlignment="1" applyFont="1" applyNumberFormat="1">
      <alignment shrinkToFit="0" vertical="bottom" wrapText="0"/>
    </xf>
    <xf borderId="0" fillId="5" fontId="19" numFmtId="0" xfId="0" applyAlignment="1" applyFont="1">
      <alignment shrinkToFit="0" vertical="bottom" wrapText="0"/>
    </xf>
    <xf borderId="0" fillId="5" fontId="19" numFmtId="0" xfId="0" applyAlignment="1" applyFont="1">
      <alignment shrinkToFit="0" vertical="bottom" wrapText="0"/>
    </xf>
    <xf borderId="0" fillId="5" fontId="2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1" fillId="6" fontId="20" numFmtId="0" xfId="0" applyAlignment="1" applyBorder="1" applyFont="1">
      <alignment readingOrder="0" shrinkToFit="0" vertical="center" wrapText="0"/>
    </xf>
    <xf borderId="5" fillId="6" fontId="2" numFmtId="0" xfId="0" applyAlignment="1" applyBorder="1" applyFont="1">
      <alignment shrinkToFit="0" vertical="bottom" wrapText="0"/>
    </xf>
    <xf borderId="5" fillId="6" fontId="20" numFmtId="0" xfId="0" applyAlignment="1" applyBorder="1" applyFont="1">
      <alignment horizontal="right" readingOrder="0" shrinkToFit="0" vertical="bottom" wrapText="0"/>
    </xf>
    <xf borderId="0" fillId="5" fontId="19" numFmtId="0" xfId="0" applyAlignment="1" applyFont="1">
      <alignment horizontal="right" readingOrder="0" shrinkToFit="0" vertical="bottom" wrapText="0"/>
    </xf>
    <xf borderId="5" fillId="7" fontId="2" numFmtId="0" xfId="0" applyAlignment="1" applyBorder="1" applyFont="1">
      <alignment readingOrder="0" shrinkToFit="0" vertical="bottom" wrapText="0"/>
    </xf>
    <xf borderId="5" fillId="7" fontId="2" numFmtId="0" xfId="0" applyAlignment="1" applyBorder="1" applyFont="1">
      <alignment shrinkToFit="0" vertical="bottom" wrapText="0"/>
    </xf>
    <xf borderId="5" fillId="7" fontId="2" numFmtId="3" xfId="0" applyAlignment="1" applyBorder="1" applyFont="1" applyNumberFormat="1">
      <alignment readingOrder="0" shrinkToFit="0" vertical="bottom" wrapText="0"/>
    </xf>
    <xf borderId="5" fillId="7" fontId="2" numFmtId="164" xfId="0" applyAlignment="1" applyBorder="1" applyFont="1" applyNumberFormat="1">
      <alignment readingOrder="0" shrinkToFit="0" vertical="bottom" wrapText="0"/>
    </xf>
    <xf borderId="5" fillId="10" fontId="20" numFmtId="0" xfId="0" applyAlignment="1" applyBorder="1" applyFill="1" applyFont="1">
      <alignment readingOrder="0" shrinkToFit="0" vertical="bottom" wrapText="0"/>
    </xf>
    <xf borderId="5" fillId="10" fontId="2" numFmtId="0" xfId="0" applyAlignment="1" applyBorder="1" applyFont="1">
      <alignment shrinkToFit="0" vertical="bottom" wrapText="0"/>
    </xf>
    <xf borderId="5" fillId="10" fontId="20" numFmtId="164" xfId="0" applyAlignment="1" applyBorder="1" applyFont="1" applyNumberFormat="1">
      <alignment readingOrder="0" shrinkToFit="0" vertical="bottom" wrapText="0"/>
    </xf>
    <xf borderId="5" fillId="10" fontId="2" numFmtId="172" xfId="0" applyAlignment="1" applyBorder="1" applyFont="1" applyNumberFormat="1">
      <alignment shrinkToFit="0" vertical="bottom" wrapText="0"/>
    </xf>
    <xf borderId="5" fillId="10" fontId="20" numFmtId="172" xfId="0" applyAlignment="1" applyBorder="1" applyFont="1" applyNumberFormat="1">
      <alignment readingOrder="0" shrinkToFit="0" vertical="bottom" wrapText="0"/>
    </xf>
    <xf borderId="5" fillId="7" fontId="2" numFmtId="172" xfId="0" applyAlignment="1" applyBorder="1" applyFont="1" applyNumberFormat="1">
      <alignment readingOrder="0" shrinkToFit="0" vertical="bottom" wrapText="0"/>
    </xf>
    <xf borderId="5" fillId="7" fontId="5" numFmtId="0" xfId="0" applyAlignment="1" applyBorder="1" applyFont="1">
      <alignment readingOrder="0" shrinkToFit="0" vertical="bottom" wrapText="0"/>
    </xf>
    <xf borderId="5" fillId="7" fontId="2" numFmtId="164" xfId="0" applyAlignment="1" applyBorder="1" applyFont="1" applyNumberFormat="1">
      <alignment shrinkToFit="0" vertical="bottom" wrapText="0"/>
    </xf>
    <xf borderId="0" fillId="5" fontId="21" numFmtId="0" xfId="0" applyAlignment="1" applyFont="1">
      <alignment horizontal="right" readingOrder="0" shrinkToFit="0" vertical="bottom" wrapText="0"/>
    </xf>
    <xf borderId="5" fillId="7" fontId="5" numFmtId="0" xfId="0" applyAlignment="1" applyBorder="1" applyFont="1">
      <alignment readingOrder="0" shrinkToFit="0" vertical="bottom" wrapText="0"/>
    </xf>
    <xf borderId="5" fillId="7" fontId="14" numFmtId="0" xfId="0" applyAlignment="1" applyBorder="1" applyFont="1">
      <alignment shrinkToFit="0" vertical="bottom" wrapText="0"/>
    </xf>
    <xf borderId="5" fillId="7" fontId="6" numFmtId="164" xfId="0" applyAlignment="1" applyBorder="1" applyFont="1" applyNumberFormat="1">
      <alignment readingOrder="0"/>
    </xf>
    <xf borderId="5" fillId="7" fontId="2" numFmtId="170" xfId="0" applyAlignment="1" applyBorder="1" applyFont="1" applyNumberFormat="1">
      <alignment readingOrder="0" shrinkToFit="0" vertical="bottom" wrapText="0"/>
    </xf>
    <xf borderId="0" fillId="5" fontId="2" numFmtId="0" xfId="0" applyAlignment="1" applyFont="1">
      <alignment shrinkToFit="0" vertical="bottom" wrapText="0"/>
    </xf>
    <xf borderId="5" fillId="3" fontId="20" numFmtId="0" xfId="0" applyAlignment="1" applyBorder="1" applyFont="1">
      <alignment readingOrder="0" shrinkToFit="0" vertical="bottom" wrapText="0"/>
    </xf>
    <xf borderId="5" fillId="3" fontId="2" numFmtId="0" xfId="0" applyAlignment="1" applyBorder="1" applyFont="1">
      <alignment shrinkToFit="0" vertical="bottom" wrapText="0"/>
    </xf>
    <xf borderId="5" fillId="3" fontId="20" numFmtId="170" xfId="0" applyAlignment="1" applyBorder="1" applyFont="1" applyNumberFormat="1">
      <alignment readingOrder="0" shrinkToFit="0" vertical="bottom" wrapText="0"/>
    </xf>
    <xf borderId="5" fillId="3" fontId="20" numFmtId="164" xfId="0" applyAlignment="1" applyBorder="1" applyFont="1" applyNumberFormat="1">
      <alignment readingOrder="0" shrinkToFit="0" vertical="bottom" wrapText="0"/>
    </xf>
    <xf borderId="5" fillId="7" fontId="22" numFmtId="9" xfId="0" applyAlignment="1" applyBorder="1" applyFont="1" applyNumberFormat="1">
      <alignment horizontal="right" readingOrder="0" shrinkToFit="0" vertical="bottom" wrapText="0"/>
    </xf>
    <xf borderId="5" fillId="7" fontId="20" numFmtId="172" xfId="0" applyAlignment="1" applyBorder="1" applyFont="1" applyNumberFormat="1">
      <alignment shrinkToFit="0" vertical="bottom" wrapText="0"/>
    </xf>
    <xf borderId="0" fillId="7" fontId="20" numFmtId="0" xfId="0" applyAlignment="1" applyFont="1">
      <alignment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5" fontId="19" numFmtId="164" xfId="0" applyAlignment="1" applyFont="1" applyNumberFormat="1">
      <alignment shrinkToFit="0" vertical="bottom" wrapText="0"/>
    </xf>
    <xf borderId="0" fillId="5" fontId="2" numFmtId="164" xfId="0" applyAlignment="1" applyFont="1" applyNumberFormat="1">
      <alignment shrinkToFit="0" vertical="bottom" wrapText="0"/>
    </xf>
    <xf borderId="0" fillId="5" fontId="23" numFmtId="0" xfId="0" applyAlignment="1" applyFont="1">
      <alignment horizontal="left" readingOrder="0"/>
    </xf>
    <xf borderId="0" fillId="5" fontId="19" numFmtId="164" xfId="0" applyAlignment="1" applyFont="1" applyNumberFormat="1">
      <alignment horizontal="right" readingOrder="0" shrinkToFit="0" vertical="bottom" wrapText="0"/>
    </xf>
    <xf borderId="0" fillId="5" fontId="2" numFmtId="164" xfId="0" applyAlignment="1" applyFont="1" applyNumberFormat="1">
      <alignment horizontal="left" readingOrder="0"/>
    </xf>
    <xf borderId="0" fillId="5" fontId="2" numFmtId="164" xfId="0" applyAlignment="1" applyFont="1" applyNumberFormat="1">
      <alignment readingOrder="0" shrinkToFit="0" vertical="bottom" wrapText="0"/>
    </xf>
    <xf borderId="0" fillId="5" fontId="24" numFmtId="164" xfId="0" applyAlignment="1" applyFont="1" applyNumberFormat="1">
      <alignment horizontal="left" readingOrder="0"/>
    </xf>
    <xf borderId="0" fillId="5" fontId="20" numFmtId="164" xfId="0" applyAlignment="1" applyFont="1" applyNumberFormat="1">
      <alignment readingOrder="0" shrinkToFit="0" vertical="bottom" wrapText="0"/>
    </xf>
    <xf borderId="0" fillId="5" fontId="25" numFmtId="164" xfId="0" applyAlignment="1" applyFont="1" applyNumberFormat="1">
      <alignment horizontal="left" readingOrder="0"/>
    </xf>
    <xf borderId="0" fillId="5" fontId="26" numFmtId="164" xfId="0" applyAlignment="1" applyFont="1" applyNumberFormat="1">
      <alignment readingOrder="0" shrinkToFit="0" vertical="bottom" wrapText="0"/>
    </xf>
    <xf borderId="0" fillId="5" fontId="25" numFmtId="0" xfId="0" applyAlignment="1" applyFont="1">
      <alignment horizontal="left" readingOrder="0"/>
    </xf>
    <xf borderId="0" fillId="5" fontId="2" numFmtId="0" xfId="0" applyAlignment="1" applyFont="1">
      <alignment readingOrder="0" shrinkToFit="0" vertical="bottom" wrapText="0"/>
    </xf>
    <xf borderId="0" fillId="5" fontId="20" numFmtId="0" xfId="0" applyAlignment="1" applyFont="1">
      <alignment readingOrder="0" shrinkToFit="0" vertical="bottom" wrapText="0"/>
    </xf>
    <xf borderId="0" fillId="11" fontId="25" numFmtId="164" xfId="0" applyAlignment="1" applyFill="1" applyFont="1" applyNumberFormat="1">
      <alignment horizontal="left" readingOrder="0"/>
    </xf>
    <xf borderId="0" fillId="11" fontId="2" numFmtId="164" xfId="0" applyAlignment="1" applyFont="1" applyNumberFormat="1">
      <alignment shrinkToFit="0" vertical="bottom" wrapText="0"/>
    </xf>
    <xf borderId="0" fillId="11" fontId="20" numFmtId="164" xfId="0" applyAlignment="1" applyFont="1" applyNumberFormat="1">
      <alignment readingOrder="0" shrinkToFit="0" vertical="bottom" wrapText="0"/>
    </xf>
    <xf borderId="0" fillId="5" fontId="20" numFmtId="3" xfId="0" applyAlignment="1" applyFont="1" applyNumberFormat="1">
      <alignment readingOrder="0" shrinkToFit="0" vertical="bottom" wrapText="0"/>
    </xf>
    <xf borderId="0" fillId="5" fontId="24" numFmtId="0" xfId="0" applyAlignment="1" applyFont="1">
      <alignment horizontal="left" readingOrder="0"/>
    </xf>
    <xf borderId="0" fillId="5" fontId="2" numFmtId="3" xfId="0" applyAlignment="1" applyFont="1" applyNumberFormat="1">
      <alignment readingOrder="0" shrinkToFit="0" vertical="bottom" wrapText="0"/>
    </xf>
    <xf borderId="0" fillId="11" fontId="25" numFmtId="0" xfId="0" applyAlignment="1" applyFont="1">
      <alignment horizontal="left" readingOrder="0"/>
    </xf>
    <xf borderId="0" fillId="11" fontId="2" numFmtId="0" xfId="0" applyAlignment="1" applyFont="1">
      <alignment shrinkToFit="0" vertical="bottom" wrapText="0"/>
    </xf>
    <xf borderId="0" fillId="11" fontId="20" numFmtId="3" xfId="0" applyAlignment="1" applyFont="1" applyNumberFormat="1">
      <alignment readingOrder="0" shrinkToFit="0" vertical="bottom" wrapText="0"/>
    </xf>
    <xf borderId="0" fillId="11" fontId="20" numFmtId="164" xfId="0" applyAlignment="1" applyFont="1" applyNumberFormat="1">
      <alignment shrinkToFit="0" vertical="bottom" wrapText="0"/>
    </xf>
    <xf borderId="0" fillId="5" fontId="22" numFmtId="164" xfId="0" applyAlignment="1" applyFont="1" applyNumberFormat="1">
      <alignment readingOrder="0" shrinkToFit="0" vertical="bottom" wrapText="0"/>
    </xf>
    <xf borderId="0" fillId="5" fontId="22" numFmtId="164" xfId="0" applyAlignment="1" applyFont="1" applyNumberFormat="1">
      <alignment shrinkToFit="0" vertical="bottom" wrapText="0"/>
    </xf>
    <xf borderId="6" fillId="3" fontId="20" numFmtId="0" xfId="0" applyAlignment="1" applyBorder="1" applyFont="1">
      <alignment readingOrder="0" shrinkToFit="0" vertical="bottom" wrapText="0"/>
    </xf>
    <xf borderId="6" fillId="3" fontId="2" numFmtId="0" xfId="0" applyAlignment="1" applyBorder="1" applyFont="1">
      <alignment shrinkToFit="0" vertical="bottom" wrapText="0"/>
    </xf>
    <xf borderId="0" fillId="5" fontId="20" numFmtId="0" xfId="0" applyAlignment="1" applyFont="1">
      <alignment readingOrder="0"/>
    </xf>
    <xf borderId="0" fillId="5" fontId="2" numFmtId="0" xfId="0" applyFont="1"/>
    <xf borderId="0" fillId="5" fontId="2" numFmtId="164" xfId="0" applyAlignment="1" applyFont="1" applyNumberFormat="1">
      <alignment readingOrder="0"/>
    </xf>
    <xf borderId="0" fillId="5" fontId="2" numFmtId="164" xfId="0" applyAlignment="1" applyFont="1" applyNumberFormat="1">
      <alignment horizontal="right" readingOrder="0"/>
    </xf>
    <xf borderId="7" fillId="3" fontId="20" numFmtId="164" xfId="0" applyAlignment="1" applyBorder="1" applyFont="1" applyNumberFormat="1">
      <alignment readingOrder="0"/>
    </xf>
    <xf borderId="7" fillId="3" fontId="2" numFmtId="164" xfId="0" applyAlignment="1" applyBorder="1" applyFont="1" applyNumberFormat="1">
      <alignment shrinkToFit="0" vertical="bottom" wrapText="0"/>
    </xf>
    <xf borderId="7" fillId="3" fontId="20" numFmtId="164" xfId="0" applyAlignment="1" applyBorder="1" applyFont="1" applyNumberFormat="1">
      <alignment horizontal="right"/>
    </xf>
    <xf borderId="7" fillId="3" fontId="20" numFmtId="164" xfId="0" applyAlignment="1" applyBorder="1" applyFont="1" applyNumberFormat="1">
      <alignment readingOrder="0" shrinkToFit="0" vertical="bottom" wrapText="0"/>
    </xf>
    <xf borderId="0" fillId="5" fontId="20" numFmtId="164" xfId="0" applyAlignment="1" applyFont="1" applyNumberFormat="1">
      <alignment readingOrder="0"/>
    </xf>
    <xf borderId="8" fillId="5" fontId="20" numFmtId="164" xfId="0" applyAlignment="1" applyBorder="1" applyFont="1" applyNumberFormat="1">
      <alignment readingOrder="0" shrinkToFit="0" vertical="bottom" wrapText="0"/>
    </xf>
    <xf borderId="8" fillId="5" fontId="2" numFmtId="164" xfId="0" applyAlignment="1" applyBorder="1" applyFont="1" applyNumberFormat="1">
      <alignment shrinkToFit="0" vertical="bottom" wrapText="0"/>
    </xf>
    <xf borderId="8" fillId="5" fontId="20" numFmtId="164" xfId="0" applyAlignment="1" applyBorder="1" applyFont="1" applyNumberFormat="1">
      <alignment horizontal="right" readingOrder="0"/>
    </xf>
    <xf borderId="0" fillId="11" fontId="27" numFmtId="0" xfId="0" applyAlignment="1" applyFont="1">
      <alignment readingOrder="0" shrinkToFit="0" vertical="bottom" wrapText="0"/>
    </xf>
    <xf borderId="0" fillId="3" fontId="22" numFmtId="9" xfId="0" applyAlignment="1" applyFont="1" applyNumberFormat="1">
      <alignment horizontal="right" readingOrder="0" shrinkToFit="0" vertical="bottom" wrapText="0"/>
    </xf>
    <xf borderId="0" fillId="5" fontId="2" numFmtId="164" xfId="0" applyAlignment="1" applyFont="1" applyNumberFormat="1">
      <alignment readingOrder="0" shrinkToFit="0" vertical="bottom" wrapText="0"/>
    </xf>
    <xf borderId="0" fillId="5" fontId="19" numFmtId="0" xfId="0" applyAlignment="1" applyFont="1">
      <alignment readingOrder="0" shrinkToFit="0" vertical="bottom" wrapText="0"/>
    </xf>
    <xf borderId="0" fillId="5" fontId="2" numFmtId="170" xfId="0" applyAlignment="1" applyFont="1" applyNumberFormat="1">
      <alignment readingOrder="0" shrinkToFit="0" vertical="bottom" wrapText="0"/>
    </xf>
    <xf borderId="0" fillId="5" fontId="22" numFmtId="0" xfId="0" applyAlignment="1" applyFont="1">
      <alignment readingOrder="0" shrinkToFit="0" vertical="bottom" wrapText="0"/>
    </xf>
    <xf borderId="0" fillId="5" fontId="20" numFmtId="0" xfId="0" applyAlignment="1" applyFont="1">
      <alignment shrinkToFit="0" vertical="bottom" wrapText="0"/>
    </xf>
    <xf borderId="0" fillId="0" fontId="20" numFmtId="164" xfId="0" applyAlignment="1" applyFont="1" applyNumberFormat="1">
      <alignment readingOrder="0" shrinkToFit="0" vertical="bottom" wrapText="0"/>
    </xf>
    <xf borderId="0" fillId="0" fontId="20" numFmtId="10" xfId="0" applyAlignment="1" applyFont="1" applyNumberFormat="1">
      <alignment horizontal="right" readingOrder="0" shrinkToFit="0" vertical="bottom" wrapText="0"/>
    </xf>
    <xf borderId="0" fillId="5" fontId="28" numFmtId="0" xfId="0" applyAlignment="1" applyFont="1">
      <alignment readingOrder="0"/>
    </xf>
    <xf borderId="0" fillId="5" fontId="2" numFmtId="9" xfId="0" applyAlignment="1" applyFont="1" applyNumberForma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horizontal="right" readingOrder="0" shrinkToFit="0" vertical="bottom" wrapText="0"/>
    </xf>
    <xf borderId="0" fillId="0" fontId="19" numFmtId="0" xfId="0" applyAlignment="1" applyFont="1">
      <alignment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9" numFmtId="170" xfId="0" applyFont="1" applyNumberFormat="1"/>
    <xf borderId="0" fillId="0" fontId="9" numFmtId="170" xfId="0" applyAlignment="1" applyFont="1" applyNumberFormat="1">
      <alignment readingOrder="0"/>
    </xf>
    <xf borderId="8" fillId="0" fontId="3" numFmtId="0" xfId="0" applyAlignment="1" applyBorder="1" applyFont="1">
      <alignment vertical="bottom"/>
    </xf>
    <xf borderId="0" fillId="0" fontId="3" numFmtId="169" xfId="0" applyAlignment="1" applyFont="1" applyNumberFormat="1">
      <alignment vertical="top"/>
    </xf>
    <xf borderId="9" fillId="2" fontId="3" numFmtId="169" xfId="0" applyAlignment="1" applyBorder="1" applyFont="1" applyNumberFormat="1">
      <alignment vertical="top"/>
    </xf>
    <xf borderId="10" fillId="2" fontId="1" numFmtId="0" xfId="0" applyAlignment="1" applyBorder="1" applyFont="1">
      <alignment horizontal="center" shrinkToFit="0" vertical="bottom" wrapText="1"/>
    </xf>
    <xf borderId="0" fillId="0" fontId="30" numFmtId="169" xfId="0" applyAlignment="1" applyFont="1" applyNumberFormat="1">
      <alignment shrinkToFit="0" vertical="bottom" wrapText="1"/>
    </xf>
    <xf borderId="9" fillId="6" fontId="30" numFmtId="169" xfId="0" applyAlignment="1" applyBorder="1" applyFont="1" applyNumberFormat="1">
      <alignment shrinkToFit="0" vertical="bottom" wrapText="1"/>
    </xf>
    <xf borderId="10" fillId="3" fontId="30" numFmtId="169" xfId="0" applyAlignment="1" applyBorder="1" applyFont="1" applyNumberFormat="1">
      <alignment horizontal="right" shrinkToFit="0" vertical="bottom" wrapText="1"/>
    </xf>
    <xf borderId="0" fillId="0" fontId="26" numFmtId="0" xfId="0" applyAlignment="1" applyFont="1">
      <alignment vertical="bottom"/>
    </xf>
    <xf borderId="9" fillId="6" fontId="26" numFmtId="0" xfId="0" applyAlignment="1" applyBorder="1" applyFont="1">
      <alignment vertical="bottom"/>
    </xf>
    <xf borderId="10" fillId="3" fontId="3" numFmtId="169" xfId="0" applyAlignment="1" applyBorder="1" applyFont="1" applyNumberFormat="1">
      <alignment horizontal="right" vertical="bottom"/>
    </xf>
    <xf borderId="10" fillId="3" fontId="3" numFmtId="0" xfId="0" applyAlignment="1" applyBorder="1" applyFont="1">
      <alignment vertical="bottom"/>
    </xf>
    <xf borderId="10" fillId="3" fontId="3" numFmtId="9" xfId="0" applyAlignment="1" applyBorder="1" applyFont="1" applyNumberFormat="1">
      <alignment horizontal="right" readingOrder="0" vertical="bottom"/>
    </xf>
    <xf borderId="0" fillId="0" fontId="26" numFmtId="0" xfId="0" applyAlignment="1" applyFont="1">
      <alignment vertical="top"/>
    </xf>
    <xf borderId="9" fillId="6" fontId="26" numFmtId="0" xfId="0" applyAlignment="1" applyBorder="1" applyFont="1">
      <alignment vertical="center"/>
    </xf>
    <xf borderId="10" fillId="3" fontId="3" numFmtId="0" xfId="0" applyAlignment="1" applyBorder="1" applyFont="1">
      <alignment readingOrder="0" vertical="bottom"/>
    </xf>
    <xf borderId="10" fillId="3" fontId="3" numFmtId="0" xfId="0" applyAlignment="1" applyBorder="1" applyFont="1">
      <alignment readingOrder="0" vertical="top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6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9" numFmtId="166" xfId="0" applyFont="1" applyNumberFormat="1"/>
    <xf borderId="0" fillId="0" fontId="9" numFmtId="173" xfId="0" applyFont="1" applyNumberFormat="1"/>
    <xf borderId="0" fillId="0" fontId="31" numFmtId="0" xfId="0" applyAlignment="1" applyFont="1">
      <alignment readingOrder="0"/>
    </xf>
    <xf borderId="0" fillId="0" fontId="33" numFmtId="0" xfId="0" applyFont="1"/>
    <xf borderId="5" fillId="2" fontId="9" numFmtId="0" xfId="0" applyBorder="1" applyFont="1"/>
    <xf borderId="5" fillId="2" fontId="20" numFmtId="0" xfId="0" applyAlignment="1" applyBorder="1" applyFont="1">
      <alignment horizontal="right" readingOrder="0" shrinkToFit="0" vertical="bottom" wrapText="0"/>
    </xf>
    <xf borderId="0" fillId="0" fontId="34" numFmtId="0" xfId="0" applyAlignment="1" applyFont="1">
      <alignment horizontal="right" readingOrder="0" shrinkToFit="0" vertical="bottom" wrapText="0"/>
    </xf>
    <xf borderId="5" fillId="6" fontId="35" numFmtId="0" xfId="0" applyAlignment="1" applyBorder="1" applyFont="1">
      <alignment horizontal="right" readingOrder="0" shrinkToFit="0" vertical="bottom" wrapText="0"/>
    </xf>
    <xf borderId="5" fillId="0" fontId="9" numFmtId="164" xfId="0" applyBorder="1" applyFont="1" applyNumberFormat="1"/>
    <xf borderId="0" fillId="0" fontId="14" numFmtId="0" xfId="0" applyAlignment="1" applyFont="1">
      <alignment readingOrder="0" shrinkToFit="0" vertical="bottom" wrapText="0"/>
    </xf>
    <xf borderId="11" fillId="6" fontId="14" numFmtId="0" xfId="0" applyAlignment="1" applyBorder="1" applyFont="1">
      <alignment readingOrder="0" shrinkToFit="0" vertical="bottom" wrapText="0"/>
    </xf>
    <xf borderId="12" fillId="0" fontId="36" numFmtId="0" xfId="0" applyBorder="1" applyFont="1"/>
    <xf borderId="5" fillId="6" fontId="7" numFmtId="164" xfId="0" applyBorder="1" applyFont="1" applyNumberFormat="1"/>
    <xf borderId="0" fillId="0" fontId="7" numFmtId="0" xfId="0" applyFont="1"/>
    <xf borderId="8" fillId="0" fontId="37" numFmtId="0" xfId="0" applyBorder="1" applyFont="1"/>
    <xf borderId="9" fillId="6" fontId="20" numFmtId="0" xfId="0" applyAlignment="1" applyBorder="1" applyFont="1">
      <alignment readingOrder="0" shrinkToFit="0" vertical="bottom" wrapText="0"/>
    </xf>
    <xf borderId="9" fillId="6" fontId="2" numFmtId="0" xfId="0" applyAlignment="1" applyBorder="1" applyFont="1">
      <alignment shrinkToFit="0" vertical="bottom" wrapText="0"/>
    </xf>
    <xf borderId="9" fillId="6" fontId="20" numFmtId="170" xfId="0" applyAlignment="1" applyBorder="1" applyFont="1" applyNumberFormat="1">
      <alignment readingOrder="0" shrinkToFit="0" vertical="bottom" wrapText="0"/>
    </xf>
    <xf borderId="5" fillId="6" fontId="20" numFmtId="170" xfId="0" applyAlignment="1" applyBorder="1" applyFont="1" applyNumberFormat="1">
      <alignment readingOrder="0" shrinkToFit="0" vertical="bottom" wrapText="0"/>
    </xf>
    <xf borderId="0" fillId="0" fontId="20" numFmtId="170" xfId="0" applyAlignment="1" applyFont="1" applyNumberFormat="1">
      <alignment readingOrder="0" shrinkToFit="0" vertical="bottom" wrapText="0"/>
    </xf>
    <xf borderId="0" fillId="0" fontId="38" numFmtId="0" xfId="0" applyFont="1"/>
    <xf borderId="0" fillId="5" fontId="39" numFmtId="0" xfId="0" applyAlignment="1" applyFont="1">
      <alignment horizontal="right" readingOrder="0" shrinkToFit="0" vertical="bottom" wrapText="0"/>
    </xf>
    <xf borderId="5" fillId="6" fontId="20" numFmtId="0" xfId="0" applyAlignment="1" applyBorder="1" applyFont="1">
      <alignment readingOrder="0" shrinkToFit="0" vertical="bottom" wrapText="0"/>
    </xf>
    <xf borderId="5" fillId="6" fontId="2" numFmtId="0" xfId="0" applyAlignment="1" applyBorder="1" applyFont="1">
      <alignment shrinkToFit="0" vertical="bottom" wrapText="0"/>
    </xf>
    <xf borderId="5" fillId="6" fontId="20" numFmtId="170" xfId="0" applyAlignment="1" applyBorder="1" applyFont="1" applyNumberFormat="1">
      <alignment readingOrder="0" shrinkToFit="0" vertical="bottom" wrapText="0"/>
    </xf>
    <xf borderId="0" fillId="5" fontId="20" numFmtId="170" xfId="0" applyAlignment="1" applyFont="1" applyNumberFormat="1">
      <alignment readingOrder="0" shrinkToFit="0" vertical="bottom" wrapText="0"/>
    </xf>
    <xf borderId="5" fillId="6" fontId="12" numFmtId="0" xfId="0" applyAlignment="1" applyBorder="1" applyFont="1">
      <alignment readingOrder="0" shrinkToFit="0" vertical="bottom" wrapText="0"/>
    </xf>
    <xf borderId="5" fillId="6" fontId="14" numFmtId="0" xfId="0" applyAlignment="1" applyBorder="1" applyFont="1">
      <alignment shrinkToFit="0" vertical="bottom" wrapText="0"/>
    </xf>
    <xf borderId="5" fillId="6" fontId="6" numFmtId="0" xfId="0" applyBorder="1" applyFont="1"/>
    <xf borderId="5" fillId="6" fontId="6" numFmtId="10" xfId="0" applyBorder="1" applyFont="1" applyNumberFormat="1"/>
    <xf borderId="0" fillId="0" fontId="40" numFmtId="0" xfId="0" applyAlignment="1" applyFont="1">
      <alignment readingOrder="0"/>
    </xf>
    <xf borderId="0" fillId="0" fontId="8" numFmtId="0" xfId="0" applyFont="1"/>
    <xf borderId="0" fillId="5" fontId="41" numFmtId="0" xfId="0" applyAlignment="1" applyFont="1">
      <alignment readingOrder="0" vertical="bottom"/>
    </xf>
    <xf borderId="0" fillId="0" fontId="42" numFmtId="0" xfId="0" applyAlignment="1" applyFont="1">
      <alignment readingOrder="0" shrinkToFit="0" wrapText="0"/>
    </xf>
    <xf borderId="0" fillId="0" fontId="43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44" numFmtId="0" xfId="0" applyAlignment="1" applyFont="1">
      <alignment readingOrder="0" shrinkToFit="0" wrapText="1"/>
    </xf>
    <xf borderId="0" fillId="0" fontId="45" numFmtId="0" xfId="0" applyAlignment="1" applyFont="1">
      <alignment readingOrder="0" shrinkToFit="0" wrapText="1"/>
    </xf>
    <xf borderId="0" fillId="5" fontId="46" numFmtId="0" xfId="0" applyAlignment="1" applyFont="1">
      <alignment readingOrder="0"/>
    </xf>
    <xf borderId="0" fillId="5" fontId="47" numFmtId="0" xfId="0" applyAlignment="1" applyFont="1">
      <alignment readingOrder="0"/>
    </xf>
    <xf borderId="0" fillId="5" fontId="48" numFmtId="0" xfId="0" applyAlignment="1" applyFont="1">
      <alignment readingOrder="0"/>
    </xf>
    <xf borderId="0" fillId="0" fontId="49" numFmtId="0" xfId="0" applyAlignment="1" applyFont="1">
      <alignment readingOrder="0"/>
    </xf>
    <xf borderId="8" fillId="6" fontId="50" numFmtId="0" xfId="0" applyAlignment="1" applyBorder="1" applyFont="1">
      <alignment horizontal="center" shrinkToFit="0" vertical="bottom" wrapText="1"/>
    </xf>
    <xf borderId="8" fillId="5" fontId="3" numFmtId="0" xfId="0" applyAlignment="1" applyBorder="1" applyFont="1">
      <alignment vertical="bottom"/>
    </xf>
    <xf borderId="9" fillId="2" fontId="1" numFmtId="0" xfId="0" applyAlignment="1" applyBorder="1" applyFont="1">
      <alignment horizontal="left" shrinkToFit="0" vertical="bottom" wrapText="1"/>
    </xf>
    <xf borderId="9" fillId="5" fontId="51" numFmtId="0" xfId="0" applyAlignment="1" applyBorder="1" applyFont="1">
      <alignment horizontal="left" readingOrder="0" vertical="bottom"/>
    </xf>
    <xf borderId="10" fillId="0" fontId="30" numFmtId="164" xfId="0" applyAlignment="1" applyBorder="1" applyFont="1" applyNumberFormat="1">
      <alignment horizontal="right" readingOrder="0" vertical="bottom"/>
    </xf>
    <xf borderId="10" fillId="0" fontId="3" numFmtId="0" xfId="0" applyAlignment="1" applyBorder="1" applyFont="1">
      <alignment horizontal="right" vertical="bottom"/>
    </xf>
    <xf borderId="10" fillId="0" fontId="30" numFmtId="164" xfId="0" applyAlignment="1" applyBorder="1" applyFont="1" applyNumberFormat="1">
      <alignment horizontal="right" vertical="bottom"/>
    </xf>
    <xf borderId="10" fillId="0" fontId="3" numFmtId="174" xfId="0" applyAlignment="1" applyBorder="1" applyFont="1" applyNumberFormat="1">
      <alignment horizontal="right" vertical="bottom"/>
    </xf>
    <xf borderId="8" fillId="6" fontId="52" numFmtId="3" xfId="0" applyAlignment="1" applyBorder="1" applyFont="1" applyNumberFormat="1">
      <alignment vertical="bottom"/>
    </xf>
    <xf borderId="8" fillId="0" fontId="36" numFmtId="0" xfId="0" applyBorder="1" applyFont="1"/>
    <xf borderId="9" fillId="2" fontId="53" numFmtId="3" xfId="0" applyAlignment="1" applyBorder="1" applyFont="1" applyNumberFormat="1">
      <alignment horizontal="left" shrinkToFit="0" vertical="bottom" wrapText="1"/>
    </xf>
    <xf borderId="10" fillId="2" fontId="54" numFmtId="3" xfId="0" applyAlignment="1" applyBorder="1" applyFont="1" applyNumberFormat="1">
      <alignment horizontal="right" vertical="bottom"/>
    </xf>
    <xf borderId="10" fillId="2" fontId="54" numFmtId="3" xfId="0" applyAlignment="1" applyBorder="1" applyFont="1" applyNumberFormat="1">
      <alignment horizontal="right" readingOrder="0" vertical="bottom"/>
    </xf>
    <xf borderId="9" fillId="5" fontId="51" numFmtId="3" xfId="0" applyAlignment="1" applyBorder="1" applyFont="1" applyNumberFormat="1">
      <alignment horizontal="left" readingOrder="0" vertical="bottom"/>
    </xf>
    <xf borderId="10" fillId="5" fontId="55" numFmtId="164" xfId="0" applyAlignment="1" applyBorder="1" applyFont="1" applyNumberFormat="1">
      <alignment horizontal="right" vertical="bottom"/>
    </xf>
    <xf borderId="10" fillId="5" fontId="55" numFmtId="3" xfId="0" applyAlignment="1" applyBorder="1" applyFont="1" applyNumberFormat="1">
      <alignment horizontal="right" vertical="bottom"/>
    </xf>
    <xf borderId="5" fillId="5" fontId="51" numFmtId="3" xfId="0" applyAlignment="1" applyBorder="1" applyFont="1" applyNumberFormat="1">
      <alignment horizontal="left" readingOrder="0" vertical="bottom"/>
    </xf>
    <xf borderId="5" fillId="5" fontId="55" numFmtId="164" xfId="0" applyAlignment="1" applyBorder="1" applyFont="1" applyNumberFormat="1">
      <alignment horizontal="right" vertical="bottom"/>
    </xf>
    <xf borderId="10" fillId="5" fontId="55" numFmtId="164" xfId="0" applyAlignment="1" applyBorder="1" applyFont="1" applyNumberFormat="1">
      <alignment horizontal="right" readingOrder="0" vertical="bottom"/>
    </xf>
    <xf borderId="0" fillId="5" fontId="56" numFmtId="3" xfId="0" applyAlignment="1" applyFont="1" applyNumberFormat="1">
      <alignment horizontal="left" vertical="bottom"/>
    </xf>
    <xf borderId="0" fillId="5" fontId="56" numFmtId="3" xfId="0" applyAlignment="1" applyFont="1" applyNumberFormat="1">
      <alignment horizontal="center" vertical="bottom"/>
    </xf>
    <xf borderId="5" fillId="5" fontId="56" numFmtId="3" xfId="0" applyAlignment="1" applyBorder="1" applyFont="1" applyNumberFormat="1">
      <alignment horizontal="center" vertical="bottom"/>
    </xf>
    <xf borderId="0" fillId="0" fontId="3" numFmtId="166" xfId="0" applyAlignment="1" applyFont="1" applyNumberFormat="1">
      <alignment vertical="bottom"/>
    </xf>
    <xf borderId="0" fillId="5" fontId="3" numFmtId="17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Return on assets vs Ratios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'Ratios '!$A$6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'Ratios '!$B$1:$J$1</c:f>
            </c:strRef>
          </c:cat>
          <c:val>
            <c:numRef>
              <c:f>'Ratios '!$B$6:$J$6</c:f>
              <c:numCache/>
            </c:numRef>
          </c:val>
          <c:smooth val="0"/>
        </c:ser>
        <c:axId val="1571781090"/>
        <c:axId val="1051293357"/>
      </c:lineChart>
      <c:catAx>
        <c:axId val="1571781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1293357"/>
      </c:catAx>
      <c:valAx>
        <c:axId val="10512933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Return on assets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7810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Return on equity vs Ratios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'Ratios '!$A$7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'Ratios '!$B$1:$J$1</c:f>
            </c:strRef>
          </c:cat>
          <c:val>
            <c:numRef>
              <c:f>'Ratios '!$B$7:$J$7</c:f>
              <c:numCache/>
            </c:numRef>
          </c:val>
          <c:smooth val="0"/>
        </c:ser>
        <c:axId val="2136254120"/>
        <c:axId val="174665576"/>
      </c:lineChart>
      <c:catAx>
        <c:axId val="2136254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665576"/>
      </c:catAx>
      <c:valAx>
        <c:axId val="174665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Return on equity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2541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Chart!$D$3:$K$3</c:f>
            </c:strRef>
          </c:cat>
          <c:val>
            <c:numRef>
              <c:f>Chart!$D$4:$K$4</c:f>
              <c:numCache/>
            </c:numRef>
          </c:val>
        </c:ser>
        <c:axId val="707120690"/>
        <c:axId val="608887356"/>
      </c:barChart>
      <c:catAx>
        <c:axId val="7071206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8887356"/>
      </c:catAx>
      <c:valAx>
        <c:axId val="6088873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71206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expense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Chart!$F$26:$M$26</c:f>
            </c:strRef>
          </c:cat>
          <c:val>
            <c:numRef>
              <c:f>Chart!$F$27:$M$27</c:f>
              <c:numCache/>
            </c:numRef>
          </c:val>
        </c:ser>
        <c:axId val="1426437817"/>
        <c:axId val="292573677"/>
      </c:barChart>
      <c:catAx>
        <c:axId val="1426437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2573677"/>
      </c:catAx>
      <c:valAx>
        <c:axId val="292573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64378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EBIT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Chart!$F$51:$M$51</c:f>
            </c:strRef>
          </c:cat>
          <c:val>
            <c:numRef>
              <c:f>Chart!$F$52:$M$52</c:f>
              <c:numCache/>
            </c:numRef>
          </c:val>
          <c:smooth val="0"/>
        </c:ser>
        <c:axId val="801662569"/>
        <c:axId val="502557656"/>
      </c:lineChart>
      <c:catAx>
        <c:axId val="801662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2557656"/>
      </c:catAx>
      <c:valAx>
        <c:axId val="502557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16625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FCF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Chart!$E$74:$L$74</c:f>
            </c:strRef>
          </c:cat>
          <c:val>
            <c:numRef>
              <c:f>Chart!$E$75:$L$75</c:f>
              <c:numCache/>
            </c:numRef>
          </c:val>
        </c:ser>
        <c:axId val="1012135405"/>
        <c:axId val="647869657"/>
      </c:barChart>
      <c:catAx>
        <c:axId val="10121354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7869657"/>
      </c:catAx>
      <c:valAx>
        <c:axId val="647869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21354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Return on equity vs Ratios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'Ratios '!$A$7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'Ratios '!$B$1:$J$1</c:f>
            </c:strRef>
          </c:cat>
          <c:val>
            <c:numRef>
              <c:f>'Ratios '!$B$7:$J$7</c:f>
              <c:numCache/>
            </c:numRef>
          </c:val>
          <c:smooth val="0"/>
        </c:ser>
        <c:axId val="1811972036"/>
        <c:axId val="1357683212"/>
      </c:lineChart>
      <c:catAx>
        <c:axId val="1811972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7683212"/>
      </c:catAx>
      <c:valAx>
        <c:axId val="1357683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Return on equity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19720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Return on assets vs Ratios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'Ratios '!$A$6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'Ratios '!$B$1:$J$1</c:f>
            </c:strRef>
          </c:cat>
          <c:val>
            <c:numRef>
              <c:f>'Ratios '!$B$6:$J$6</c:f>
              <c:numCache/>
            </c:numRef>
          </c:val>
          <c:smooth val="0"/>
        </c:ser>
        <c:axId val="1579927494"/>
        <c:axId val="1479166632"/>
      </c:lineChart>
      <c:catAx>
        <c:axId val="15799274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9166632"/>
      </c:catAx>
      <c:valAx>
        <c:axId val="1479166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Return on assets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9274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 profit margin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Chart!$F$138:$M$138</c:f>
            </c:strRef>
          </c:cat>
          <c:val>
            <c:numRef>
              <c:f>Chart!$F$139:$M$139</c:f>
              <c:numCache/>
            </c:numRef>
          </c:val>
        </c:ser>
        <c:overlap val="100"/>
        <c:axId val="1534949972"/>
        <c:axId val="1836377429"/>
      </c:barChart>
      <c:catAx>
        <c:axId val="1534949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377429"/>
      </c:catAx>
      <c:valAx>
        <c:axId val="18363774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4949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552450</xdr:colOff>
      <xdr:row>9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123825</xdr:colOff>
      <xdr:row>9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228600</xdr:colOff>
      <xdr:row>4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847725</xdr:colOff>
      <xdr:row>27</xdr:row>
      <xdr:rowOff>152400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171450</xdr:colOff>
      <xdr:row>53</xdr:row>
      <xdr:rowOff>85725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171450</xdr:colOff>
      <xdr:row>76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123825</xdr:colOff>
      <xdr:row>97</xdr:row>
      <xdr:rowOff>19050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</xdr:col>
      <xdr:colOff>123825</xdr:colOff>
      <xdr:row>116</xdr:row>
      <xdr:rowOff>190500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</xdr:col>
      <xdr:colOff>123825</xdr:colOff>
      <xdr:row>140</xdr:row>
      <xdr:rowOff>114300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66675</xdr:rowOff>
    </xdr:from>
    <xdr:ext cx="4638675" cy="315277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5495925</xdr:colOff>
      <xdr:row>18</xdr:row>
      <xdr:rowOff>28575</xdr:rowOff>
    </xdr:from>
    <xdr:ext cx="6019800" cy="16287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6391275</xdr:colOff>
      <xdr:row>17</xdr:row>
      <xdr:rowOff>9525</xdr:rowOff>
    </xdr:from>
    <xdr:ext cx="4686300" cy="28670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ocosan.com/blog/nha-khoa/bang-gia-nho-rang-sau/" TargetMode="External"/><Relationship Id="rId10" Type="http://schemas.openxmlformats.org/officeDocument/2006/relationships/hyperlink" Target="https://nhakhoakim.com/bang-gia-nha-khoa-nieng-rang-rang-su-implant.html" TargetMode="External"/><Relationship Id="rId13" Type="http://schemas.openxmlformats.org/officeDocument/2006/relationships/hyperlink" Target="https://www.docosan.com/blog/nha-khoa/bang-gia-nho-rang-sau/" TargetMode="External"/><Relationship Id="rId12" Type="http://schemas.openxmlformats.org/officeDocument/2006/relationships/hyperlink" Target="https://nhakhoakim.com/bang-gia-nha-khoa-nieng-rang-rang-su-implant.html" TargetMode="External"/><Relationship Id="rId1" Type="http://schemas.openxmlformats.org/officeDocument/2006/relationships/hyperlink" Target="https://azure.microsoft.com/en-us/pricing/details/cloud-services/" TargetMode="External"/><Relationship Id="rId2" Type="http://schemas.openxmlformats.org/officeDocument/2006/relationships/hyperlink" Target="https://vercel.com/pricing" TargetMode="External"/><Relationship Id="rId3" Type="http://schemas.openxmlformats.org/officeDocument/2006/relationships/hyperlink" Target="https://thuvienphapluat.vn/banan/tin-tuc/muc-lai-suat-cho-vay-binh-quan-cua-cac-ngan-hang-hien-nay-la-bao-nhieu-9926" TargetMode="External"/><Relationship Id="rId4" Type="http://schemas.openxmlformats.org/officeDocument/2006/relationships/hyperlink" Target="https://www.researchgate.net/publication/378539137_Thuc_trang_suc_khoe_rang_mieng_cua_nguoi_benh_den_kham_rang_ham_mat_tai_Vien_Y_hoc_Phong_khong_-_Khong_quan_nam_2023" TargetMode="External"/><Relationship Id="rId9" Type="http://schemas.openxmlformats.org/officeDocument/2006/relationships/hyperlink" Target="https://eqvista.com/revenue-multiples-by-industry/" TargetMode="External"/><Relationship Id="rId15" Type="http://schemas.openxmlformats.org/officeDocument/2006/relationships/hyperlink" Target="https://grandpark-vinhomes.com/cho-thue-can-ho-chung-cu-vinhomes-grand-park/" TargetMode="External"/><Relationship Id="rId14" Type="http://schemas.openxmlformats.org/officeDocument/2006/relationships/hyperlink" Target="https://www.nguyenkim.com/may-in-phun-da-nang-brother-mfc-t920dw.html" TargetMode="External"/><Relationship Id="rId16" Type="http://schemas.openxmlformats.org/officeDocument/2006/relationships/drawing" Target="../drawings/drawing9.xml"/><Relationship Id="rId5" Type="http://schemas.openxmlformats.org/officeDocument/2006/relationships/hyperlink" Target="https://tapchinghiencuuyhoc.vn/index.php/tcncyh/article/download/2157/1479/26527" TargetMode="External"/><Relationship Id="rId6" Type="http://schemas.openxmlformats.org/officeDocument/2006/relationships/hyperlink" Target="https://bvranghammat.com/bang-gia-benh-vien/" TargetMode="External"/><Relationship Id="rId7" Type="http://schemas.openxmlformats.org/officeDocument/2006/relationships/hyperlink" Target="https://www.semrush.com/blog/keyword-cost/?fbclid=IwZXh0bgNhZW0CMTAAAR06_T_1EyLds-dqs0H2nmBcxWUBlpk6KjQ0fUZ4BSmI8u3SeGsQ68OSHoA_aem_ao9swRkh323j4gUmJbs2Lg" TargetMode="External"/><Relationship Id="rId8" Type="http://schemas.openxmlformats.org/officeDocument/2006/relationships/hyperlink" Target="https://www.webfx.com/blog/ppc/much-cost-advertise-google-adwords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1.63"/>
    <col customWidth="1" min="2" max="2" width="16.25"/>
    <col customWidth="1" min="3" max="3" width="13.38"/>
    <col customWidth="1" min="5" max="5" width="39.13"/>
    <col customWidth="1" min="6" max="6" width="19.5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5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5</v>
      </c>
      <c r="B2" s="8">
        <v>3.5E8</v>
      </c>
      <c r="C2" s="9">
        <f>B2/B8</f>
        <v>0.5303030303</v>
      </c>
      <c r="D2" s="10"/>
      <c r="E2" s="11" t="s">
        <v>6</v>
      </c>
      <c r="F2" s="12">
        <v>0.0612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7</v>
      </c>
      <c r="B3" s="8">
        <v>8.0E7</v>
      </c>
      <c r="C3" s="9">
        <f>B3/B8</f>
        <v>0.1212121212</v>
      </c>
      <c r="D3" s="13"/>
      <c r="E3" s="11" t="s">
        <v>8</v>
      </c>
      <c r="F3" s="12">
        <v>0.0933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 t="s">
        <v>9</v>
      </c>
      <c r="B4" s="8">
        <v>8.0E7</v>
      </c>
      <c r="C4" s="9">
        <f>B4/B8</f>
        <v>0.1212121212</v>
      </c>
      <c r="D4" s="13"/>
      <c r="E4" s="11" t="s">
        <v>10</v>
      </c>
      <c r="F4" s="12">
        <v>0.0747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11</v>
      </c>
      <c r="B5" s="8">
        <v>5.0E7</v>
      </c>
      <c r="C5" s="9">
        <f>B5/B8</f>
        <v>0.07575757576</v>
      </c>
      <c r="D5" s="13"/>
      <c r="E5" s="11" t="s">
        <v>12</v>
      </c>
      <c r="F5" s="12">
        <v>0.0649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7" t="s">
        <v>13</v>
      </c>
      <c r="B6" s="8">
        <v>5.0E7</v>
      </c>
      <c r="C6" s="9">
        <f>B6/B8</f>
        <v>0.07575757576</v>
      </c>
      <c r="D6" s="13"/>
      <c r="E6" s="11" t="s">
        <v>14</v>
      </c>
      <c r="F6" s="12">
        <v>0.0817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7" t="s">
        <v>15</v>
      </c>
      <c r="B7" s="8">
        <v>5.0E7</v>
      </c>
      <c r="C7" s="9">
        <f>B7/B8</f>
        <v>0.07575757576</v>
      </c>
      <c r="D7" s="13"/>
      <c r="E7" s="14" t="s">
        <v>16</v>
      </c>
      <c r="F7" s="15">
        <v>0.085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6" t="s">
        <v>17</v>
      </c>
      <c r="B8" s="17">
        <f>SUM(B2:B7)</f>
        <v>660000000</v>
      </c>
      <c r="C8" s="18"/>
      <c r="D8" s="10"/>
      <c r="E8" s="11" t="s">
        <v>18</v>
      </c>
      <c r="F8" s="12">
        <v>0.0776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0"/>
      <c r="B9" s="10"/>
      <c r="C9" s="10"/>
      <c r="D9" s="10"/>
      <c r="E9" s="14" t="s">
        <v>19</v>
      </c>
      <c r="F9" s="12">
        <v>0.0769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 t="s">
        <v>20</v>
      </c>
      <c r="D10" s="10"/>
      <c r="E10" s="11" t="s">
        <v>21</v>
      </c>
      <c r="F10" s="12">
        <v>0.064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9" t="s">
        <v>22</v>
      </c>
      <c r="B11" s="20">
        <v>3.0E8</v>
      </c>
      <c r="D11" s="10"/>
      <c r="E11" s="11" t="s">
        <v>23</v>
      </c>
      <c r="F11" s="12">
        <v>0.063</v>
      </c>
      <c r="G11" s="2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9" t="s">
        <v>24</v>
      </c>
      <c r="B12" s="22" t="s">
        <v>25</v>
      </c>
      <c r="D12" s="1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23" t="s">
        <v>26</v>
      </c>
      <c r="B13" s="24">
        <v>3.0</v>
      </c>
      <c r="D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23" t="s">
        <v>27</v>
      </c>
      <c r="B14" s="25">
        <f>ABS(PMT(0.064/12, 3*12, B11))</f>
        <v>9181052.24</v>
      </c>
      <c r="D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26"/>
      <c r="B15" s="10"/>
      <c r="C15" s="10"/>
      <c r="D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26"/>
      <c r="B16" s="27"/>
      <c r="C16" s="28"/>
      <c r="D16" s="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26"/>
      <c r="B17" s="29"/>
      <c r="C17" s="10"/>
      <c r="D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26"/>
      <c r="B18" s="29"/>
      <c r="C18" s="10"/>
      <c r="D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26"/>
      <c r="B19" s="29"/>
      <c r="C19" s="10"/>
      <c r="D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0"/>
      <c r="B20" s="10"/>
      <c r="C20" s="10"/>
      <c r="D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</sheetData>
  <autoFilter ref="$E$1:$E$11">
    <sortState ref="E1:E11">
      <sortCondition ref="E1:E11"/>
    </sortState>
  </autoFilter>
  <mergeCells count="5">
    <mergeCell ref="A10:C10"/>
    <mergeCell ref="B11:C11"/>
    <mergeCell ref="B12:C12"/>
    <mergeCell ref="B13:C13"/>
    <mergeCell ref="B14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75"/>
  <cols>
    <col customWidth="1" min="1" max="1" width="4.5"/>
    <col customWidth="1" min="2" max="2" width="31.0"/>
    <col customWidth="1" min="3" max="3" width="8.5"/>
    <col customWidth="1" min="16" max="16" width="14.88"/>
  </cols>
  <sheetData>
    <row r="1">
      <c r="B1" s="30" t="s">
        <v>28</v>
      </c>
      <c r="C1" s="31" t="s">
        <v>29</v>
      </c>
      <c r="D1" s="32"/>
      <c r="E1" s="32"/>
      <c r="F1" s="32"/>
      <c r="G1" s="32"/>
      <c r="H1" s="33"/>
      <c r="I1" s="32"/>
      <c r="J1" s="32"/>
      <c r="K1" s="32"/>
      <c r="L1" s="32"/>
      <c r="M1" s="32"/>
      <c r="N1" s="32"/>
      <c r="O1" s="32"/>
      <c r="P1" s="34"/>
    </row>
    <row r="2">
      <c r="B2" s="30" t="s">
        <v>30</v>
      </c>
      <c r="C2" s="32"/>
      <c r="D2" s="32"/>
      <c r="E2" s="32"/>
      <c r="F2" s="32"/>
      <c r="G2" s="32"/>
      <c r="H2" s="33"/>
      <c r="I2" s="32"/>
      <c r="J2" s="32"/>
      <c r="K2" s="32"/>
      <c r="L2" s="32"/>
      <c r="M2" s="32"/>
      <c r="N2" s="32"/>
      <c r="O2" s="32"/>
      <c r="P2" s="34"/>
    </row>
    <row r="3">
      <c r="B3" s="30"/>
      <c r="C3" s="32"/>
      <c r="D3" s="32"/>
      <c r="E3" s="32"/>
      <c r="F3" s="32"/>
      <c r="G3" s="32"/>
      <c r="H3" s="33"/>
      <c r="I3" s="32"/>
      <c r="J3" s="32"/>
      <c r="K3" s="32"/>
      <c r="L3" s="32"/>
      <c r="M3" s="32"/>
      <c r="N3" s="32"/>
      <c r="O3" s="32"/>
      <c r="P3" s="34"/>
    </row>
    <row r="4">
      <c r="B4" s="35"/>
      <c r="C4" s="36"/>
      <c r="D4" s="36">
        <v>45658.0</v>
      </c>
      <c r="E4" s="36">
        <v>45689.0</v>
      </c>
      <c r="F4" s="36">
        <v>45717.0</v>
      </c>
      <c r="G4" s="36">
        <v>45748.0</v>
      </c>
      <c r="H4" s="37">
        <v>45778.0</v>
      </c>
      <c r="I4" s="36">
        <v>45809.0</v>
      </c>
      <c r="J4" s="36">
        <v>45839.0</v>
      </c>
      <c r="K4" s="36">
        <v>45870.0</v>
      </c>
      <c r="L4" s="36">
        <v>45901.0</v>
      </c>
      <c r="M4" s="36">
        <v>45931.0</v>
      </c>
      <c r="N4" s="36">
        <v>45962.0</v>
      </c>
      <c r="O4" s="36">
        <v>45992.0</v>
      </c>
      <c r="P4" s="38" t="s">
        <v>17</v>
      </c>
    </row>
    <row r="5">
      <c r="B5" s="39" t="s">
        <v>31</v>
      </c>
      <c r="C5" s="40"/>
      <c r="D5" s="40">
        <f t="shared" ref="D5:O5" si="1">sumproduct(D8:D10,D14:D16)+(D18*D19)</f>
        <v>91000000</v>
      </c>
      <c r="E5" s="40">
        <f t="shared" si="1"/>
        <v>94575000</v>
      </c>
      <c r="F5" s="40">
        <f t="shared" si="1"/>
        <v>98168750</v>
      </c>
      <c r="G5" s="40">
        <f t="shared" si="1"/>
        <v>101782187.5</v>
      </c>
      <c r="H5" s="40">
        <f t="shared" si="1"/>
        <v>105416296.9</v>
      </c>
      <c r="I5" s="40">
        <f t="shared" si="1"/>
        <v>107072111.7</v>
      </c>
      <c r="J5" s="40">
        <f t="shared" si="1"/>
        <v>108750717.3</v>
      </c>
      <c r="K5" s="40">
        <f t="shared" si="1"/>
        <v>110453253.2</v>
      </c>
      <c r="L5" s="40">
        <f t="shared" si="1"/>
        <v>112180915.8</v>
      </c>
      <c r="M5" s="40">
        <f t="shared" si="1"/>
        <v>113934961.6</v>
      </c>
      <c r="N5" s="40">
        <f t="shared" si="1"/>
        <v>115716709.7</v>
      </c>
      <c r="O5" s="40">
        <f t="shared" si="1"/>
        <v>117527545.2</v>
      </c>
      <c r="P5" s="40">
        <f>sum(D5:O5)</f>
        <v>1276578449</v>
      </c>
    </row>
    <row r="6">
      <c r="B6" s="41" t="s">
        <v>32</v>
      </c>
    </row>
    <row r="7">
      <c r="B7" s="42" t="s">
        <v>33</v>
      </c>
    </row>
    <row r="8">
      <c r="A8" s="43"/>
      <c r="B8" s="44" t="s">
        <v>34</v>
      </c>
      <c r="C8" s="45"/>
      <c r="D8" s="46">
        <v>50.0</v>
      </c>
      <c r="E8" s="45">
        <f t="shared" ref="E8:O8" si="2">ROUNDDOWN(D8*(1+E12))</f>
        <v>52</v>
      </c>
      <c r="F8" s="45">
        <f t="shared" si="2"/>
        <v>54</v>
      </c>
      <c r="G8" s="45">
        <f t="shared" si="2"/>
        <v>56</v>
      </c>
      <c r="H8" s="45">
        <f t="shared" si="2"/>
        <v>58</v>
      </c>
      <c r="I8" s="45">
        <f t="shared" si="2"/>
        <v>59</v>
      </c>
      <c r="J8" s="45">
        <f t="shared" si="2"/>
        <v>60</v>
      </c>
      <c r="K8" s="45">
        <f t="shared" si="2"/>
        <v>61</v>
      </c>
      <c r="L8" s="45">
        <f t="shared" si="2"/>
        <v>62</v>
      </c>
      <c r="M8" s="45">
        <f t="shared" si="2"/>
        <v>63</v>
      </c>
      <c r="N8" s="45">
        <f t="shared" si="2"/>
        <v>64</v>
      </c>
      <c r="O8" s="45">
        <f t="shared" si="2"/>
        <v>65</v>
      </c>
      <c r="P8" s="45">
        <f t="shared" ref="P8:P11" si="4">sum(D8:O8)</f>
        <v>704</v>
      </c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B9" s="47" t="s">
        <v>35</v>
      </c>
      <c r="C9" s="48"/>
      <c r="D9" s="46">
        <v>30.0</v>
      </c>
      <c r="E9" s="45">
        <f t="shared" ref="E9:O9" si="3">ROUNDDOWN(D9*(1+E12))</f>
        <v>31</v>
      </c>
      <c r="F9" s="45">
        <f t="shared" si="3"/>
        <v>32</v>
      </c>
      <c r="G9" s="45">
        <f t="shared" si="3"/>
        <v>33</v>
      </c>
      <c r="H9" s="45">
        <f t="shared" si="3"/>
        <v>34</v>
      </c>
      <c r="I9" s="45">
        <f t="shared" si="3"/>
        <v>35</v>
      </c>
      <c r="J9" s="45">
        <f t="shared" si="3"/>
        <v>36</v>
      </c>
      <c r="K9" s="45">
        <f t="shared" si="3"/>
        <v>37</v>
      </c>
      <c r="L9" s="45">
        <f t="shared" si="3"/>
        <v>38</v>
      </c>
      <c r="M9" s="45">
        <f t="shared" si="3"/>
        <v>39</v>
      </c>
      <c r="N9" s="45">
        <f t="shared" si="3"/>
        <v>40</v>
      </c>
      <c r="O9" s="45">
        <f t="shared" si="3"/>
        <v>41</v>
      </c>
      <c r="P9" s="45">
        <f t="shared" si="4"/>
        <v>426</v>
      </c>
    </row>
    <row r="10">
      <c r="A10" s="43"/>
      <c r="B10" s="44" t="s">
        <v>36</v>
      </c>
      <c r="C10" s="45"/>
      <c r="D10" s="46">
        <v>25.0</v>
      </c>
      <c r="E10" s="45">
        <f t="shared" ref="E10:O10" si="5">ROUNDDOWN(D10*(1+E12))</f>
        <v>26</v>
      </c>
      <c r="F10" s="45">
        <f t="shared" si="5"/>
        <v>27</v>
      </c>
      <c r="G10" s="45">
        <f t="shared" si="5"/>
        <v>28</v>
      </c>
      <c r="H10" s="45">
        <f t="shared" si="5"/>
        <v>29</v>
      </c>
      <c r="I10" s="45">
        <f t="shared" si="5"/>
        <v>29</v>
      </c>
      <c r="J10" s="45">
        <f t="shared" si="5"/>
        <v>29</v>
      </c>
      <c r="K10" s="45">
        <f t="shared" si="5"/>
        <v>29</v>
      </c>
      <c r="L10" s="45">
        <f t="shared" si="5"/>
        <v>29</v>
      </c>
      <c r="M10" s="45">
        <f t="shared" si="5"/>
        <v>29</v>
      </c>
      <c r="N10" s="45">
        <f t="shared" si="5"/>
        <v>29</v>
      </c>
      <c r="O10" s="45">
        <f t="shared" si="5"/>
        <v>29</v>
      </c>
      <c r="P10" s="45">
        <f t="shared" si="4"/>
        <v>338</v>
      </c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43"/>
      <c r="B11" s="44" t="s">
        <v>37</v>
      </c>
      <c r="C11" s="45"/>
      <c r="D11" s="45">
        <f t="shared" ref="D11:O11" si="6">sum(D8:D10)</f>
        <v>105</v>
      </c>
      <c r="E11" s="45">
        <f t="shared" si="6"/>
        <v>109</v>
      </c>
      <c r="F11" s="45">
        <f t="shared" si="6"/>
        <v>113</v>
      </c>
      <c r="G11" s="45">
        <f t="shared" si="6"/>
        <v>117</v>
      </c>
      <c r="H11" s="45">
        <f t="shared" si="6"/>
        <v>121</v>
      </c>
      <c r="I11" s="45">
        <f t="shared" si="6"/>
        <v>123</v>
      </c>
      <c r="J11" s="45">
        <f t="shared" si="6"/>
        <v>125</v>
      </c>
      <c r="K11" s="45">
        <f t="shared" si="6"/>
        <v>127</v>
      </c>
      <c r="L11" s="45">
        <f t="shared" si="6"/>
        <v>129</v>
      </c>
      <c r="M11" s="45">
        <f t="shared" si="6"/>
        <v>131</v>
      </c>
      <c r="N11" s="45">
        <f t="shared" si="6"/>
        <v>133</v>
      </c>
      <c r="O11" s="45">
        <f t="shared" si="6"/>
        <v>135</v>
      </c>
      <c r="P11" s="45">
        <f t="shared" si="4"/>
        <v>1468</v>
      </c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B12" s="47" t="s">
        <v>38</v>
      </c>
      <c r="C12" s="48"/>
      <c r="D12" s="48"/>
      <c r="E12" s="49">
        <v>0.05</v>
      </c>
      <c r="F12" s="49">
        <v>0.05</v>
      </c>
      <c r="G12" s="49">
        <v>0.05</v>
      </c>
      <c r="H12" s="49">
        <v>0.05</v>
      </c>
      <c r="I12" s="49">
        <v>0.03</v>
      </c>
      <c r="J12" s="49">
        <v>0.03</v>
      </c>
      <c r="K12" s="49">
        <v>0.03</v>
      </c>
      <c r="L12" s="49">
        <v>0.03</v>
      </c>
      <c r="M12" s="49">
        <v>0.03</v>
      </c>
      <c r="N12" s="49">
        <v>0.03</v>
      </c>
      <c r="O12" s="49">
        <v>0.03</v>
      </c>
      <c r="P12" s="50"/>
    </row>
    <row r="13">
      <c r="B13" s="42" t="s">
        <v>39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</row>
    <row r="14">
      <c r="A14" s="52"/>
      <c r="B14" s="53" t="s">
        <v>34</v>
      </c>
      <c r="C14" s="54"/>
      <c r="D14" s="55">
        <v>500000.0</v>
      </c>
      <c r="E14" s="55">
        <v>500000.0</v>
      </c>
      <c r="F14" s="55">
        <v>500000.0</v>
      </c>
      <c r="G14" s="55">
        <v>500000.0</v>
      </c>
      <c r="H14" s="55">
        <v>500000.0</v>
      </c>
      <c r="I14" s="55">
        <v>500000.0</v>
      </c>
      <c r="J14" s="55">
        <v>500000.0</v>
      </c>
      <c r="K14" s="55">
        <v>500000.0</v>
      </c>
      <c r="L14" s="55">
        <v>500000.0</v>
      </c>
      <c r="M14" s="55">
        <v>500000.0</v>
      </c>
      <c r="N14" s="55">
        <v>500000.0</v>
      </c>
      <c r="O14" s="55">
        <v>500000.0</v>
      </c>
      <c r="P14" s="55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52"/>
      <c r="B15" s="53" t="s">
        <v>35</v>
      </c>
      <c r="C15" s="54"/>
      <c r="D15" s="55">
        <v>700000.0</v>
      </c>
      <c r="E15" s="55">
        <v>700000.0</v>
      </c>
      <c r="F15" s="55">
        <v>700000.0</v>
      </c>
      <c r="G15" s="55">
        <v>700000.0</v>
      </c>
      <c r="H15" s="55">
        <v>700000.0</v>
      </c>
      <c r="I15" s="55">
        <v>700000.0</v>
      </c>
      <c r="J15" s="55">
        <v>700000.0</v>
      </c>
      <c r="K15" s="55">
        <v>700000.0</v>
      </c>
      <c r="L15" s="55">
        <v>700000.0</v>
      </c>
      <c r="M15" s="55">
        <v>700000.0</v>
      </c>
      <c r="N15" s="55">
        <v>700000.0</v>
      </c>
      <c r="O15" s="55">
        <v>700000.0</v>
      </c>
      <c r="P15" s="54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2"/>
      <c r="B16" s="53" t="s">
        <v>36</v>
      </c>
      <c r="C16" s="54"/>
      <c r="D16" s="55">
        <v>1500000.0</v>
      </c>
      <c r="E16" s="55">
        <v>1500000.0</v>
      </c>
      <c r="F16" s="55">
        <v>1500000.0</v>
      </c>
      <c r="G16" s="55">
        <v>1500000.0</v>
      </c>
      <c r="H16" s="55">
        <v>1500000.0</v>
      </c>
      <c r="I16" s="55">
        <v>1500000.0</v>
      </c>
      <c r="J16" s="55">
        <v>1500000.0</v>
      </c>
      <c r="K16" s="55">
        <v>1500000.0</v>
      </c>
      <c r="L16" s="55">
        <v>1500000.0</v>
      </c>
      <c r="M16" s="55">
        <v>1500000.0</v>
      </c>
      <c r="N16" s="55">
        <v>1500000.0</v>
      </c>
      <c r="O16" s="55">
        <v>1500000.0</v>
      </c>
      <c r="P16" s="54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52"/>
      <c r="B17" s="56" t="s">
        <v>40</v>
      </c>
      <c r="C17" s="52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58"/>
      <c r="B18" s="59" t="s">
        <v>33</v>
      </c>
      <c r="C18" s="60"/>
      <c r="D18" s="61">
        <v>10.0</v>
      </c>
      <c r="E18" s="60">
        <f>D18*(1+F20)</f>
        <v>10.5</v>
      </c>
      <c r="F18" s="60">
        <f t="shared" ref="F18:O18" si="7">E18*(1+F20)</f>
        <v>11.025</v>
      </c>
      <c r="G18" s="60">
        <f t="shared" si="7"/>
        <v>11.57625</v>
      </c>
      <c r="H18" s="60">
        <f t="shared" si="7"/>
        <v>12.1550625</v>
      </c>
      <c r="I18" s="60">
        <f t="shared" si="7"/>
        <v>12.76281563</v>
      </c>
      <c r="J18" s="60">
        <f t="shared" si="7"/>
        <v>13.40095641</v>
      </c>
      <c r="K18" s="60">
        <f t="shared" si="7"/>
        <v>14.07100423</v>
      </c>
      <c r="L18" s="60">
        <f t="shared" si="7"/>
        <v>14.77455444</v>
      </c>
      <c r="M18" s="60">
        <f t="shared" si="7"/>
        <v>15.51328216</v>
      </c>
      <c r="N18" s="60">
        <f t="shared" si="7"/>
        <v>16.28894627</v>
      </c>
      <c r="O18" s="60">
        <f t="shared" si="7"/>
        <v>17.10339358</v>
      </c>
      <c r="P18" s="60">
        <f>sum(D18:O18)</f>
        <v>159.1712652</v>
      </c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A19" s="62"/>
      <c r="B19" s="63" t="s">
        <v>39</v>
      </c>
      <c r="C19" s="64"/>
      <c r="D19" s="65">
        <v>750000.0</v>
      </c>
      <c r="E19" s="65">
        <v>750000.0</v>
      </c>
      <c r="F19" s="65">
        <v>750000.0</v>
      </c>
      <c r="G19" s="65">
        <v>750000.0</v>
      </c>
      <c r="H19" s="65">
        <v>750000.0</v>
      </c>
      <c r="I19" s="65">
        <v>750000.0</v>
      </c>
      <c r="J19" s="65">
        <v>750000.0</v>
      </c>
      <c r="K19" s="65">
        <v>750000.0</v>
      </c>
      <c r="L19" s="65">
        <v>750000.0</v>
      </c>
      <c r="M19" s="65">
        <v>750000.0</v>
      </c>
      <c r="N19" s="65">
        <v>750000.0</v>
      </c>
      <c r="O19" s="65">
        <v>750000.0</v>
      </c>
      <c r="P19" s="64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>
      <c r="B20" s="47" t="s">
        <v>38</v>
      </c>
      <c r="C20" s="48"/>
      <c r="D20" s="48"/>
      <c r="E20" s="49"/>
      <c r="F20" s="49">
        <v>0.05</v>
      </c>
      <c r="G20" s="49">
        <v>0.05</v>
      </c>
      <c r="H20" s="49">
        <v>0.05</v>
      </c>
      <c r="I20" s="49">
        <v>0.05</v>
      </c>
      <c r="J20" s="49">
        <v>0.05</v>
      </c>
      <c r="K20" s="49">
        <v>0.05</v>
      </c>
      <c r="L20" s="49">
        <v>0.05</v>
      </c>
      <c r="M20" s="49">
        <v>0.05</v>
      </c>
      <c r="N20" s="49">
        <v>0.05</v>
      </c>
      <c r="O20" s="49">
        <v>0.0500000000000001</v>
      </c>
      <c r="P20" s="50"/>
    </row>
    <row r="21">
      <c r="B21" s="66" t="s">
        <v>41</v>
      </c>
      <c r="C21" s="67"/>
      <c r="D21" s="67">
        <f t="shared" ref="D21:O21" si="8">D22*D18</f>
        <v>5000000</v>
      </c>
      <c r="E21" s="67">
        <f t="shared" si="8"/>
        <v>5250000</v>
      </c>
      <c r="F21" s="67">
        <f t="shared" si="8"/>
        <v>5512500</v>
      </c>
      <c r="G21" s="67">
        <f t="shared" si="8"/>
        <v>5788125</v>
      </c>
      <c r="H21" s="67">
        <f t="shared" si="8"/>
        <v>6077531.25</v>
      </c>
      <c r="I21" s="67">
        <f t="shared" si="8"/>
        <v>6381407.813</v>
      </c>
      <c r="J21" s="67">
        <f t="shared" si="8"/>
        <v>6700478.203</v>
      </c>
      <c r="K21" s="67">
        <f t="shared" si="8"/>
        <v>7035502.113</v>
      </c>
      <c r="L21" s="67">
        <f t="shared" si="8"/>
        <v>7387277.219</v>
      </c>
      <c r="M21" s="67">
        <f t="shared" si="8"/>
        <v>7756641.08</v>
      </c>
      <c r="N21" s="67">
        <f t="shared" si="8"/>
        <v>8144473.134</v>
      </c>
      <c r="O21" s="67">
        <f t="shared" si="8"/>
        <v>8551696.791</v>
      </c>
      <c r="P21" s="67">
        <f>SUM(E21:O21)</f>
        <v>74585632.6</v>
      </c>
    </row>
    <row r="22">
      <c r="B22" s="68" t="s">
        <v>42</v>
      </c>
      <c r="C22" s="55"/>
      <c r="D22" s="55">
        <v>500000.0</v>
      </c>
      <c r="E22" s="55">
        <v>500000.0</v>
      </c>
      <c r="F22" s="55">
        <v>500000.0</v>
      </c>
      <c r="G22" s="55">
        <v>500000.0</v>
      </c>
      <c r="H22" s="55">
        <v>500000.0</v>
      </c>
      <c r="I22" s="55">
        <v>500000.0</v>
      </c>
      <c r="J22" s="55">
        <v>500000.0</v>
      </c>
      <c r="K22" s="55">
        <v>500000.0</v>
      </c>
      <c r="L22" s="55">
        <v>500000.0</v>
      </c>
      <c r="M22" s="55">
        <v>500000.0</v>
      </c>
      <c r="N22" s="55">
        <v>500000.0</v>
      </c>
      <c r="O22" s="55">
        <v>500000.0</v>
      </c>
      <c r="P22" s="55">
        <f>SUM(D22:O22)</f>
        <v>6000000</v>
      </c>
    </row>
    <row r="23">
      <c r="B23" s="69" t="s">
        <v>43</v>
      </c>
      <c r="C23" s="70"/>
      <c r="D23" s="40">
        <f t="shared" ref="D23:P23" si="9">D5-D21</f>
        <v>86000000</v>
      </c>
      <c r="E23" s="40">
        <f t="shared" si="9"/>
        <v>89325000</v>
      </c>
      <c r="F23" s="40">
        <f t="shared" si="9"/>
        <v>92656250</v>
      </c>
      <c r="G23" s="40">
        <f t="shared" si="9"/>
        <v>95994062.5</v>
      </c>
      <c r="H23" s="40">
        <f t="shared" si="9"/>
        <v>99338765.63</v>
      </c>
      <c r="I23" s="40">
        <f t="shared" si="9"/>
        <v>100690703.9</v>
      </c>
      <c r="J23" s="40">
        <f t="shared" si="9"/>
        <v>102050239.1</v>
      </c>
      <c r="K23" s="40">
        <f t="shared" si="9"/>
        <v>103417751.1</v>
      </c>
      <c r="L23" s="40">
        <f t="shared" si="9"/>
        <v>104793638.6</v>
      </c>
      <c r="M23" s="40">
        <f t="shared" si="9"/>
        <v>106178320.5</v>
      </c>
      <c r="N23" s="40">
        <f t="shared" si="9"/>
        <v>107572236.6</v>
      </c>
      <c r="O23" s="40">
        <f t="shared" si="9"/>
        <v>108975848.4</v>
      </c>
      <c r="P23" s="40">
        <f t="shared" si="9"/>
        <v>1201992816</v>
      </c>
    </row>
    <row r="24">
      <c r="B24" s="71" t="s">
        <v>44</v>
      </c>
      <c r="C24" s="52"/>
      <c r="D24" s="52">
        <f t="shared" ref="D24:O24" si="10">SUMPRODUCT(D26:D28,D30:D32)</f>
        <v>0</v>
      </c>
      <c r="E24" s="52">
        <f t="shared" si="10"/>
        <v>0</v>
      </c>
      <c r="F24" s="52">
        <f t="shared" si="10"/>
        <v>0</v>
      </c>
      <c r="G24" s="52">
        <f t="shared" si="10"/>
        <v>55000000</v>
      </c>
      <c r="H24" s="52">
        <f t="shared" si="10"/>
        <v>55000000</v>
      </c>
      <c r="I24" s="52">
        <f t="shared" si="10"/>
        <v>55000000</v>
      </c>
      <c r="J24" s="52">
        <f t="shared" si="10"/>
        <v>55000000</v>
      </c>
      <c r="K24" s="52">
        <f t="shared" si="10"/>
        <v>55000000</v>
      </c>
      <c r="L24" s="52">
        <f t="shared" si="10"/>
        <v>55000000</v>
      </c>
      <c r="M24" s="52">
        <f t="shared" si="10"/>
        <v>55000000</v>
      </c>
      <c r="N24" s="52">
        <f t="shared" si="10"/>
        <v>55000000</v>
      </c>
      <c r="O24" s="52">
        <f t="shared" si="10"/>
        <v>55000000</v>
      </c>
      <c r="P24" s="52">
        <f>sum(D24:O24)</f>
        <v>495000000</v>
      </c>
    </row>
    <row r="25">
      <c r="B25" s="72" t="s">
        <v>45</v>
      </c>
      <c r="C25" s="48"/>
      <c r="D25" s="48">
        <f t="shared" ref="D25:M25" si="11">sum(D26:D28)</f>
        <v>6</v>
      </c>
      <c r="E25" s="48">
        <f t="shared" si="11"/>
        <v>6</v>
      </c>
      <c r="F25" s="48">
        <f t="shared" si="11"/>
        <v>6</v>
      </c>
      <c r="G25" s="48">
        <f t="shared" si="11"/>
        <v>6</v>
      </c>
      <c r="H25" s="48">
        <f t="shared" si="11"/>
        <v>6</v>
      </c>
      <c r="I25" s="48">
        <f t="shared" si="11"/>
        <v>6</v>
      </c>
      <c r="J25" s="48">
        <f t="shared" si="11"/>
        <v>6</v>
      </c>
      <c r="K25" s="48">
        <f t="shared" si="11"/>
        <v>6</v>
      </c>
      <c r="L25" s="48">
        <f t="shared" si="11"/>
        <v>6</v>
      </c>
      <c r="M25" s="48">
        <f t="shared" si="11"/>
        <v>6</v>
      </c>
      <c r="N25" s="73">
        <v>6.0</v>
      </c>
      <c r="O25" s="48">
        <f t="shared" ref="O25:P25" si="12">sum(O26:O28)</f>
        <v>6</v>
      </c>
      <c r="P25" s="48">
        <f t="shared" si="12"/>
        <v>6</v>
      </c>
    </row>
    <row r="26">
      <c r="B26" s="74" t="s">
        <v>46</v>
      </c>
      <c r="C26" s="73"/>
      <c r="D26" s="73">
        <v>1.0</v>
      </c>
      <c r="E26" s="73">
        <v>1.0</v>
      </c>
      <c r="F26" s="73">
        <v>1.0</v>
      </c>
      <c r="G26" s="73">
        <v>1.0</v>
      </c>
      <c r="H26" s="73">
        <v>1.0</v>
      </c>
      <c r="I26" s="73">
        <v>1.0</v>
      </c>
      <c r="J26" s="73">
        <v>1.0</v>
      </c>
      <c r="K26" s="73">
        <v>1.0</v>
      </c>
      <c r="L26" s="73">
        <v>1.0</v>
      </c>
      <c r="M26" s="73">
        <v>1.0</v>
      </c>
      <c r="N26" s="73">
        <v>1.0</v>
      </c>
      <c r="O26" s="73">
        <v>1.0</v>
      </c>
      <c r="P26" s="73">
        <v>1.0</v>
      </c>
    </row>
    <row r="27">
      <c r="B27" s="74" t="s">
        <v>47</v>
      </c>
      <c r="C27" s="73"/>
      <c r="D27" s="73">
        <v>2.0</v>
      </c>
      <c r="E27" s="73">
        <v>2.0</v>
      </c>
      <c r="F27" s="73">
        <v>2.0</v>
      </c>
      <c r="G27" s="73">
        <v>2.0</v>
      </c>
      <c r="H27" s="73">
        <v>2.0</v>
      </c>
      <c r="I27" s="73">
        <v>2.0</v>
      </c>
      <c r="J27" s="73">
        <v>2.0</v>
      </c>
      <c r="K27" s="73">
        <v>2.0</v>
      </c>
      <c r="L27" s="73">
        <v>2.0</v>
      </c>
      <c r="M27" s="73">
        <v>2.0</v>
      </c>
      <c r="N27" s="73">
        <v>2.0</v>
      </c>
      <c r="O27" s="73">
        <v>2.0</v>
      </c>
      <c r="P27" s="73">
        <v>2.0</v>
      </c>
    </row>
    <row r="28">
      <c r="B28" s="74" t="s">
        <v>48</v>
      </c>
      <c r="C28" s="73"/>
      <c r="D28" s="73">
        <v>3.0</v>
      </c>
      <c r="E28" s="73">
        <v>3.0</v>
      </c>
      <c r="F28" s="73">
        <v>3.0</v>
      </c>
      <c r="G28" s="73">
        <v>3.0</v>
      </c>
      <c r="H28" s="73">
        <v>3.0</v>
      </c>
      <c r="I28" s="73">
        <v>3.0</v>
      </c>
      <c r="J28" s="73">
        <v>3.0</v>
      </c>
      <c r="K28" s="73">
        <v>3.0</v>
      </c>
      <c r="L28" s="73">
        <v>3.0</v>
      </c>
      <c r="M28" s="73">
        <v>3.0</v>
      </c>
      <c r="N28" s="73">
        <v>3.0</v>
      </c>
      <c r="O28" s="73">
        <v>3.0</v>
      </c>
      <c r="P28" s="73">
        <v>3.0</v>
      </c>
    </row>
    <row r="29">
      <c r="B29" s="75" t="s">
        <v>49</v>
      </c>
    </row>
    <row r="30">
      <c r="B30" s="74" t="s">
        <v>46</v>
      </c>
      <c r="C30" s="55"/>
      <c r="D30" s="55">
        <v>0.0</v>
      </c>
      <c r="E30" s="55">
        <v>0.0</v>
      </c>
      <c r="F30" s="55">
        <v>0.0</v>
      </c>
      <c r="G30" s="55">
        <v>1.2E7</v>
      </c>
      <c r="H30" s="55">
        <v>1.2E7</v>
      </c>
      <c r="I30" s="55">
        <v>1.2E7</v>
      </c>
      <c r="J30" s="55">
        <v>1.2E7</v>
      </c>
      <c r="K30" s="55">
        <v>1.2E7</v>
      </c>
      <c r="L30" s="55">
        <v>1.2E7</v>
      </c>
      <c r="M30" s="55">
        <v>1.2E7</v>
      </c>
      <c r="N30" s="55">
        <v>1.2E7</v>
      </c>
      <c r="O30" s="55">
        <v>1.2E7</v>
      </c>
      <c r="P30" s="55">
        <f t="shared" ref="P30:P32" si="13">sum(D30:O30)</f>
        <v>108000000</v>
      </c>
    </row>
    <row r="31">
      <c r="B31" s="74" t="s">
        <v>47</v>
      </c>
      <c r="C31" s="55"/>
      <c r="D31" s="55">
        <v>0.0</v>
      </c>
      <c r="E31" s="55">
        <v>0.0</v>
      </c>
      <c r="F31" s="55">
        <v>0.0</v>
      </c>
      <c r="G31" s="55">
        <v>8000000.0</v>
      </c>
      <c r="H31" s="55">
        <v>8000000.0</v>
      </c>
      <c r="I31" s="55">
        <v>8000000.0</v>
      </c>
      <c r="J31" s="55">
        <v>8000000.0</v>
      </c>
      <c r="K31" s="55">
        <v>8000000.0</v>
      </c>
      <c r="L31" s="55">
        <v>8000000.0</v>
      </c>
      <c r="M31" s="55">
        <v>8000000.0</v>
      </c>
      <c r="N31" s="55">
        <v>8000000.0</v>
      </c>
      <c r="O31" s="55">
        <v>8000000.0</v>
      </c>
      <c r="P31" s="55">
        <f t="shared" si="13"/>
        <v>72000000</v>
      </c>
    </row>
    <row r="32">
      <c r="B32" s="74" t="s">
        <v>48</v>
      </c>
      <c r="C32" s="55"/>
      <c r="D32" s="55">
        <v>0.0</v>
      </c>
      <c r="E32" s="55">
        <v>0.0</v>
      </c>
      <c r="F32" s="55">
        <v>0.0</v>
      </c>
      <c r="G32" s="55">
        <v>9000000.0</v>
      </c>
      <c r="H32" s="55">
        <v>9000000.0</v>
      </c>
      <c r="I32" s="55">
        <v>9000000.0</v>
      </c>
      <c r="J32" s="55">
        <v>9000000.0</v>
      </c>
      <c r="K32" s="55">
        <v>9000000.0</v>
      </c>
      <c r="L32" s="55">
        <v>9000000.0</v>
      </c>
      <c r="M32" s="55">
        <v>9000000.0</v>
      </c>
      <c r="N32" s="55">
        <v>9000000.0</v>
      </c>
      <c r="O32" s="55">
        <v>9000000.0</v>
      </c>
      <c r="P32" s="55">
        <f t="shared" si="13"/>
        <v>81000000</v>
      </c>
    </row>
    <row r="33">
      <c r="B33" s="66" t="s">
        <v>50</v>
      </c>
      <c r="C33" s="70"/>
      <c r="D33" s="40">
        <f t="shared" ref="D33:O33" si="14">SUM(D34:D38)</f>
        <v>6536666.667</v>
      </c>
      <c r="E33" s="40">
        <f t="shared" si="14"/>
        <v>6536666.667</v>
      </c>
      <c r="F33" s="40">
        <f t="shared" si="14"/>
        <v>6536666.667</v>
      </c>
      <c r="G33" s="40">
        <f t="shared" si="14"/>
        <v>73361666.67</v>
      </c>
      <c r="H33" s="40">
        <f t="shared" si="14"/>
        <v>73361666.67</v>
      </c>
      <c r="I33" s="40">
        <f t="shared" si="14"/>
        <v>73361666.67</v>
      </c>
      <c r="J33" s="40">
        <f t="shared" si="14"/>
        <v>73361666.67</v>
      </c>
      <c r="K33" s="40">
        <f t="shared" si="14"/>
        <v>73361666.67</v>
      </c>
      <c r="L33" s="40">
        <f t="shared" si="14"/>
        <v>73361666.67</v>
      </c>
      <c r="M33" s="40">
        <f t="shared" si="14"/>
        <v>73361666.67</v>
      </c>
      <c r="N33" s="40">
        <f t="shared" si="14"/>
        <v>73361666.67</v>
      </c>
      <c r="O33" s="40">
        <f t="shared" si="14"/>
        <v>73361666.67</v>
      </c>
      <c r="P33" s="40">
        <f>SUM(D33:O33)</f>
        <v>679865000</v>
      </c>
    </row>
    <row r="34">
      <c r="B34" s="76" t="s">
        <v>51</v>
      </c>
      <c r="C34" s="48"/>
      <c r="D34" s="54">
        <f t="shared" ref="D34:P34" si="15">D24*21.5%</f>
        <v>0</v>
      </c>
      <c r="E34" s="54">
        <f t="shared" si="15"/>
        <v>0</v>
      </c>
      <c r="F34" s="54">
        <f t="shared" si="15"/>
        <v>0</v>
      </c>
      <c r="G34" s="54">
        <f t="shared" si="15"/>
        <v>11825000</v>
      </c>
      <c r="H34" s="54">
        <f t="shared" si="15"/>
        <v>11825000</v>
      </c>
      <c r="I34" s="54">
        <f t="shared" si="15"/>
        <v>11825000</v>
      </c>
      <c r="J34" s="54">
        <f t="shared" si="15"/>
        <v>11825000</v>
      </c>
      <c r="K34" s="54">
        <f t="shared" si="15"/>
        <v>11825000</v>
      </c>
      <c r="L34" s="54">
        <f t="shared" si="15"/>
        <v>11825000</v>
      </c>
      <c r="M34" s="54">
        <f t="shared" si="15"/>
        <v>11825000</v>
      </c>
      <c r="N34" s="54">
        <f t="shared" si="15"/>
        <v>11825000</v>
      </c>
      <c r="O34" s="54">
        <f t="shared" si="15"/>
        <v>11825000</v>
      </c>
      <c r="P34" s="54">
        <f t="shared" si="15"/>
        <v>106425000</v>
      </c>
    </row>
    <row r="35">
      <c r="B35" s="76" t="s">
        <v>52</v>
      </c>
      <c r="C35" s="55"/>
      <c r="D35" s="54">
        <f t="shared" ref="D35:O35" si="16">D24</f>
        <v>0</v>
      </c>
      <c r="E35" s="54">
        <f t="shared" si="16"/>
        <v>0</v>
      </c>
      <c r="F35" s="54">
        <f t="shared" si="16"/>
        <v>0</v>
      </c>
      <c r="G35" s="54">
        <f t="shared" si="16"/>
        <v>55000000</v>
      </c>
      <c r="H35" s="54">
        <f t="shared" si="16"/>
        <v>55000000</v>
      </c>
      <c r="I35" s="54">
        <f t="shared" si="16"/>
        <v>55000000</v>
      </c>
      <c r="J35" s="54">
        <f t="shared" si="16"/>
        <v>55000000</v>
      </c>
      <c r="K35" s="54">
        <f t="shared" si="16"/>
        <v>55000000</v>
      </c>
      <c r="L35" s="54">
        <f t="shared" si="16"/>
        <v>55000000</v>
      </c>
      <c r="M35" s="54">
        <f t="shared" si="16"/>
        <v>55000000</v>
      </c>
      <c r="N35" s="54">
        <f t="shared" si="16"/>
        <v>55000000</v>
      </c>
      <c r="O35" s="54">
        <f t="shared" si="16"/>
        <v>55000000</v>
      </c>
      <c r="P35" s="54">
        <f>SUM(E35:O35)</f>
        <v>495000000</v>
      </c>
    </row>
    <row r="36">
      <c r="B36" s="76" t="s">
        <v>53</v>
      </c>
      <c r="C36" s="55"/>
      <c r="D36" s="55">
        <v>510000.0</v>
      </c>
      <c r="E36" s="55">
        <v>510000.0</v>
      </c>
      <c r="F36" s="55">
        <v>510000.0</v>
      </c>
      <c r="G36" s="55">
        <v>510000.0</v>
      </c>
      <c r="H36" s="55">
        <v>510000.0</v>
      </c>
      <c r="I36" s="55">
        <v>510000.0</v>
      </c>
      <c r="J36" s="55">
        <v>510000.0</v>
      </c>
      <c r="K36" s="55">
        <v>510000.0</v>
      </c>
      <c r="L36" s="55">
        <v>510000.0</v>
      </c>
      <c r="M36" s="55">
        <v>510000.0</v>
      </c>
      <c r="N36" s="55">
        <v>510000.0</v>
      </c>
      <c r="O36" s="55">
        <v>510000.0</v>
      </c>
      <c r="P36" s="54">
        <f t="shared" ref="P36:P38" si="17">sum(D36:O36)</f>
        <v>6120000</v>
      </c>
    </row>
    <row r="37">
      <c r="A37" s="52"/>
      <c r="B37" s="77" t="s">
        <v>54</v>
      </c>
      <c r="C37" s="55"/>
      <c r="D37" s="55">
        <v>5950000.0</v>
      </c>
      <c r="E37" s="55">
        <v>5950000.0</v>
      </c>
      <c r="F37" s="55">
        <v>5950000.0</v>
      </c>
      <c r="G37" s="55">
        <v>5950000.0</v>
      </c>
      <c r="H37" s="55">
        <v>5950000.0</v>
      </c>
      <c r="I37" s="55">
        <v>5950000.0</v>
      </c>
      <c r="J37" s="55">
        <v>5950000.0</v>
      </c>
      <c r="K37" s="55">
        <v>5950000.0</v>
      </c>
      <c r="L37" s="55">
        <v>5950000.0</v>
      </c>
      <c r="M37" s="55">
        <v>5950000.0</v>
      </c>
      <c r="N37" s="55">
        <v>5950000.0</v>
      </c>
      <c r="O37" s="55">
        <v>5950000.0</v>
      </c>
      <c r="P37" s="54">
        <f t="shared" si="17"/>
        <v>71400000</v>
      </c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52"/>
      <c r="B38" s="77" t="s">
        <v>55</v>
      </c>
      <c r="C38" s="55"/>
      <c r="D38" s="55">
        <f t="shared" ref="D38:O38" si="18">920000/12</f>
        <v>76666.66667</v>
      </c>
      <c r="E38" s="55">
        <f t="shared" si="18"/>
        <v>76666.66667</v>
      </c>
      <c r="F38" s="55">
        <f t="shared" si="18"/>
        <v>76666.66667</v>
      </c>
      <c r="G38" s="55">
        <f t="shared" si="18"/>
        <v>76666.66667</v>
      </c>
      <c r="H38" s="55">
        <f t="shared" si="18"/>
        <v>76666.66667</v>
      </c>
      <c r="I38" s="55">
        <f t="shared" si="18"/>
        <v>76666.66667</v>
      </c>
      <c r="J38" s="55">
        <f t="shared" si="18"/>
        <v>76666.66667</v>
      </c>
      <c r="K38" s="55">
        <f t="shared" si="18"/>
        <v>76666.66667</v>
      </c>
      <c r="L38" s="55">
        <f t="shared" si="18"/>
        <v>76666.66667</v>
      </c>
      <c r="M38" s="55">
        <f t="shared" si="18"/>
        <v>76666.66667</v>
      </c>
      <c r="N38" s="55">
        <f t="shared" si="18"/>
        <v>76666.66667</v>
      </c>
      <c r="O38" s="55">
        <f t="shared" si="18"/>
        <v>76666.66667</v>
      </c>
      <c r="P38" s="54">
        <f t="shared" si="17"/>
        <v>920000</v>
      </c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B39" s="66" t="s">
        <v>56</v>
      </c>
      <c r="C39" s="70"/>
      <c r="D39" s="78">
        <f t="shared" ref="D39:O39" si="19">D40</f>
        <v>20368000</v>
      </c>
      <c r="E39" s="78">
        <f t="shared" si="19"/>
        <v>20368000</v>
      </c>
      <c r="F39" s="78">
        <f t="shared" si="19"/>
        <v>20368000</v>
      </c>
      <c r="G39" s="78">
        <f t="shared" si="19"/>
        <v>20368000</v>
      </c>
      <c r="H39" s="78">
        <f t="shared" si="19"/>
        <v>20368000</v>
      </c>
      <c r="I39" s="78">
        <f t="shared" si="19"/>
        <v>17000000</v>
      </c>
      <c r="J39" s="78">
        <f t="shared" si="19"/>
        <v>17000000</v>
      </c>
      <c r="K39" s="78">
        <f t="shared" si="19"/>
        <v>17000000</v>
      </c>
      <c r="L39" s="78">
        <f t="shared" si="19"/>
        <v>17000000</v>
      </c>
      <c r="M39" s="78">
        <f t="shared" si="19"/>
        <v>17000000</v>
      </c>
      <c r="N39" s="78">
        <f t="shared" si="19"/>
        <v>17000000</v>
      </c>
      <c r="O39" s="78">
        <f t="shared" si="19"/>
        <v>17000000</v>
      </c>
      <c r="P39" s="78">
        <f t="shared" ref="P39:P40" si="20">SUM(D39:O39)</f>
        <v>220840000</v>
      </c>
    </row>
    <row r="40">
      <c r="B40" s="76" t="s">
        <v>57</v>
      </c>
      <c r="C40" s="48"/>
      <c r="D40" s="79">
        <v>2.0368E7</v>
      </c>
      <c r="E40" s="79">
        <v>2.0368E7</v>
      </c>
      <c r="F40" s="79">
        <v>2.0368E7</v>
      </c>
      <c r="G40" s="79">
        <v>2.0368E7</v>
      </c>
      <c r="H40" s="79">
        <v>2.0368E7</v>
      </c>
      <c r="I40" s="79">
        <v>1.7E7</v>
      </c>
      <c r="J40" s="79">
        <v>1.7E7</v>
      </c>
      <c r="K40" s="79">
        <v>1.7E7</v>
      </c>
      <c r="L40" s="79">
        <v>1.7E7</v>
      </c>
      <c r="M40" s="79">
        <v>1.7E7</v>
      </c>
      <c r="N40" s="79">
        <v>1.7E7</v>
      </c>
      <c r="O40" s="79">
        <v>1.7E7</v>
      </c>
      <c r="P40" s="79">
        <f t="shared" si="20"/>
        <v>220840000</v>
      </c>
    </row>
    <row r="41">
      <c r="B41" s="80" t="s">
        <v>58</v>
      </c>
      <c r="C41" s="81"/>
      <c r="D41" s="82">
        <f t="shared" ref="D41:O41" si="21">D21+D33+D39</f>
        <v>31904666.67</v>
      </c>
      <c r="E41" s="82">
        <f t="shared" si="21"/>
        <v>32154666.67</v>
      </c>
      <c r="F41" s="82">
        <f t="shared" si="21"/>
        <v>32417166.67</v>
      </c>
      <c r="G41" s="82">
        <f t="shared" si="21"/>
        <v>99517791.67</v>
      </c>
      <c r="H41" s="82">
        <f t="shared" si="21"/>
        <v>99807197.92</v>
      </c>
      <c r="I41" s="82">
        <f t="shared" si="21"/>
        <v>96743074.48</v>
      </c>
      <c r="J41" s="82">
        <f t="shared" si="21"/>
        <v>97062144.87</v>
      </c>
      <c r="K41" s="82">
        <f t="shared" si="21"/>
        <v>97397168.78</v>
      </c>
      <c r="L41" s="82">
        <f t="shared" si="21"/>
        <v>97748943.89</v>
      </c>
      <c r="M41" s="82">
        <f t="shared" si="21"/>
        <v>98118307.75</v>
      </c>
      <c r="N41" s="82">
        <f t="shared" si="21"/>
        <v>98506139.8</v>
      </c>
      <c r="O41" s="82">
        <f t="shared" si="21"/>
        <v>98913363.46</v>
      </c>
      <c r="P41" s="82">
        <f t="shared" ref="P41:P42" si="23">sum(D41:O41)</f>
        <v>980290632.6</v>
      </c>
    </row>
    <row r="42">
      <c r="B42" s="66" t="s">
        <v>59</v>
      </c>
      <c r="C42" s="70"/>
      <c r="D42" s="40">
        <f t="shared" ref="D42:O42" si="22">D23-D41</f>
        <v>54095333.33</v>
      </c>
      <c r="E42" s="40">
        <f t="shared" si="22"/>
        <v>57170333.33</v>
      </c>
      <c r="F42" s="40">
        <f t="shared" si="22"/>
        <v>60239083.33</v>
      </c>
      <c r="G42" s="40">
        <f t="shared" si="22"/>
        <v>-3523729.167</v>
      </c>
      <c r="H42" s="40">
        <f t="shared" si="22"/>
        <v>-468432.2917</v>
      </c>
      <c r="I42" s="40">
        <f t="shared" si="22"/>
        <v>3947629.427</v>
      </c>
      <c r="J42" s="40">
        <f t="shared" si="22"/>
        <v>4988094.232</v>
      </c>
      <c r="K42" s="40">
        <f t="shared" si="22"/>
        <v>6020582.277</v>
      </c>
      <c r="L42" s="40">
        <f t="shared" si="22"/>
        <v>7044694.724</v>
      </c>
      <c r="M42" s="40">
        <f t="shared" si="22"/>
        <v>8060012.793</v>
      </c>
      <c r="N42" s="40">
        <f t="shared" si="22"/>
        <v>9066096.766</v>
      </c>
      <c r="O42" s="40">
        <f t="shared" si="22"/>
        <v>10062484.94</v>
      </c>
      <c r="P42" s="40">
        <f t="shared" si="23"/>
        <v>216702183.7</v>
      </c>
    </row>
    <row r="43">
      <c r="B43" s="69" t="s">
        <v>60</v>
      </c>
      <c r="C43" s="70"/>
      <c r="D43" s="83">
        <f t="shared" ref="D43:P43" si="24">D42/D41</f>
        <v>1.695530434</v>
      </c>
      <c r="E43" s="83">
        <f t="shared" si="24"/>
        <v>1.77797935</v>
      </c>
      <c r="F43" s="83">
        <f t="shared" si="24"/>
        <v>1.858246402</v>
      </c>
      <c r="G43" s="83">
        <f t="shared" si="24"/>
        <v>-0.03540803215</v>
      </c>
      <c r="H43" s="83">
        <f t="shared" si="24"/>
        <v>-0.004693371835</v>
      </c>
      <c r="I43" s="83">
        <f t="shared" si="24"/>
        <v>0.04080529225</v>
      </c>
      <c r="J43" s="83">
        <f t="shared" si="24"/>
        <v>0.05139072744</v>
      </c>
      <c r="K43" s="83">
        <f t="shared" si="24"/>
        <v>0.06181475655</v>
      </c>
      <c r="L43" s="83">
        <f t="shared" si="24"/>
        <v>0.07206926688</v>
      </c>
      <c r="M43" s="83">
        <f t="shared" si="24"/>
        <v>0.08214586022</v>
      </c>
      <c r="N43" s="83">
        <f t="shared" si="24"/>
        <v>0.09203585467</v>
      </c>
      <c r="O43" s="83">
        <f t="shared" si="24"/>
        <v>0.1017302879</v>
      </c>
      <c r="P43" s="83">
        <f t="shared" si="24"/>
        <v>0.2210591191</v>
      </c>
    </row>
    <row r="44">
      <c r="A44" s="52"/>
      <c r="B44" s="84" t="s">
        <v>61</v>
      </c>
      <c r="C44" s="40"/>
      <c r="D44" s="67">
        <v>0.0</v>
      </c>
      <c r="E44" s="67">
        <v>0.0</v>
      </c>
      <c r="F44" s="67">
        <v>0.0</v>
      </c>
      <c r="G44" s="67">
        <v>0.0</v>
      </c>
      <c r="H44" s="67">
        <v>0.0</v>
      </c>
      <c r="I44" s="67">
        <v>0.0</v>
      </c>
      <c r="J44" s="67">
        <v>0.0</v>
      </c>
      <c r="K44" s="67">
        <v>0.0</v>
      </c>
      <c r="L44" s="67">
        <v>0.0</v>
      </c>
      <c r="M44" s="67">
        <v>0.0</v>
      </c>
      <c r="N44" s="67">
        <v>0.0</v>
      </c>
      <c r="O44" s="67">
        <v>0.0</v>
      </c>
      <c r="P44" s="67">
        <v>0.0</v>
      </c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B45" s="69" t="s">
        <v>62</v>
      </c>
      <c r="C45" s="70"/>
      <c r="D45" s="40">
        <f t="shared" ref="D45:O45" si="25">D42-D44</f>
        <v>54095333.33</v>
      </c>
      <c r="E45" s="40">
        <f t="shared" si="25"/>
        <v>57170333.33</v>
      </c>
      <c r="F45" s="40">
        <f t="shared" si="25"/>
        <v>60239083.33</v>
      </c>
      <c r="G45" s="40">
        <f t="shared" si="25"/>
        <v>-3523729.167</v>
      </c>
      <c r="H45" s="40">
        <f t="shared" si="25"/>
        <v>-468432.2917</v>
      </c>
      <c r="I45" s="40">
        <f t="shared" si="25"/>
        <v>3947629.427</v>
      </c>
      <c r="J45" s="40">
        <f t="shared" si="25"/>
        <v>4988094.232</v>
      </c>
      <c r="K45" s="40">
        <f t="shared" si="25"/>
        <v>6020582.277</v>
      </c>
      <c r="L45" s="40">
        <f t="shared" si="25"/>
        <v>7044694.724</v>
      </c>
      <c r="M45" s="40">
        <f t="shared" si="25"/>
        <v>8060012.793</v>
      </c>
      <c r="N45" s="40">
        <f t="shared" si="25"/>
        <v>9066096.766</v>
      </c>
      <c r="O45" s="40">
        <f t="shared" si="25"/>
        <v>10062484.94</v>
      </c>
      <c r="P45" s="40">
        <f>sum(D45:O45)</f>
        <v>216702183.7</v>
      </c>
    </row>
    <row r="46">
      <c r="B46" s="69" t="s">
        <v>63</v>
      </c>
      <c r="C46" s="70"/>
      <c r="D46" s="83">
        <f t="shared" ref="D46:P46" si="26">D23/D41</f>
        <v>2.695530434</v>
      </c>
      <c r="E46" s="83">
        <f t="shared" si="26"/>
        <v>2.77797935</v>
      </c>
      <c r="F46" s="83">
        <f t="shared" si="26"/>
        <v>2.858246402</v>
      </c>
      <c r="G46" s="83">
        <f t="shared" si="26"/>
        <v>0.9645919679</v>
      </c>
      <c r="H46" s="83">
        <f t="shared" si="26"/>
        <v>0.9953066282</v>
      </c>
      <c r="I46" s="83">
        <f t="shared" si="26"/>
        <v>1.040805292</v>
      </c>
      <c r="J46" s="83">
        <f t="shared" si="26"/>
        <v>1.051390727</v>
      </c>
      <c r="K46" s="83">
        <f t="shared" si="26"/>
        <v>1.061814757</v>
      </c>
      <c r="L46" s="83">
        <f t="shared" si="26"/>
        <v>1.072069267</v>
      </c>
      <c r="M46" s="83">
        <f t="shared" si="26"/>
        <v>1.08214586</v>
      </c>
      <c r="N46" s="83">
        <f t="shared" si="26"/>
        <v>1.092035855</v>
      </c>
      <c r="O46" s="83">
        <f t="shared" si="26"/>
        <v>1.101730288</v>
      </c>
      <c r="P46" s="83">
        <f t="shared" si="26"/>
        <v>1.226159647</v>
      </c>
    </row>
    <row r="47">
      <c r="B47" s="85"/>
    </row>
    <row r="48">
      <c r="B48" s="85"/>
    </row>
    <row r="49">
      <c r="B49" s="85"/>
    </row>
    <row r="50">
      <c r="B50" s="85"/>
    </row>
    <row r="51">
      <c r="B51" s="85"/>
    </row>
    <row r="52">
      <c r="B52" s="85"/>
    </row>
    <row r="53">
      <c r="B53" s="85"/>
    </row>
    <row r="54">
      <c r="B54" s="85"/>
    </row>
    <row r="55">
      <c r="B55" s="85"/>
    </row>
    <row r="56">
      <c r="B56" s="85"/>
    </row>
    <row r="57">
      <c r="B57" s="85"/>
    </row>
    <row r="58">
      <c r="B58" s="85"/>
    </row>
    <row r="59">
      <c r="B59" s="85"/>
    </row>
    <row r="60">
      <c r="B60" s="85"/>
    </row>
    <row r="61">
      <c r="B61" s="85"/>
    </row>
    <row r="62">
      <c r="B62" s="85"/>
    </row>
    <row r="63">
      <c r="B63" s="85"/>
    </row>
    <row r="64">
      <c r="B64" s="85"/>
    </row>
    <row r="65">
      <c r="B65" s="85"/>
    </row>
    <row r="66">
      <c r="B66" s="85"/>
    </row>
    <row r="67">
      <c r="B67" s="85"/>
    </row>
    <row r="68">
      <c r="B68" s="85"/>
    </row>
    <row r="69">
      <c r="B69" s="85"/>
    </row>
    <row r="70">
      <c r="B70" s="85"/>
    </row>
    <row r="71">
      <c r="B71" s="85"/>
    </row>
    <row r="72">
      <c r="B72" s="85"/>
    </row>
    <row r="73">
      <c r="B73" s="85"/>
    </row>
    <row r="74">
      <c r="B74" s="85"/>
    </row>
    <row r="75">
      <c r="B75" s="85"/>
    </row>
    <row r="76">
      <c r="B76" s="85"/>
    </row>
    <row r="77">
      <c r="B77" s="85"/>
    </row>
    <row r="78">
      <c r="B78" s="85"/>
    </row>
    <row r="79">
      <c r="B79" s="85"/>
    </row>
    <row r="80">
      <c r="B80" s="85"/>
    </row>
    <row r="81">
      <c r="B81" s="85"/>
    </row>
    <row r="82">
      <c r="B82" s="85"/>
    </row>
    <row r="83">
      <c r="B83" s="85"/>
    </row>
    <row r="84">
      <c r="B84" s="85"/>
    </row>
    <row r="85">
      <c r="B85" s="85"/>
    </row>
    <row r="86">
      <c r="B86" s="85"/>
    </row>
    <row r="87">
      <c r="B87" s="85"/>
    </row>
    <row r="88">
      <c r="B88" s="85"/>
    </row>
    <row r="89">
      <c r="B89" s="85"/>
    </row>
    <row r="90">
      <c r="B90" s="85"/>
    </row>
    <row r="91">
      <c r="B91" s="85"/>
    </row>
    <row r="92">
      <c r="B92" s="85"/>
    </row>
    <row r="93">
      <c r="B93" s="85"/>
    </row>
    <row r="94">
      <c r="B94" s="85"/>
    </row>
    <row r="95">
      <c r="B95" s="85"/>
    </row>
    <row r="96">
      <c r="B96" s="85"/>
    </row>
    <row r="97">
      <c r="B97" s="85"/>
    </row>
    <row r="98">
      <c r="B98" s="85"/>
    </row>
    <row r="99">
      <c r="B99" s="85"/>
    </row>
    <row r="100">
      <c r="B100" s="85"/>
    </row>
    <row r="101">
      <c r="B101" s="85"/>
    </row>
    <row r="102">
      <c r="B102" s="85"/>
    </row>
    <row r="103">
      <c r="B103" s="85"/>
    </row>
    <row r="104">
      <c r="B104" s="85"/>
    </row>
    <row r="105">
      <c r="B105" s="85"/>
    </row>
    <row r="106">
      <c r="B106" s="85"/>
    </row>
    <row r="107">
      <c r="B107" s="85"/>
    </row>
    <row r="108">
      <c r="B108" s="85"/>
    </row>
    <row r="109">
      <c r="B109" s="85"/>
    </row>
    <row r="110">
      <c r="B110" s="85"/>
    </row>
    <row r="111">
      <c r="B111" s="85"/>
    </row>
    <row r="112">
      <c r="B112" s="85"/>
    </row>
    <row r="113">
      <c r="B113" s="85"/>
    </row>
    <row r="114">
      <c r="B114" s="85"/>
    </row>
    <row r="115">
      <c r="B115" s="85"/>
    </row>
    <row r="116">
      <c r="B116" s="85"/>
    </row>
    <row r="117">
      <c r="B117" s="85"/>
    </row>
    <row r="118">
      <c r="B118" s="85"/>
    </row>
    <row r="119">
      <c r="B119" s="85"/>
    </row>
    <row r="120">
      <c r="B120" s="85"/>
    </row>
    <row r="121">
      <c r="B121" s="85"/>
    </row>
    <row r="122">
      <c r="B122" s="85"/>
    </row>
    <row r="123">
      <c r="B123" s="85"/>
    </row>
    <row r="124">
      <c r="B124" s="85"/>
    </row>
    <row r="125">
      <c r="B125" s="85"/>
    </row>
    <row r="126">
      <c r="B126" s="85"/>
    </row>
    <row r="127">
      <c r="B127" s="85"/>
    </row>
    <row r="128">
      <c r="B128" s="85"/>
    </row>
    <row r="129">
      <c r="B129" s="85"/>
    </row>
    <row r="130">
      <c r="B130" s="85"/>
    </row>
    <row r="131">
      <c r="B131" s="85"/>
    </row>
    <row r="132">
      <c r="B132" s="85"/>
    </row>
    <row r="133">
      <c r="B133" s="85"/>
    </row>
    <row r="134">
      <c r="B134" s="85"/>
    </row>
    <row r="135">
      <c r="B135" s="85"/>
    </row>
    <row r="136">
      <c r="B136" s="85"/>
    </row>
    <row r="137">
      <c r="B137" s="85"/>
    </row>
    <row r="138">
      <c r="B138" s="85"/>
    </row>
    <row r="139">
      <c r="B139" s="85"/>
    </row>
    <row r="140">
      <c r="B140" s="85"/>
    </row>
    <row r="141">
      <c r="B141" s="85"/>
    </row>
    <row r="142">
      <c r="B142" s="85"/>
    </row>
    <row r="143">
      <c r="B143" s="85"/>
    </row>
    <row r="144">
      <c r="B144" s="85"/>
    </row>
    <row r="145">
      <c r="B145" s="85"/>
    </row>
    <row r="146">
      <c r="B146" s="85"/>
    </row>
    <row r="147">
      <c r="B147" s="85"/>
    </row>
    <row r="148">
      <c r="B148" s="85"/>
    </row>
    <row r="149">
      <c r="B149" s="85"/>
    </row>
    <row r="150">
      <c r="B150" s="85"/>
    </row>
    <row r="151">
      <c r="B151" s="85"/>
    </row>
    <row r="152">
      <c r="B152" s="85"/>
    </row>
    <row r="153">
      <c r="B153" s="85"/>
    </row>
    <row r="154">
      <c r="B154" s="85"/>
    </row>
    <row r="155">
      <c r="B155" s="85"/>
    </row>
    <row r="156">
      <c r="B156" s="85"/>
    </row>
    <row r="157">
      <c r="B157" s="85"/>
    </row>
    <row r="158">
      <c r="B158" s="85"/>
    </row>
    <row r="159">
      <c r="B159" s="85"/>
    </row>
    <row r="160">
      <c r="B160" s="85"/>
    </row>
    <row r="161">
      <c r="B161" s="85"/>
    </row>
    <row r="162">
      <c r="B162" s="85"/>
    </row>
    <row r="163">
      <c r="B163" s="85"/>
    </row>
    <row r="164">
      <c r="B164" s="85"/>
    </row>
    <row r="165">
      <c r="B165" s="85"/>
    </row>
    <row r="166">
      <c r="B166" s="85"/>
    </row>
    <row r="167">
      <c r="B167" s="85"/>
    </row>
    <row r="168">
      <c r="B168" s="85"/>
    </row>
    <row r="169">
      <c r="B169" s="85"/>
    </row>
    <row r="170">
      <c r="B170" s="85"/>
    </row>
    <row r="171">
      <c r="B171" s="85"/>
    </row>
    <row r="172">
      <c r="B172" s="85"/>
    </row>
    <row r="173">
      <c r="B173" s="85"/>
    </row>
    <row r="174">
      <c r="B174" s="85"/>
    </row>
    <row r="175">
      <c r="B175" s="85"/>
    </row>
    <row r="176">
      <c r="B176" s="85"/>
    </row>
    <row r="177">
      <c r="B177" s="85"/>
    </row>
    <row r="178">
      <c r="B178" s="85"/>
    </row>
    <row r="179">
      <c r="B179" s="85"/>
    </row>
    <row r="180">
      <c r="B180" s="85"/>
    </row>
    <row r="181">
      <c r="B181" s="85"/>
    </row>
    <row r="182">
      <c r="B182" s="85"/>
    </row>
    <row r="183">
      <c r="B183" s="85"/>
    </row>
    <row r="184">
      <c r="B184" s="85"/>
    </row>
    <row r="185">
      <c r="B185" s="85"/>
    </row>
    <row r="186">
      <c r="B186" s="85"/>
    </row>
    <row r="187">
      <c r="B187" s="85"/>
    </row>
    <row r="188">
      <c r="B188" s="85"/>
    </row>
    <row r="189">
      <c r="B189" s="85"/>
    </row>
    <row r="190">
      <c r="B190" s="85"/>
    </row>
    <row r="191">
      <c r="B191" s="85"/>
    </row>
    <row r="192">
      <c r="B192" s="85"/>
    </row>
    <row r="193">
      <c r="B193" s="85"/>
    </row>
    <row r="194">
      <c r="B194" s="85"/>
    </row>
    <row r="195">
      <c r="B195" s="85"/>
    </row>
    <row r="196">
      <c r="B196" s="85"/>
    </row>
    <row r="197">
      <c r="B197" s="85"/>
    </row>
    <row r="198">
      <c r="B198" s="85"/>
    </row>
    <row r="199">
      <c r="B199" s="85"/>
    </row>
    <row r="200">
      <c r="B200" s="85"/>
    </row>
    <row r="201">
      <c r="B201" s="85"/>
    </row>
    <row r="202">
      <c r="B202" s="85"/>
    </row>
    <row r="203">
      <c r="B203" s="85"/>
    </row>
    <row r="204">
      <c r="B204" s="85"/>
    </row>
    <row r="205">
      <c r="B205" s="85"/>
    </row>
    <row r="206">
      <c r="B206" s="85"/>
    </row>
    <row r="207">
      <c r="B207" s="85"/>
    </row>
    <row r="208">
      <c r="B208" s="85"/>
    </row>
    <row r="209">
      <c r="B209" s="85"/>
    </row>
    <row r="210">
      <c r="B210" s="85"/>
    </row>
    <row r="211">
      <c r="B211" s="85"/>
    </row>
    <row r="212">
      <c r="B212" s="85"/>
    </row>
    <row r="213">
      <c r="B213" s="85"/>
    </row>
    <row r="214">
      <c r="B214" s="85"/>
    </row>
    <row r="215">
      <c r="B215" s="85"/>
    </row>
    <row r="216">
      <c r="B216" s="85"/>
    </row>
    <row r="217">
      <c r="B217" s="85"/>
    </row>
    <row r="218">
      <c r="B218" s="85"/>
    </row>
    <row r="219">
      <c r="B219" s="85"/>
    </row>
    <row r="220">
      <c r="B220" s="85"/>
    </row>
    <row r="221">
      <c r="B221" s="85"/>
    </row>
    <row r="222">
      <c r="B222" s="85"/>
    </row>
    <row r="223">
      <c r="B223" s="85"/>
    </row>
    <row r="224">
      <c r="B224" s="85"/>
    </row>
    <row r="225">
      <c r="B225" s="85"/>
    </row>
    <row r="226">
      <c r="B226" s="85"/>
    </row>
    <row r="227">
      <c r="B227" s="85"/>
    </row>
    <row r="228">
      <c r="B228" s="85"/>
    </row>
    <row r="229">
      <c r="B229" s="85"/>
    </row>
    <row r="230">
      <c r="B230" s="85"/>
    </row>
    <row r="231">
      <c r="B231" s="85"/>
    </row>
    <row r="232">
      <c r="B232" s="85"/>
    </row>
    <row r="233">
      <c r="B233" s="85"/>
    </row>
    <row r="234">
      <c r="B234" s="85"/>
    </row>
    <row r="235">
      <c r="B235" s="85"/>
    </row>
    <row r="236">
      <c r="B236" s="85"/>
    </row>
    <row r="237">
      <c r="B237" s="85"/>
    </row>
    <row r="238">
      <c r="B238" s="85"/>
    </row>
    <row r="239">
      <c r="B239" s="85"/>
    </row>
    <row r="240">
      <c r="B240" s="85"/>
    </row>
    <row r="241">
      <c r="B241" s="85"/>
    </row>
    <row r="242">
      <c r="B242" s="85"/>
    </row>
    <row r="243">
      <c r="B243" s="85"/>
    </row>
    <row r="244">
      <c r="B244" s="85"/>
    </row>
    <row r="245">
      <c r="B245" s="85"/>
    </row>
    <row r="246">
      <c r="B246" s="85"/>
    </row>
    <row r="247">
      <c r="B247" s="85"/>
    </row>
    <row r="248">
      <c r="B248" s="85"/>
    </row>
    <row r="249">
      <c r="B249" s="85"/>
    </row>
    <row r="250">
      <c r="B250" s="85"/>
    </row>
    <row r="251">
      <c r="B251" s="85"/>
    </row>
    <row r="252">
      <c r="B252" s="85"/>
    </row>
    <row r="253">
      <c r="B253" s="85"/>
    </row>
    <row r="254">
      <c r="B254" s="85"/>
    </row>
    <row r="255">
      <c r="B255" s="85"/>
    </row>
    <row r="256">
      <c r="B256" s="85"/>
    </row>
    <row r="257">
      <c r="B257" s="85"/>
    </row>
    <row r="258">
      <c r="B258" s="85"/>
    </row>
    <row r="259">
      <c r="B259" s="85"/>
    </row>
    <row r="260">
      <c r="B260" s="85"/>
    </row>
    <row r="261">
      <c r="B261" s="85"/>
    </row>
    <row r="262">
      <c r="B262" s="85"/>
    </row>
    <row r="263">
      <c r="B263" s="85"/>
    </row>
    <row r="264">
      <c r="B264" s="85"/>
    </row>
    <row r="265">
      <c r="B265" s="85"/>
    </row>
    <row r="266">
      <c r="B266" s="85"/>
    </row>
    <row r="267">
      <c r="B267" s="85"/>
    </row>
    <row r="268">
      <c r="B268" s="85"/>
    </row>
    <row r="269">
      <c r="B269" s="85"/>
    </row>
    <row r="270">
      <c r="B270" s="85"/>
    </row>
    <row r="271">
      <c r="B271" s="85"/>
    </row>
    <row r="272">
      <c r="B272" s="85"/>
    </row>
    <row r="273">
      <c r="B273" s="85"/>
    </row>
    <row r="274">
      <c r="B274" s="85"/>
    </row>
    <row r="275">
      <c r="B275" s="85"/>
    </row>
    <row r="276">
      <c r="B276" s="85"/>
    </row>
    <row r="277">
      <c r="B277" s="85"/>
    </row>
    <row r="278">
      <c r="B278" s="85"/>
    </row>
    <row r="279">
      <c r="B279" s="85"/>
    </row>
    <row r="280">
      <c r="B280" s="85"/>
    </row>
    <row r="281">
      <c r="B281" s="85"/>
    </row>
    <row r="282">
      <c r="B282" s="85"/>
    </row>
    <row r="283">
      <c r="B283" s="85"/>
    </row>
    <row r="284">
      <c r="B284" s="85"/>
    </row>
    <row r="285">
      <c r="B285" s="85"/>
    </row>
    <row r="286">
      <c r="B286" s="85"/>
    </row>
    <row r="287">
      <c r="B287" s="85"/>
    </row>
    <row r="288">
      <c r="B288" s="85"/>
    </row>
    <row r="289">
      <c r="B289" s="85"/>
    </row>
    <row r="290">
      <c r="B290" s="85"/>
    </row>
    <row r="291">
      <c r="B291" s="85"/>
    </row>
    <row r="292">
      <c r="B292" s="85"/>
    </row>
    <row r="293">
      <c r="B293" s="85"/>
    </row>
    <row r="294">
      <c r="B294" s="85"/>
    </row>
    <row r="295">
      <c r="B295" s="85"/>
    </row>
    <row r="296">
      <c r="B296" s="85"/>
    </row>
    <row r="297">
      <c r="B297" s="85"/>
    </row>
    <row r="298">
      <c r="B298" s="85"/>
    </row>
    <row r="299">
      <c r="B299" s="85"/>
    </row>
    <row r="300">
      <c r="B300" s="85"/>
    </row>
    <row r="301">
      <c r="B301" s="85"/>
    </row>
    <row r="302">
      <c r="B302" s="85"/>
    </row>
    <row r="303">
      <c r="B303" s="85"/>
    </row>
    <row r="304">
      <c r="B304" s="85"/>
    </row>
    <row r="305">
      <c r="B305" s="85"/>
    </row>
    <row r="306">
      <c r="B306" s="85"/>
    </row>
    <row r="307">
      <c r="B307" s="85"/>
    </row>
    <row r="308">
      <c r="B308" s="85"/>
    </row>
    <row r="309">
      <c r="B309" s="85"/>
    </row>
    <row r="310">
      <c r="B310" s="85"/>
    </row>
    <row r="311">
      <c r="B311" s="85"/>
    </row>
    <row r="312">
      <c r="B312" s="85"/>
    </row>
    <row r="313">
      <c r="B313" s="85"/>
    </row>
    <row r="314">
      <c r="B314" s="85"/>
    </row>
    <row r="315">
      <c r="B315" s="85"/>
    </row>
    <row r="316">
      <c r="B316" s="85"/>
    </row>
    <row r="317">
      <c r="B317" s="85"/>
    </row>
    <row r="318">
      <c r="B318" s="85"/>
    </row>
    <row r="319">
      <c r="B319" s="85"/>
    </row>
    <row r="320">
      <c r="B320" s="85"/>
    </row>
    <row r="321">
      <c r="B321" s="85"/>
    </row>
    <row r="322">
      <c r="B322" s="85"/>
    </row>
    <row r="323">
      <c r="B323" s="85"/>
    </row>
    <row r="324">
      <c r="B324" s="85"/>
    </row>
    <row r="325">
      <c r="B325" s="85"/>
    </row>
    <row r="326">
      <c r="B326" s="85"/>
    </row>
    <row r="327">
      <c r="B327" s="85"/>
    </row>
    <row r="328">
      <c r="B328" s="85"/>
    </row>
    <row r="329">
      <c r="B329" s="85"/>
    </row>
    <row r="330">
      <c r="B330" s="85"/>
    </row>
    <row r="331">
      <c r="B331" s="85"/>
    </row>
    <row r="332">
      <c r="B332" s="85"/>
    </row>
    <row r="333">
      <c r="B333" s="85"/>
    </row>
    <row r="334">
      <c r="B334" s="85"/>
    </row>
    <row r="335">
      <c r="B335" s="85"/>
    </row>
    <row r="336">
      <c r="B336" s="85"/>
    </row>
    <row r="337">
      <c r="B337" s="85"/>
    </row>
    <row r="338">
      <c r="B338" s="85"/>
    </row>
    <row r="339">
      <c r="B339" s="85"/>
    </row>
    <row r="340">
      <c r="B340" s="85"/>
    </row>
    <row r="341">
      <c r="B341" s="85"/>
    </row>
    <row r="342">
      <c r="B342" s="85"/>
    </row>
    <row r="343">
      <c r="B343" s="85"/>
    </row>
    <row r="344">
      <c r="B344" s="85"/>
    </row>
    <row r="345">
      <c r="B345" s="85"/>
    </row>
    <row r="346">
      <c r="B346" s="85"/>
    </row>
    <row r="347">
      <c r="B347" s="85"/>
    </row>
    <row r="348">
      <c r="B348" s="85"/>
    </row>
    <row r="349">
      <c r="B349" s="85"/>
    </row>
    <row r="350">
      <c r="B350" s="85"/>
    </row>
    <row r="351">
      <c r="B351" s="85"/>
    </row>
    <row r="352">
      <c r="B352" s="85"/>
    </row>
    <row r="353">
      <c r="B353" s="85"/>
    </row>
    <row r="354">
      <c r="B354" s="85"/>
    </row>
    <row r="355">
      <c r="B355" s="85"/>
    </row>
    <row r="356">
      <c r="B356" s="85"/>
    </row>
    <row r="357">
      <c r="B357" s="85"/>
    </row>
    <row r="358">
      <c r="B358" s="85"/>
    </row>
    <row r="359">
      <c r="B359" s="85"/>
    </row>
    <row r="360">
      <c r="B360" s="85"/>
    </row>
    <row r="361">
      <c r="B361" s="85"/>
    </row>
    <row r="362">
      <c r="B362" s="85"/>
    </row>
    <row r="363">
      <c r="B363" s="85"/>
    </row>
    <row r="364">
      <c r="B364" s="85"/>
    </row>
    <row r="365">
      <c r="B365" s="85"/>
    </row>
    <row r="366">
      <c r="B366" s="85"/>
    </row>
    <row r="367">
      <c r="B367" s="85"/>
    </row>
    <row r="368">
      <c r="B368" s="85"/>
    </row>
    <row r="369">
      <c r="B369" s="85"/>
    </row>
    <row r="370">
      <c r="B370" s="85"/>
    </row>
    <row r="371">
      <c r="B371" s="85"/>
    </row>
    <row r="372">
      <c r="B372" s="85"/>
    </row>
    <row r="373">
      <c r="B373" s="85"/>
    </row>
    <row r="374">
      <c r="B374" s="85"/>
    </row>
    <row r="375">
      <c r="B375" s="85"/>
    </row>
    <row r="376">
      <c r="B376" s="85"/>
    </row>
    <row r="377">
      <c r="B377" s="85"/>
    </row>
    <row r="378">
      <c r="B378" s="85"/>
    </row>
    <row r="379">
      <c r="B379" s="85"/>
    </row>
    <row r="380">
      <c r="B380" s="85"/>
    </row>
    <row r="381">
      <c r="B381" s="85"/>
    </row>
    <row r="382">
      <c r="B382" s="85"/>
    </row>
    <row r="383">
      <c r="B383" s="85"/>
    </row>
    <row r="384">
      <c r="B384" s="85"/>
    </row>
    <row r="385">
      <c r="B385" s="85"/>
    </row>
    <row r="386">
      <c r="B386" s="85"/>
    </row>
    <row r="387">
      <c r="B387" s="85"/>
    </row>
    <row r="388">
      <c r="B388" s="85"/>
    </row>
    <row r="389">
      <c r="B389" s="85"/>
    </row>
    <row r="390">
      <c r="B390" s="85"/>
    </row>
    <row r="391">
      <c r="B391" s="85"/>
    </row>
    <row r="392">
      <c r="B392" s="85"/>
    </row>
    <row r="393">
      <c r="B393" s="85"/>
    </row>
    <row r="394">
      <c r="B394" s="85"/>
    </row>
    <row r="395">
      <c r="B395" s="85"/>
    </row>
    <row r="396">
      <c r="B396" s="85"/>
    </row>
    <row r="397">
      <c r="B397" s="85"/>
    </row>
    <row r="398">
      <c r="B398" s="85"/>
    </row>
    <row r="399">
      <c r="B399" s="85"/>
    </row>
    <row r="400">
      <c r="B400" s="85"/>
    </row>
    <row r="401">
      <c r="B401" s="85"/>
    </row>
    <row r="402">
      <c r="B402" s="85"/>
    </row>
    <row r="403">
      <c r="B403" s="85"/>
    </row>
    <row r="404">
      <c r="B404" s="85"/>
    </row>
    <row r="405">
      <c r="B405" s="85"/>
    </row>
    <row r="406">
      <c r="B406" s="85"/>
    </row>
    <row r="407">
      <c r="B407" s="85"/>
    </row>
    <row r="408">
      <c r="B408" s="85"/>
    </row>
    <row r="409">
      <c r="B409" s="85"/>
    </row>
    <row r="410">
      <c r="B410" s="85"/>
    </row>
    <row r="411">
      <c r="B411" s="85"/>
    </row>
    <row r="412">
      <c r="B412" s="85"/>
    </row>
    <row r="413">
      <c r="B413" s="85"/>
    </row>
    <row r="414">
      <c r="B414" s="85"/>
    </row>
    <row r="415">
      <c r="B415" s="85"/>
    </row>
    <row r="416">
      <c r="B416" s="85"/>
    </row>
    <row r="417">
      <c r="B417" s="85"/>
    </row>
    <row r="418">
      <c r="B418" s="85"/>
    </row>
    <row r="419">
      <c r="B419" s="85"/>
    </row>
    <row r="420">
      <c r="B420" s="85"/>
    </row>
    <row r="421">
      <c r="B421" s="85"/>
    </row>
    <row r="422">
      <c r="B422" s="85"/>
    </row>
    <row r="423">
      <c r="B423" s="85"/>
    </row>
    <row r="424">
      <c r="B424" s="85"/>
    </row>
    <row r="425">
      <c r="B425" s="85"/>
    </row>
    <row r="426">
      <c r="B426" s="85"/>
    </row>
    <row r="427">
      <c r="B427" s="85"/>
    </row>
    <row r="428">
      <c r="B428" s="85"/>
    </row>
    <row r="429">
      <c r="B429" s="85"/>
    </row>
    <row r="430">
      <c r="B430" s="85"/>
    </row>
    <row r="431">
      <c r="B431" s="85"/>
    </row>
    <row r="432">
      <c r="B432" s="85"/>
    </row>
    <row r="433">
      <c r="B433" s="85"/>
    </row>
    <row r="434">
      <c r="B434" s="85"/>
    </row>
    <row r="435">
      <c r="B435" s="85"/>
    </row>
    <row r="436">
      <c r="B436" s="85"/>
    </row>
    <row r="437">
      <c r="B437" s="85"/>
    </row>
    <row r="438">
      <c r="B438" s="85"/>
    </row>
    <row r="439">
      <c r="B439" s="85"/>
    </row>
    <row r="440">
      <c r="B440" s="85"/>
    </row>
    <row r="441">
      <c r="B441" s="85"/>
    </row>
    <row r="442">
      <c r="B442" s="85"/>
    </row>
    <row r="443">
      <c r="B443" s="85"/>
    </row>
    <row r="444">
      <c r="B444" s="85"/>
    </row>
    <row r="445">
      <c r="B445" s="85"/>
    </row>
    <row r="446">
      <c r="B446" s="85"/>
    </row>
    <row r="447">
      <c r="B447" s="85"/>
    </row>
    <row r="448">
      <c r="B448" s="85"/>
    </row>
    <row r="449">
      <c r="B449" s="85"/>
    </row>
    <row r="450">
      <c r="B450" s="85"/>
    </row>
    <row r="451">
      <c r="B451" s="85"/>
    </row>
    <row r="452">
      <c r="B452" s="85"/>
    </row>
    <row r="453">
      <c r="B453" s="85"/>
    </row>
    <row r="454">
      <c r="B454" s="85"/>
    </row>
    <row r="455">
      <c r="B455" s="85"/>
    </row>
    <row r="456">
      <c r="B456" s="85"/>
    </row>
    <row r="457">
      <c r="B457" s="85"/>
    </row>
    <row r="458">
      <c r="B458" s="85"/>
    </row>
    <row r="459">
      <c r="B459" s="85"/>
    </row>
    <row r="460">
      <c r="B460" s="85"/>
    </row>
    <row r="461">
      <c r="B461" s="85"/>
    </row>
    <row r="462">
      <c r="B462" s="85"/>
    </row>
    <row r="463">
      <c r="B463" s="85"/>
    </row>
    <row r="464">
      <c r="B464" s="85"/>
    </row>
    <row r="465">
      <c r="B465" s="85"/>
    </row>
    <row r="466">
      <c r="B466" s="85"/>
    </row>
    <row r="467">
      <c r="B467" s="85"/>
    </row>
    <row r="468">
      <c r="B468" s="85"/>
    </row>
    <row r="469">
      <c r="B469" s="85"/>
    </row>
    <row r="470">
      <c r="B470" s="85"/>
    </row>
    <row r="471">
      <c r="B471" s="85"/>
    </row>
    <row r="472">
      <c r="B472" s="85"/>
    </row>
    <row r="473">
      <c r="B473" s="85"/>
    </row>
    <row r="474">
      <c r="B474" s="85"/>
    </row>
    <row r="475">
      <c r="B475" s="85"/>
    </row>
    <row r="476">
      <c r="B476" s="85"/>
    </row>
    <row r="477">
      <c r="B477" s="85"/>
    </row>
    <row r="478">
      <c r="B478" s="85"/>
    </row>
    <row r="479">
      <c r="B479" s="85"/>
    </row>
    <row r="480">
      <c r="B480" s="85"/>
    </row>
    <row r="481">
      <c r="B481" s="85"/>
    </row>
    <row r="482">
      <c r="B482" s="85"/>
    </row>
    <row r="483">
      <c r="B483" s="85"/>
    </row>
    <row r="484">
      <c r="B484" s="85"/>
    </row>
    <row r="485">
      <c r="B485" s="85"/>
    </row>
    <row r="486">
      <c r="B486" s="85"/>
    </row>
    <row r="487">
      <c r="B487" s="85"/>
    </row>
    <row r="488">
      <c r="B488" s="85"/>
    </row>
    <row r="489">
      <c r="B489" s="85"/>
    </row>
    <row r="490">
      <c r="B490" s="85"/>
    </row>
    <row r="491">
      <c r="B491" s="85"/>
    </row>
    <row r="492">
      <c r="B492" s="85"/>
    </row>
    <row r="493">
      <c r="B493" s="85"/>
    </row>
    <row r="494">
      <c r="B494" s="85"/>
    </row>
    <row r="495">
      <c r="B495" s="85"/>
    </row>
    <row r="496">
      <c r="B496" s="85"/>
    </row>
    <row r="497">
      <c r="B497" s="85"/>
    </row>
    <row r="498">
      <c r="B498" s="85"/>
    </row>
    <row r="499">
      <c r="B499" s="85"/>
    </row>
    <row r="500">
      <c r="B500" s="85"/>
    </row>
    <row r="501">
      <c r="B501" s="85"/>
    </row>
    <row r="502">
      <c r="B502" s="85"/>
    </row>
    <row r="503">
      <c r="B503" s="85"/>
    </row>
    <row r="504">
      <c r="B504" s="85"/>
    </row>
    <row r="505">
      <c r="B505" s="85"/>
    </row>
    <row r="506">
      <c r="B506" s="85"/>
    </row>
    <row r="507">
      <c r="B507" s="85"/>
    </row>
    <row r="508">
      <c r="B508" s="85"/>
    </row>
    <row r="509">
      <c r="B509" s="85"/>
    </row>
    <row r="510">
      <c r="B510" s="85"/>
    </row>
    <row r="511">
      <c r="B511" s="85"/>
    </row>
    <row r="512">
      <c r="B512" s="85"/>
    </row>
    <row r="513">
      <c r="B513" s="85"/>
    </row>
    <row r="514">
      <c r="B514" s="85"/>
    </row>
    <row r="515">
      <c r="B515" s="85"/>
    </row>
    <row r="516">
      <c r="B516" s="85"/>
    </row>
    <row r="517">
      <c r="B517" s="85"/>
    </row>
    <row r="518">
      <c r="B518" s="85"/>
    </row>
    <row r="519">
      <c r="B519" s="85"/>
    </row>
    <row r="520">
      <c r="B520" s="85"/>
    </row>
    <row r="521">
      <c r="B521" s="85"/>
    </row>
    <row r="522">
      <c r="B522" s="85"/>
    </row>
    <row r="523">
      <c r="B523" s="85"/>
    </row>
    <row r="524">
      <c r="B524" s="85"/>
    </row>
    <row r="525">
      <c r="B525" s="85"/>
    </row>
    <row r="526">
      <c r="B526" s="85"/>
    </row>
    <row r="527">
      <c r="B527" s="85"/>
    </row>
    <row r="528">
      <c r="B528" s="85"/>
    </row>
    <row r="529">
      <c r="B529" s="85"/>
    </row>
    <row r="530">
      <c r="B530" s="85"/>
    </row>
    <row r="531">
      <c r="B531" s="85"/>
    </row>
    <row r="532">
      <c r="B532" s="85"/>
    </row>
    <row r="533">
      <c r="B533" s="85"/>
    </row>
    <row r="534">
      <c r="B534" s="85"/>
    </row>
    <row r="535">
      <c r="B535" s="85"/>
    </row>
    <row r="536">
      <c r="B536" s="85"/>
    </row>
    <row r="537">
      <c r="B537" s="85"/>
    </row>
    <row r="538">
      <c r="B538" s="85"/>
    </row>
    <row r="539">
      <c r="B539" s="85"/>
    </row>
    <row r="540">
      <c r="B540" s="85"/>
    </row>
    <row r="541">
      <c r="B541" s="85"/>
    </row>
    <row r="542">
      <c r="B542" s="85"/>
    </row>
    <row r="543">
      <c r="B543" s="85"/>
    </row>
    <row r="544">
      <c r="B544" s="85"/>
    </row>
    <row r="545">
      <c r="B545" s="85"/>
    </row>
    <row r="546">
      <c r="B546" s="85"/>
    </row>
    <row r="547">
      <c r="B547" s="85"/>
    </row>
    <row r="548">
      <c r="B548" s="85"/>
    </row>
    <row r="549">
      <c r="B549" s="85"/>
    </row>
    <row r="550">
      <c r="B550" s="85"/>
    </row>
    <row r="551">
      <c r="B551" s="85"/>
    </row>
    <row r="552">
      <c r="B552" s="85"/>
    </row>
    <row r="553">
      <c r="B553" s="85"/>
    </row>
    <row r="554">
      <c r="B554" s="85"/>
    </row>
    <row r="555">
      <c r="B555" s="85"/>
    </row>
    <row r="556">
      <c r="B556" s="85"/>
    </row>
    <row r="557">
      <c r="B557" s="85"/>
    </row>
    <row r="558">
      <c r="B558" s="85"/>
    </row>
    <row r="559">
      <c r="B559" s="85"/>
    </row>
    <row r="560">
      <c r="B560" s="85"/>
    </row>
    <row r="561">
      <c r="B561" s="85"/>
    </row>
    <row r="562">
      <c r="B562" s="85"/>
    </row>
    <row r="563">
      <c r="B563" s="85"/>
    </row>
    <row r="564">
      <c r="B564" s="85"/>
    </row>
    <row r="565">
      <c r="B565" s="85"/>
    </row>
    <row r="566">
      <c r="B566" s="85"/>
    </row>
    <row r="567">
      <c r="B567" s="85"/>
    </row>
    <row r="568">
      <c r="B568" s="85"/>
    </row>
    <row r="569">
      <c r="B569" s="85"/>
    </row>
    <row r="570">
      <c r="B570" s="85"/>
    </row>
    <row r="571">
      <c r="B571" s="85"/>
    </row>
    <row r="572">
      <c r="B572" s="85"/>
    </row>
    <row r="573">
      <c r="B573" s="85"/>
    </row>
    <row r="574">
      <c r="B574" s="85"/>
    </row>
    <row r="575">
      <c r="B575" s="85"/>
    </row>
    <row r="576">
      <c r="B576" s="85"/>
    </row>
    <row r="577">
      <c r="B577" s="85"/>
    </row>
    <row r="578">
      <c r="B578" s="85"/>
    </row>
    <row r="579">
      <c r="B579" s="85"/>
    </row>
    <row r="580">
      <c r="B580" s="85"/>
    </row>
    <row r="581">
      <c r="B581" s="85"/>
    </row>
    <row r="582">
      <c r="B582" s="85"/>
    </row>
    <row r="583">
      <c r="B583" s="85"/>
    </row>
    <row r="584">
      <c r="B584" s="85"/>
    </row>
    <row r="585">
      <c r="B585" s="85"/>
    </row>
    <row r="586">
      <c r="B586" s="85"/>
    </row>
    <row r="587">
      <c r="B587" s="85"/>
    </row>
    <row r="588">
      <c r="B588" s="85"/>
    </row>
    <row r="589">
      <c r="B589" s="85"/>
    </row>
    <row r="590">
      <c r="B590" s="85"/>
    </row>
    <row r="591">
      <c r="B591" s="85"/>
    </row>
    <row r="592">
      <c r="B592" s="85"/>
    </row>
    <row r="593">
      <c r="B593" s="85"/>
    </row>
    <row r="594">
      <c r="B594" s="85"/>
    </row>
    <row r="595">
      <c r="B595" s="85"/>
    </row>
    <row r="596">
      <c r="B596" s="85"/>
    </row>
    <row r="597">
      <c r="B597" s="85"/>
    </row>
    <row r="598">
      <c r="B598" s="85"/>
    </row>
    <row r="599">
      <c r="B599" s="85"/>
    </row>
    <row r="600">
      <c r="B600" s="85"/>
    </row>
    <row r="601">
      <c r="B601" s="85"/>
    </row>
    <row r="602">
      <c r="B602" s="85"/>
    </row>
    <row r="603">
      <c r="B603" s="85"/>
    </row>
    <row r="604">
      <c r="B604" s="85"/>
    </row>
    <row r="605">
      <c r="B605" s="85"/>
    </row>
    <row r="606">
      <c r="B606" s="85"/>
    </row>
    <row r="607">
      <c r="B607" s="85"/>
    </row>
    <row r="608">
      <c r="B608" s="85"/>
    </row>
    <row r="609">
      <c r="B609" s="85"/>
    </row>
    <row r="610">
      <c r="B610" s="85"/>
    </row>
    <row r="611">
      <c r="B611" s="85"/>
    </row>
    <row r="612">
      <c r="B612" s="85"/>
    </row>
    <row r="613">
      <c r="B613" s="85"/>
    </row>
    <row r="614">
      <c r="B614" s="85"/>
    </row>
    <row r="615">
      <c r="B615" s="85"/>
    </row>
    <row r="616">
      <c r="B616" s="85"/>
    </row>
    <row r="617">
      <c r="B617" s="85"/>
    </row>
    <row r="618">
      <c r="B618" s="85"/>
    </row>
    <row r="619">
      <c r="B619" s="85"/>
    </row>
    <row r="620">
      <c r="B620" s="85"/>
    </row>
    <row r="621">
      <c r="B621" s="85"/>
    </row>
    <row r="622">
      <c r="B622" s="85"/>
    </row>
    <row r="623">
      <c r="B623" s="85"/>
    </row>
    <row r="624">
      <c r="B624" s="85"/>
    </row>
    <row r="625">
      <c r="B625" s="85"/>
    </row>
    <row r="626">
      <c r="B626" s="85"/>
    </row>
    <row r="627">
      <c r="B627" s="85"/>
    </row>
    <row r="628">
      <c r="B628" s="85"/>
    </row>
    <row r="629">
      <c r="B629" s="85"/>
    </row>
    <row r="630">
      <c r="B630" s="85"/>
    </row>
    <row r="631">
      <c r="B631" s="85"/>
    </row>
    <row r="632">
      <c r="B632" s="85"/>
    </row>
    <row r="633">
      <c r="B633" s="85"/>
    </row>
    <row r="634">
      <c r="B634" s="85"/>
    </row>
    <row r="635">
      <c r="B635" s="85"/>
    </row>
    <row r="636">
      <c r="B636" s="85"/>
    </row>
    <row r="637">
      <c r="B637" s="85"/>
    </row>
    <row r="638">
      <c r="B638" s="85"/>
    </row>
    <row r="639">
      <c r="B639" s="85"/>
    </row>
    <row r="640">
      <c r="B640" s="85"/>
    </row>
    <row r="641">
      <c r="B641" s="85"/>
    </row>
    <row r="642">
      <c r="B642" s="85"/>
    </row>
    <row r="643">
      <c r="B643" s="85"/>
    </row>
    <row r="644">
      <c r="B644" s="85"/>
    </row>
    <row r="645">
      <c r="B645" s="85"/>
    </row>
    <row r="646">
      <c r="B646" s="85"/>
    </row>
    <row r="647">
      <c r="B647" s="85"/>
    </row>
    <row r="648">
      <c r="B648" s="85"/>
    </row>
    <row r="649">
      <c r="B649" s="85"/>
    </row>
    <row r="650">
      <c r="B650" s="85"/>
    </row>
    <row r="651">
      <c r="B651" s="85"/>
    </row>
    <row r="652">
      <c r="B652" s="85"/>
    </row>
    <row r="653">
      <c r="B653" s="85"/>
    </row>
    <row r="654">
      <c r="B654" s="85"/>
    </row>
    <row r="655">
      <c r="B655" s="85"/>
    </row>
    <row r="656">
      <c r="B656" s="85"/>
    </row>
    <row r="657">
      <c r="B657" s="85"/>
    </row>
    <row r="658">
      <c r="B658" s="85"/>
    </row>
    <row r="659">
      <c r="B659" s="85"/>
    </row>
    <row r="660">
      <c r="B660" s="85"/>
    </row>
    <row r="661">
      <c r="B661" s="85"/>
    </row>
    <row r="662">
      <c r="B662" s="85"/>
    </row>
    <row r="663">
      <c r="B663" s="85"/>
    </row>
    <row r="664">
      <c r="B664" s="85"/>
    </row>
    <row r="665">
      <c r="B665" s="85"/>
    </row>
    <row r="666">
      <c r="B666" s="85"/>
    </row>
    <row r="667">
      <c r="B667" s="85"/>
    </row>
    <row r="668">
      <c r="B668" s="85"/>
    </row>
    <row r="669">
      <c r="B669" s="85"/>
    </row>
    <row r="670">
      <c r="B670" s="85"/>
    </row>
    <row r="671">
      <c r="B671" s="85"/>
    </row>
    <row r="672">
      <c r="B672" s="85"/>
    </row>
    <row r="673">
      <c r="B673" s="85"/>
    </row>
    <row r="674">
      <c r="B674" s="85"/>
    </row>
    <row r="675">
      <c r="B675" s="85"/>
    </row>
    <row r="676">
      <c r="B676" s="85"/>
    </row>
    <row r="677">
      <c r="B677" s="85"/>
    </row>
    <row r="678">
      <c r="B678" s="85"/>
    </row>
    <row r="679">
      <c r="B679" s="85"/>
    </row>
    <row r="680">
      <c r="B680" s="85"/>
    </row>
    <row r="681">
      <c r="B681" s="85"/>
    </row>
    <row r="682">
      <c r="B682" s="85"/>
    </row>
    <row r="683">
      <c r="B683" s="85"/>
    </row>
    <row r="684">
      <c r="B684" s="85"/>
    </row>
    <row r="685">
      <c r="B685" s="85"/>
    </row>
    <row r="686">
      <c r="B686" s="85"/>
    </row>
    <row r="687">
      <c r="B687" s="85"/>
    </row>
    <row r="688">
      <c r="B688" s="85"/>
    </row>
    <row r="689">
      <c r="B689" s="85"/>
    </row>
    <row r="690">
      <c r="B690" s="85"/>
    </row>
    <row r="691">
      <c r="B691" s="85"/>
    </row>
    <row r="692">
      <c r="B692" s="85"/>
    </row>
    <row r="693">
      <c r="B693" s="85"/>
    </row>
    <row r="694">
      <c r="B694" s="85"/>
    </row>
    <row r="695">
      <c r="B695" s="85"/>
    </row>
    <row r="696">
      <c r="B696" s="85"/>
    </row>
    <row r="697">
      <c r="B697" s="85"/>
    </row>
    <row r="698">
      <c r="B698" s="85"/>
    </row>
    <row r="699">
      <c r="B699" s="85"/>
    </row>
    <row r="700">
      <c r="B700" s="85"/>
    </row>
    <row r="701">
      <c r="B701" s="85"/>
    </row>
    <row r="702">
      <c r="B702" s="85"/>
    </row>
    <row r="703">
      <c r="B703" s="85"/>
    </row>
    <row r="704">
      <c r="B704" s="85"/>
    </row>
    <row r="705">
      <c r="B705" s="85"/>
    </row>
    <row r="706">
      <c r="B706" s="85"/>
    </row>
    <row r="707">
      <c r="B707" s="85"/>
    </row>
    <row r="708">
      <c r="B708" s="85"/>
    </row>
    <row r="709">
      <c r="B709" s="85"/>
    </row>
    <row r="710">
      <c r="B710" s="85"/>
    </row>
    <row r="711">
      <c r="B711" s="85"/>
    </row>
    <row r="712">
      <c r="B712" s="85"/>
    </row>
    <row r="713">
      <c r="B713" s="85"/>
    </row>
    <row r="714">
      <c r="B714" s="85"/>
    </row>
    <row r="715">
      <c r="B715" s="85"/>
    </row>
    <row r="716">
      <c r="B716" s="85"/>
    </row>
    <row r="717">
      <c r="B717" s="85"/>
    </row>
    <row r="718">
      <c r="B718" s="85"/>
    </row>
    <row r="719">
      <c r="B719" s="85"/>
    </row>
    <row r="720">
      <c r="B720" s="85"/>
    </row>
    <row r="721">
      <c r="B721" s="85"/>
    </row>
    <row r="722">
      <c r="B722" s="85"/>
    </row>
    <row r="723">
      <c r="B723" s="85"/>
    </row>
    <row r="724">
      <c r="B724" s="85"/>
    </row>
    <row r="725">
      <c r="B725" s="85"/>
    </row>
    <row r="726">
      <c r="B726" s="85"/>
    </row>
    <row r="727">
      <c r="B727" s="85"/>
    </row>
    <row r="728">
      <c r="B728" s="85"/>
    </row>
    <row r="729">
      <c r="B729" s="85"/>
    </row>
    <row r="730">
      <c r="B730" s="85"/>
    </row>
    <row r="731">
      <c r="B731" s="85"/>
    </row>
    <row r="732">
      <c r="B732" s="85"/>
    </row>
    <row r="733">
      <c r="B733" s="85"/>
    </row>
    <row r="734">
      <c r="B734" s="85"/>
    </row>
    <row r="735">
      <c r="B735" s="85"/>
    </row>
    <row r="736">
      <c r="B736" s="85"/>
    </row>
    <row r="737">
      <c r="B737" s="85"/>
    </row>
    <row r="738">
      <c r="B738" s="85"/>
    </row>
    <row r="739">
      <c r="B739" s="85"/>
    </row>
    <row r="740">
      <c r="B740" s="85"/>
    </row>
    <row r="741">
      <c r="B741" s="85"/>
    </row>
    <row r="742">
      <c r="B742" s="85"/>
    </row>
    <row r="743">
      <c r="B743" s="85"/>
    </row>
    <row r="744">
      <c r="B744" s="85"/>
    </row>
    <row r="745">
      <c r="B745" s="85"/>
    </row>
    <row r="746">
      <c r="B746" s="85"/>
    </row>
    <row r="747">
      <c r="B747" s="85"/>
    </row>
    <row r="748">
      <c r="B748" s="85"/>
    </row>
    <row r="749">
      <c r="B749" s="85"/>
    </row>
    <row r="750">
      <c r="B750" s="85"/>
    </row>
    <row r="751">
      <c r="B751" s="85"/>
    </row>
    <row r="752">
      <c r="B752" s="85"/>
    </row>
    <row r="753">
      <c r="B753" s="85"/>
    </row>
    <row r="754">
      <c r="B754" s="85"/>
    </row>
    <row r="755">
      <c r="B755" s="85"/>
    </row>
    <row r="756">
      <c r="B756" s="85"/>
    </row>
    <row r="757">
      <c r="B757" s="85"/>
    </row>
    <row r="758">
      <c r="B758" s="85"/>
    </row>
    <row r="759">
      <c r="B759" s="85"/>
    </row>
    <row r="760">
      <c r="B760" s="85"/>
    </row>
    <row r="761">
      <c r="B761" s="85"/>
    </row>
    <row r="762">
      <c r="B762" s="85"/>
    </row>
    <row r="763">
      <c r="B763" s="85"/>
    </row>
    <row r="764">
      <c r="B764" s="85"/>
    </row>
    <row r="765">
      <c r="B765" s="85"/>
    </row>
    <row r="766">
      <c r="B766" s="85"/>
    </row>
    <row r="767">
      <c r="B767" s="85"/>
    </row>
    <row r="768">
      <c r="B768" s="85"/>
    </row>
    <row r="769">
      <c r="B769" s="85"/>
    </row>
    <row r="770">
      <c r="B770" s="85"/>
    </row>
    <row r="771">
      <c r="B771" s="85"/>
    </row>
    <row r="772">
      <c r="B772" s="85"/>
    </row>
    <row r="773">
      <c r="B773" s="85"/>
    </row>
    <row r="774">
      <c r="B774" s="85"/>
    </row>
    <row r="775">
      <c r="B775" s="85"/>
    </row>
    <row r="776">
      <c r="B776" s="85"/>
    </row>
    <row r="777">
      <c r="B777" s="85"/>
    </row>
    <row r="778">
      <c r="B778" s="85"/>
    </row>
    <row r="779">
      <c r="B779" s="85"/>
    </row>
    <row r="780">
      <c r="B780" s="85"/>
    </row>
    <row r="781">
      <c r="B781" s="85"/>
    </row>
    <row r="782">
      <c r="B782" s="85"/>
    </row>
    <row r="783">
      <c r="B783" s="85"/>
    </row>
    <row r="784">
      <c r="B784" s="85"/>
    </row>
    <row r="785">
      <c r="B785" s="85"/>
    </row>
    <row r="786">
      <c r="B786" s="85"/>
    </row>
    <row r="787">
      <c r="B787" s="85"/>
    </row>
    <row r="788">
      <c r="B788" s="85"/>
    </row>
    <row r="789">
      <c r="B789" s="85"/>
    </row>
    <row r="790">
      <c r="B790" s="85"/>
    </row>
    <row r="791">
      <c r="B791" s="85"/>
    </row>
    <row r="792">
      <c r="B792" s="85"/>
    </row>
    <row r="793">
      <c r="B793" s="85"/>
    </row>
    <row r="794">
      <c r="B794" s="85"/>
    </row>
    <row r="795">
      <c r="B795" s="85"/>
    </row>
    <row r="796">
      <c r="B796" s="85"/>
    </row>
    <row r="797">
      <c r="B797" s="85"/>
    </row>
    <row r="798">
      <c r="B798" s="85"/>
    </row>
    <row r="799">
      <c r="B799" s="85"/>
    </row>
    <row r="800">
      <c r="B800" s="85"/>
    </row>
    <row r="801">
      <c r="B801" s="85"/>
    </row>
    <row r="802">
      <c r="B802" s="85"/>
    </row>
    <row r="803">
      <c r="B803" s="85"/>
    </row>
    <row r="804">
      <c r="B804" s="85"/>
    </row>
    <row r="805">
      <c r="B805" s="85"/>
    </row>
    <row r="806">
      <c r="B806" s="85"/>
    </row>
    <row r="807">
      <c r="B807" s="85"/>
    </row>
    <row r="808">
      <c r="B808" s="85"/>
    </row>
    <row r="809">
      <c r="B809" s="85"/>
    </row>
    <row r="810">
      <c r="B810" s="85"/>
    </row>
    <row r="811">
      <c r="B811" s="85"/>
    </row>
    <row r="812">
      <c r="B812" s="85"/>
    </row>
    <row r="813">
      <c r="B813" s="85"/>
    </row>
    <row r="814">
      <c r="B814" s="85"/>
    </row>
    <row r="815">
      <c r="B815" s="85"/>
    </row>
    <row r="816">
      <c r="B816" s="85"/>
    </row>
    <row r="817">
      <c r="B817" s="85"/>
    </row>
    <row r="818">
      <c r="B818" s="85"/>
    </row>
    <row r="819">
      <c r="B819" s="85"/>
    </row>
    <row r="820">
      <c r="B820" s="85"/>
    </row>
    <row r="821">
      <c r="B821" s="85"/>
    </row>
    <row r="822">
      <c r="B822" s="85"/>
    </row>
    <row r="823">
      <c r="B823" s="85"/>
    </row>
    <row r="824">
      <c r="B824" s="85"/>
    </row>
    <row r="825">
      <c r="B825" s="85"/>
    </row>
    <row r="826">
      <c r="B826" s="85"/>
    </row>
    <row r="827">
      <c r="B827" s="85"/>
    </row>
    <row r="828">
      <c r="B828" s="85"/>
    </row>
    <row r="829">
      <c r="B829" s="85"/>
    </row>
    <row r="830">
      <c r="B830" s="85"/>
    </row>
    <row r="831">
      <c r="B831" s="85"/>
    </row>
    <row r="832">
      <c r="B832" s="85"/>
    </row>
    <row r="833">
      <c r="B833" s="85"/>
    </row>
    <row r="834">
      <c r="B834" s="85"/>
    </row>
    <row r="835">
      <c r="B835" s="85"/>
    </row>
    <row r="836">
      <c r="B836" s="85"/>
    </row>
    <row r="837">
      <c r="B837" s="85"/>
    </row>
    <row r="838">
      <c r="B838" s="85"/>
    </row>
    <row r="839">
      <c r="B839" s="85"/>
    </row>
    <row r="840">
      <c r="B840" s="85"/>
    </row>
    <row r="841">
      <c r="B841" s="85"/>
    </row>
    <row r="842">
      <c r="B842" s="85"/>
    </row>
    <row r="843">
      <c r="B843" s="85"/>
    </row>
    <row r="844">
      <c r="B844" s="85"/>
    </row>
    <row r="845">
      <c r="B845" s="85"/>
    </row>
    <row r="846">
      <c r="B846" s="85"/>
    </row>
    <row r="847">
      <c r="B847" s="85"/>
    </row>
    <row r="848">
      <c r="B848" s="85"/>
    </row>
    <row r="849">
      <c r="B849" s="85"/>
    </row>
    <row r="850">
      <c r="B850" s="85"/>
    </row>
    <row r="851">
      <c r="B851" s="85"/>
    </row>
    <row r="852">
      <c r="B852" s="85"/>
    </row>
    <row r="853">
      <c r="B853" s="85"/>
    </row>
    <row r="854">
      <c r="B854" s="85"/>
    </row>
    <row r="855">
      <c r="B855" s="85"/>
    </row>
    <row r="856">
      <c r="B856" s="85"/>
    </row>
    <row r="857">
      <c r="B857" s="85"/>
    </row>
    <row r="858">
      <c r="B858" s="85"/>
    </row>
    <row r="859">
      <c r="B859" s="85"/>
    </row>
    <row r="860">
      <c r="B860" s="85"/>
    </row>
    <row r="861">
      <c r="B861" s="85"/>
    </row>
    <row r="862">
      <c r="B862" s="85"/>
    </row>
    <row r="863">
      <c r="B863" s="85"/>
    </row>
    <row r="864">
      <c r="B864" s="85"/>
    </row>
    <row r="865">
      <c r="B865" s="85"/>
    </row>
    <row r="866">
      <c r="B866" s="85"/>
    </row>
    <row r="867">
      <c r="B867" s="85"/>
    </row>
    <row r="868">
      <c r="B868" s="85"/>
    </row>
    <row r="869">
      <c r="B869" s="85"/>
    </row>
    <row r="870">
      <c r="B870" s="85"/>
    </row>
    <row r="871">
      <c r="B871" s="85"/>
    </row>
    <row r="872">
      <c r="B872" s="85"/>
    </row>
    <row r="873">
      <c r="B873" s="85"/>
    </row>
    <row r="874">
      <c r="B874" s="85"/>
    </row>
    <row r="875">
      <c r="B875" s="85"/>
    </row>
    <row r="876">
      <c r="B876" s="85"/>
    </row>
    <row r="877">
      <c r="B877" s="85"/>
    </row>
    <row r="878">
      <c r="B878" s="85"/>
    </row>
    <row r="879">
      <c r="B879" s="85"/>
    </row>
    <row r="880">
      <c r="B880" s="85"/>
    </row>
    <row r="881">
      <c r="B881" s="85"/>
    </row>
    <row r="882">
      <c r="B882" s="85"/>
    </row>
    <row r="883">
      <c r="B883" s="85"/>
    </row>
    <row r="884">
      <c r="B884" s="85"/>
    </row>
    <row r="885">
      <c r="B885" s="85"/>
    </row>
    <row r="886">
      <c r="B886" s="85"/>
    </row>
    <row r="887">
      <c r="B887" s="85"/>
    </row>
    <row r="888">
      <c r="B888" s="85"/>
    </row>
    <row r="889">
      <c r="B889" s="85"/>
    </row>
    <row r="890">
      <c r="B890" s="85"/>
    </row>
    <row r="891">
      <c r="B891" s="85"/>
    </row>
    <row r="892">
      <c r="B892" s="85"/>
    </row>
    <row r="893">
      <c r="B893" s="85"/>
    </row>
    <row r="894">
      <c r="B894" s="85"/>
    </row>
    <row r="895">
      <c r="B895" s="85"/>
    </row>
    <row r="896">
      <c r="B896" s="85"/>
    </row>
    <row r="897">
      <c r="B897" s="85"/>
    </row>
    <row r="898">
      <c r="B898" s="85"/>
    </row>
    <row r="899">
      <c r="B899" s="85"/>
    </row>
    <row r="900">
      <c r="B900" s="85"/>
    </row>
    <row r="901">
      <c r="B901" s="85"/>
    </row>
    <row r="902">
      <c r="B902" s="85"/>
    </row>
    <row r="903">
      <c r="B903" s="85"/>
    </row>
    <row r="904">
      <c r="B904" s="85"/>
    </row>
    <row r="905">
      <c r="B905" s="85"/>
    </row>
    <row r="906">
      <c r="B906" s="85"/>
    </row>
    <row r="907">
      <c r="B907" s="85"/>
    </row>
    <row r="908">
      <c r="B908" s="85"/>
    </row>
    <row r="909">
      <c r="B909" s="85"/>
    </row>
    <row r="910">
      <c r="B910" s="85"/>
    </row>
    <row r="911">
      <c r="B911" s="85"/>
    </row>
    <row r="912">
      <c r="B912" s="85"/>
    </row>
    <row r="913">
      <c r="B913" s="85"/>
    </row>
    <row r="914">
      <c r="B914" s="85"/>
    </row>
    <row r="915">
      <c r="B915" s="85"/>
    </row>
    <row r="916">
      <c r="B916" s="85"/>
    </row>
    <row r="917">
      <c r="B917" s="85"/>
    </row>
    <row r="918">
      <c r="B918" s="85"/>
    </row>
    <row r="919">
      <c r="B919" s="85"/>
    </row>
    <row r="920">
      <c r="B920" s="85"/>
    </row>
    <row r="921">
      <c r="B921" s="85"/>
    </row>
    <row r="922">
      <c r="B922" s="85"/>
    </row>
    <row r="923">
      <c r="B923" s="85"/>
    </row>
    <row r="924">
      <c r="B924" s="85"/>
    </row>
    <row r="925">
      <c r="B925" s="85"/>
    </row>
    <row r="926">
      <c r="B926" s="85"/>
    </row>
    <row r="927">
      <c r="B927" s="85"/>
    </row>
    <row r="928">
      <c r="B928" s="85"/>
    </row>
    <row r="929">
      <c r="B929" s="85"/>
    </row>
    <row r="930">
      <c r="B930" s="85"/>
    </row>
    <row r="931">
      <c r="B931" s="85"/>
    </row>
    <row r="932">
      <c r="B932" s="85"/>
    </row>
    <row r="933">
      <c r="B933" s="85"/>
    </row>
    <row r="934">
      <c r="B934" s="85"/>
    </row>
    <row r="935">
      <c r="B935" s="85"/>
    </row>
    <row r="936">
      <c r="B936" s="85"/>
    </row>
    <row r="937">
      <c r="B937" s="85"/>
    </row>
    <row r="938">
      <c r="B938" s="85"/>
    </row>
    <row r="939">
      <c r="B939" s="85"/>
    </row>
    <row r="940">
      <c r="B940" s="85"/>
    </row>
    <row r="941">
      <c r="B941" s="85"/>
    </row>
    <row r="942">
      <c r="B942" s="85"/>
    </row>
    <row r="943">
      <c r="B943" s="85"/>
    </row>
    <row r="944">
      <c r="B944" s="85"/>
    </row>
    <row r="945">
      <c r="B945" s="85"/>
    </row>
    <row r="946">
      <c r="B946" s="85"/>
    </row>
    <row r="947">
      <c r="B947" s="85"/>
    </row>
    <row r="948">
      <c r="B948" s="85"/>
    </row>
    <row r="949">
      <c r="B949" s="85"/>
    </row>
    <row r="950">
      <c r="B950" s="85"/>
    </row>
    <row r="951">
      <c r="B951" s="85"/>
    </row>
    <row r="952">
      <c r="B952" s="85"/>
    </row>
    <row r="953">
      <c r="B953" s="85"/>
    </row>
    <row r="954">
      <c r="B954" s="85"/>
    </row>
    <row r="955">
      <c r="B955" s="85"/>
    </row>
    <row r="956">
      <c r="B956" s="85"/>
    </row>
    <row r="957">
      <c r="B957" s="85"/>
    </row>
    <row r="958">
      <c r="B958" s="85"/>
    </row>
    <row r="959">
      <c r="B959" s="85"/>
    </row>
    <row r="960">
      <c r="B960" s="85"/>
    </row>
    <row r="961">
      <c r="B961" s="85"/>
    </row>
    <row r="962">
      <c r="B962" s="85"/>
    </row>
    <row r="963">
      <c r="B963" s="85"/>
    </row>
    <row r="964">
      <c r="B964" s="85"/>
    </row>
    <row r="965">
      <c r="B965" s="85"/>
    </row>
    <row r="966">
      <c r="B966" s="85"/>
    </row>
    <row r="967">
      <c r="B967" s="85"/>
    </row>
    <row r="968">
      <c r="B968" s="85"/>
    </row>
    <row r="969">
      <c r="B969" s="85"/>
    </row>
    <row r="970">
      <c r="B970" s="85"/>
    </row>
    <row r="971">
      <c r="B971" s="85"/>
    </row>
    <row r="972">
      <c r="B972" s="85"/>
    </row>
    <row r="973">
      <c r="B973" s="85"/>
    </row>
    <row r="974">
      <c r="B974" s="85"/>
    </row>
    <row r="975">
      <c r="B975" s="85"/>
    </row>
    <row r="976">
      <c r="B976" s="85"/>
    </row>
    <row r="977">
      <c r="B977" s="85"/>
    </row>
    <row r="978">
      <c r="B978" s="85"/>
    </row>
    <row r="979">
      <c r="B979" s="85"/>
    </row>
    <row r="980">
      <c r="B980" s="85"/>
    </row>
    <row r="981">
      <c r="B981" s="85"/>
    </row>
    <row r="982">
      <c r="B982" s="85"/>
    </row>
    <row r="983">
      <c r="B983" s="85"/>
    </row>
    <row r="984">
      <c r="B984" s="85"/>
    </row>
    <row r="985">
      <c r="B985" s="85"/>
    </row>
    <row r="986">
      <c r="B986" s="85"/>
    </row>
    <row r="987">
      <c r="B987" s="85"/>
    </row>
    <row r="988">
      <c r="B988" s="85"/>
    </row>
    <row r="989">
      <c r="B989" s="85"/>
    </row>
    <row r="990">
      <c r="B990" s="85"/>
    </row>
    <row r="991">
      <c r="B991" s="85"/>
    </row>
    <row r="992">
      <c r="B992" s="85"/>
    </row>
    <row r="993">
      <c r="B993" s="85"/>
    </row>
    <row r="994">
      <c r="B994" s="85"/>
    </row>
    <row r="995">
      <c r="B995" s="85"/>
    </row>
    <row r="996">
      <c r="B996" s="85"/>
    </row>
    <row r="997">
      <c r="B997" s="85"/>
    </row>
    <row r="998">
      <c r="B998" s="85"/>
    </row>
    <row r="999">
      <c r="B999" s="85"/>
    </row>
    <row r="1000">
      <c r="B1000" s="85"/>
    </row>
    <row r="1001">
      <c r="B1001" s="85"/>
    </row>
    <row r="1002">
      <c r="B1002" s="85"/>
    </row>
    <row r="1003">
      <c r="B1003" s="85"/>
    </row>
    <row r="1004">
      <c r="B1004" s="85"/>
    </row>
    <row r="1005">
      <c r="B1005" s="85"/>
    </row>
    <row r="1006">
      <c r="B1006" s="85"/>
    </row>
    <row r="1007">
      <c r="B1007" s="85"/>
    </row>
    <row r="1008">
      <c r="B1008" s="85"/>
    </row>
    <row r="1009">
      <c r="B1009" s="85"/>
    </row>
    <row r="1010">
      <c r="B1010" s="85"/>
    </row>
    <row r="1011">
      <c r="B1011" s="85"/>
    </row>
    <row r="1012">
      <c r="B1012" s="85"/>
    </row>
    <row r="1013">
      <c r="B1013" s="85"/>
    </row>
    <row r="1014">
      <c r="B1014" s="85"/>
    </row>
    <row r="1015">
      <c r="B1015" s="85"/>
    </row>
    <row r="1016">
      <c r="B1016" s="85"/>
    </row>
    <row r="1017">
      <c r="B1017" s="85"/>
    </row>
    <row r="1018">
      <c r="B1018" s="85"/>
    </row>
    <row r="1019">
      <c r="B1019" s="85"/>
    </row>
    <row r="1020">
      <c r="B1020" s="85"/>
    </row>
    <row r="1021">
      <c r="B1021" s="8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</cols>
  <sheetData>
    <row r="1">
      <c r="B1" s="86" t="s">
        <v>64</v>
      </c>
    </row>
    <row r="2">
      <c r="B2" s="87"/>
      <c r="C2" s="88">
        <v>2025.0</v>
      </c>
      <c r="D2" s="88">
        <v>2026.0</v>
      </c>
      <c r="E2" s="88">
        <v>2027.0</v>
      </c>
    </row>
    <row r="3">
      <c r="B3" s="66" t="s">
        <v>59</v>
      </c>
      <c r="C3" s="52">
        <f>Valuation!F5-Valuation!F7</f>
        <v>301287816.3</v>
      </c>
      <c r="D3" s="52">
        <f>Valuation!G5-Valuation!G7</f>
        <v>108380650.2</v>
      </c>
      <c r="E3" s="52">
        <f>Valuation!H5-Valuation!H7</f>
        <v>211156384.3</v>
      </c>
    </row>
    <row r="4">
      <c r="B4" s="69" t="s">
        <v>60</v>
      </c>
      <c r="C4" s="89">
        <f>C3/Valuation!F3</f>
        <v>0.236011987</v>
      </c>
      <c r="D4" s="89">
        <f>D3/Valuation!G3</f>
        <v>0.07190814103</v>
      </c>
      <c r="E4" s="89">
        <f>E3/Valuation!H3</f>
        <v>0.1186028894</v>
      </c>
    </row>
    <row r="5">
      <c r="B5" s="66" t="s">
        <v>65</v>
      </c>
      <c r="C5" s="57">
        <v>0.0</v>
      </c>
      <c r="D5" s="57">
        <v>0.0</v>
      </c>
      <c r="E5" s="57">
        <v>0.0</v>
      </c>
    </row>
    <row r="6">
      <c r="B6" s="84" t="s">
        <v>61</v>
      </c>
      <c r="C6" s="57">
        <v>0.0</v>
      </c>
      <c r="D6" s="57">
        <v>0.0</v>
      </c>
      <c r="E6" s="57">
        <v>0.0</v>
      </c>
    </row>
    <row r="7">
      <c r="B7" s="69" t="s">
        <v>62</v>
      </c>
      <c r="C7" s="52">
        <f>Valuation!F3-Valuation!F7</f>
        <v>375873448.9</v>
      </c>
      <c r="D7" s="52">
        <f>Valuation!G3-Valuation!G7</f>
        <v>185494735.8</v>
      </c>
      <c r="E7" s="52">
        <f>Valuation!H3-Valuation!H7</f>
        <v>290884637.3</v>
      </c>
    </row>
    <row r="8">
      <c r="B8" s="69" t="s">
        <v>63</v>
      </c>
      <c r="C8" s="89">
        <f>Valuation!F3/Valuation!F7</f>
        <v>1.417310272</v>
      </c>
      <c r="D8" s="89">
        <f>Valuation!G3/Valuation!G7</f>
        <v>1.140343974</v>
      </c>
      <c r="E8" s="89">
        <f>Valuation!H3/Valuation!H7</f>
        <v>1.195292751</v>
      </c>
    </row>
  </sheetData>
  <mergeCells count="1"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9.5"/>
    <col customWidth="1" min="2" max="2" width="26.88"/>
    <col customWidth="1" min="3" max="3" width="15.0"/>
    <col customWidth="1" min="4" max="4" width="14.38"/>
    <col customWidth="1" min="5" max="5" width="14.63"/>
    <col customWidth="1" min="6" max="7" width="14.88"/>
    <col customWidth="1" min="8" max="8" width="15.0"/>
    <col customWidth="1" min="9" max="9" width="15.25"/>
  </cols>
  <sheetData>
    <row r="1">
      <c r="A1" s="90">
        <v>1.0</v>
      </c>
      <c r="B1" s="91"/>
      <c r="C1" s="91"/>
      <c r="D1" s="92"/>
      <c r="E1" s="93"/>
      <c r="F1" s="92"/>
      <c r="G1" s="92"/>
      <c r="H1" s="92"/>
      <c r="I1" s="92"/>
      <c r="J1" s="92"/>
      <c r="K1" s="92"/>
      <c r="L1" s="92"/>
      <c r="M1" s="92"/>
      <c r="N1" s="92"/>
    </row>
    <row r="2">
      <c r="A2" s="91"/>
      <c r="B2" s="90" t="s">
        <v>28</v>
      </c>
      <c r="C2" s="94" t="s">
        <v>29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>
      <c r="A3" s="91"/>
      <c r="B3" s="90" t="s">
        <v>66</v>
      </c>
      <c r="C3" s="91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</row>
    <row r="4">
      <c r="A4" s="91"/>
      <c r="B4" s="91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</row>
    <row r="5">
      <c r="A5" s="91"/>
      <c r="B5" s="95"/>
      <c r="C5" s="96" t="s">
        <v>67</v>
      </c>
      <c r="D5" s="97">
        <v>2024.0</v>
      </c>
      <c r="E5" s="97">
        <v>2025.0</v>
      </c>
      <c r="F5" s="97">
        <v>2026.0</v>
      </c>
      <c r="G5" s="97">
        <v>2027.0</v>
      </c>
      <c r="H5" s="97" t="s">
        <v>17</v>
      </c>
      <c r="I5" s="92"/>
      <c r="J5" s="92"/>
      <c r="K5" s="92"/>
      <c r="L5" s="92"/>
      <c r="M5" s="92"/>
      <c r="N5" s="92"/>
    </row>
    <row r="6">
      <c r="A6" s="91"/>
      <c r="B6" s="98" t="s">
        <v>68</v>
      </c>
      <c r="C6" s="99"/>
      <c r="D6" s="99"/>
      <c r="E6" s="99"/>
      <c r="F6" s="99"/>
      <c r="G6" s="99"/>
      <c r="H6" s="99"/>
      <c r="I6" s="92"/>
      <c r="J6" s="92"/>
      <c r="K6" s="92"/>
      <c r="L6" s="92"/>
      <c r="M6" s="92"/>
      <c r="N6" s="92"/>
    </row>
    <row r="7">
      <c r="A7" s="100"/>
      <c r="B7" s="101" t="s">
        <v>31</v>
      </c>
      <c r="C7" s="102" t="s">
        <v>69</v>
      </c>
      <c r="D7" s="103"/>
      <c r="E7" s="104">
        <f>SUMPRODUCT(E10:E12,E15:E17)+(E21*750000)</f>
        <v>1276578449</v>
      </c>
      <c r="F7" s="104">
        <f t="shared" ref="F7:G7" si="1">SUMPRODUCT(F10:F12,F15:F17)+(F21*F20)</f>
        <v>1507209736</v>
      </c>
      <c r="G7" s="104">
        <f t="shared" si="1"/>
        <v>1780364587</v>
      </c>
      <c r="H7" s="104">
        <f>sum(E7:G7)</f>
        <v>4564152772</v>
      </c>
      <c r="I7" s="105"/>
      <c r="J7" s="105"/>
      <c r="K7" s="105"/>
      <c r="L7" s="105"/>
      <c r="M7" s="105"/>
      <c r="N7" s="105"/>
      <c r="O7" s="52"/>
      <c r="P7" s="52"/>
      <c r="Q7" s="52"/>
      <c r="R7" s="52"/>
      <c r="S7" s="52"/>
      <c r="T7" s="52"/>
      <c r="U7" s="52"/>
    </row>
    <row r="8">
      <c r="A8" s="106"/>
      <c r="B8" s="30" t="s">
        <v>32</v>
      </c>
      <c r="C8" s="106"/>
      <c r="D8" s="92"/>
      <c r="E8" s="107"/>
      <c r="F8" s="108"/>
      <c r="G8" s="108"/>
      <c r="H8" s="108"/>
      <c r="I8" s="108"/>
      <c r="J8" s="108"/>
      <c r="K8" s="108"/>
      <c r="L8" s="92"/>
      <c r="M8" s="92"/>
      <c r="N8" s="92"/>
    </row>
    <row r="9">
      <c r="A9" s="106"/>
      <c r="B9" s="109" t="s">
        <v>70</v>
      </c>
      <c r="C9" s="106"/>
      <c r="D9" s="92"/>
      <c r="E9" s="107">
        <f t="shared" ref="E9:G9" si="2">SUM(E10:E12)</f>
        <v>1468</v>
      </c>
      <c r="F9" s="107">
        <f t="shared" si="2"/>
        <v>1688.2</v>
      </c>
      <c r="G9" s="107">
        <f t="shared" si="2"/>
        <v>1941.43</v>
      </c>
      <c r="H9" s="107">
        <f>sum(E9:G9)</f>
        <v>5097.63</v>
      </c>
      <c r="I9" s="108"/>
      <c r="J9" s="108"/>
      <c r="K9" s="108"/>
      <c r="L9" s="92"/>
      <c r="M9" s="92"/>
      <c r="N9" s="92"/>
    </row>
    <row r="10">
      <c r="A10" s="91"/>
      <c r="B10" s="47" t="s">
        <v>34</v>
      </c>
      <c r="C10" s="110"/>
      <c r="D10" s="111"/>
      <c r="E10" s="44">
        <f>'12 Months 2025'!P8</f>
        <v>704</v>
      </c>
      <c r="F10" s="112">
        <f t="shared" ref="F10:G10" si="3">E10*(1+F13)</f>
        <v>809.6</v>
      </c>
      <c r="G10" s="112">
        <f t="shared" si="3"/>
        <v>931.04</v>
      </c>
      <c r="H10" s="112">
        <f t="shared" ref="H10:H12" si="5">SUM(E10:G10)</f>
        <v>2444.64</v>
      </c>
      <c r="I10" s="108"/>
      <c r="J10" s="108"/>
      <c r="K10" s="108"/>
      <c r="L10" s="92"/>
      <c r="M10" s="92"/>
      <c r="N10" s="92"/>
    </row>
    <row r="11">
      <c r="A11" s="91"/>
      <c r="B11" s="47" t="s">
        <v>35</v>
      </c>
      <c r="C11" s="110"/>
      <c r="D11" s="111"/>
      <c r="E11" s="44">
        <f>'12 Months 2025'!P9</f>
        <v>426</v>
      </c>
      <c r="F11" s="112">
        <f t="shared" ref="F11:G11" si="4">E11*(1+F13)</f>
        <v>489.9</v>
      </c>
      <c r="G11" s="112">
        <f t="shared" si="4"/>
        <v>563.385</v>
      </c>
      <c r="H11" s="112">
        <f t="shared" si="5"/>
        <v>1479.285</v>
      </c>
      <c r="I11" s="108"/>
      <c r="J11" s="108"/>
      <c r="K11" s="108"/>
      <c r="L11" s="92"/>
      <c r="M11" s="92"/>
      <c r="N11" s="92"/>
    </row>
    <row r="12">
      <c r="A12" s="91"/>
      <c r="B12" s="47" t="s">
        <v>36</v>
      </c>
      <c r="C12" s="110"/>
      <c r="D12" s="111"/>
      <c r="E12" s="44">
        <f>'12 Months 2025'!P10</f>
        <v>338</v>
      </c>
      <c r="F12" s="112">
        <f t="shared" ref="F12:G12" si="6">E12*(1+F13)</f>
        <v>388.7</v>
      </c>
      <c r="G12" s="112">
        <f t="shared" si="6"/>
        <v>447.005</v>
      </c>
      <c r="H12" s="112">
        <f t="shared" si="5"/>
        <v>1173.705</v>
      </c>
      <c r="I12" s="108"/>
      <c r="J12" s="108"/>
      <c r="K12" s="108"/>
      <c r="L12" s="92"/>
      <c r="M12" s="92"/>
      <c r="N12" s="92"/>
    </row>
    <row r="13">
      <c r="A13" s="91"/>
      <c r="B13" s="113" t="s">
        <v>71</v>
      </c>
      <c r="C13" s="114"/>
      <c r="D13" s="115"/>
      <c r="E13" s="116"/>
      <c r="F13" s="117">
        <v>0.15</v>
      </c>
      <c r="G13" s="117">
        <v>0.15</v>
      </c>
      <c r="H13" s="118"/>
      <c r="I13" s="92"/>
      <c r="J13" s="92"/>
      <c r="K13" s="92"/>
      <c r="L13" s="92"/>
      <c r="M13" s="92"/>
      <c r="N13" s="92"/>
    </row>
    <row r="14">
      <c r="A14" s="106"/>
      <c r="B14" s="119" t="s">
        <v>39</v>
      </c>
      <c r="C14" s="120"/>
      <c r="D14" s="92"/>
      <c r="E14" s="121"/>
      <c r="F14" s="121"/>
      <c r="G14" s="121"/>
      <c r="H14" s="121"/>
      <c r="I14" s="92"/>
      <c r="J14" s="92"/>
      <c r="K14" s="92"/>
      <c r="L14" s="92"/>
      <c r="M14" s="92"/>
      <c r="N14" s="92"/>
    </row>
    <row r="15">
      <c r="A15" s="106"/>
      <c r="B15" s="53" t="s">
        <v>34</v>
      </c>
      <c r="C15" s="122"/>
      <c r="D15" s="111"/>
      <c r="E15" s="55">
        <v>500000.0</v>
      </c>
      <c r="F15" s="123">
        <f t="shared" ref="F15:G15" si="7">E15*(1+F18)</f>
        <v>516950</v>
      </c>
      <c r="G15" s="123">
        <f t="shared" si="7"/>
        <v>534474.605</v>
      </c>
      <c r="H15" s="123"/>
      <c r="I15" s="92"/>
      <c r="J15" s="92"/>
      <c r="K15" s="92"/>
      <c r="L15" s="92"/>
      <c r="M15" s="92"/>
      <c r="N15" s="92"/>
    </row>
    <row r="16">
      <c r="A16" s="106"/>
      <c r="B16" s="53" t="s">
        <v>35</v>
      </c>
      <c r="C16" s="122"/>
      <c r="D16" s="111"/>
      <c r="E16" s="55">
        <v>700000.0</v>
      </c>
      <c r="F16" s="123">
        <f t="shared" ref="F16:G16" si="8">E16*(1+F18)</f>
        <v>723730</v>
      </c>
      <c r="G16" s="123">
        <f t="shared" si="8"/>
        <v>748264.447</v>
      </c>
      <c r="H16" s="123"/>
      <c r="I16" s="92"/>
      <c r="J16" s="92"/>
      <c r="K16" s="92"/>
      <c r="L16" s="92"/>
      <c r="M16" s="92"/>
      <c r="N16" s="92"/>
    </row>
    <row r="17">
      <c r="A17" s="106"/>
      <c r="B17" s="53" t="s">
        <v>36</v>
      </c>
      <c r="C17" s="122"/>
      <c r="D17" s="111"/>
      <c r="E17" s="55">
        <v>1500000.0</v>
      </c>
      <c r="F17" s="55">
        <f t="shared" ref="F17:G17" si="9">E17*(1+F18)</f>
        <v>1550850</v>
      </c>
      <c r="G17" s="55">
        <f t="shared" si="9"/>
        <v>1603423.815</v>
      </c>
      <c r="H17" s="55"/>
      <c r="I17" s="92"/>
      <c r="J17" s="92"/>
      <c r="K17" s="92"/>
      <c r="L17" s="92"/>
      <c r="M17" s="92"/>
      <c r="N17" s="92"/>
    </row>
    <row r="18">
      <c r="A18" s="106"/>
      <c r="B18" s="124" t="s">
        <v>72</v>
      </c>
      <c r="C18" s="120"/>
      <c r="D18" s="92"/>
      <c r="E18" s="121"/>
      <c r="F18" s="125">
        <v>0.0339</v>
      </c>
      <c r="G18" s="125">
        <v>0.0339</v>
      </c>
      <c r="H18" s="121"/>
      <c r="I18" s="92"/>
      <c r="J18" s="92"/>
      <c r="K18" s="92"/>
      <c r="L18" s="92"/>
      <c r="M18" s="92"/>
      <c r="N18" s="92"/>
    </row>
    <row r="19">
      <c r="A19" s="106"/>
      <c r="B19" s="126" t="s">
        <v>40</v>
      </c>
      <c r="C19" s="120"/>
      <c r="D19" s="92"/>
      <c r="E19" s="127"/>
      <c r="F19" s="127"/>
      <c r="G19" s="127"/>
      <c r="H19" s="127"/>
      <c r="I19" s="92"/>
      <c r="J19" s="92"/>
      <c r="K19" s="92"/>
      <c r="L19" s="92"/>
      <c r="M19" s="92"/>
      <c r="N19" s="92"/>
    </row>
    <row r="20">
      <c r="A20" s="128"/>
      <c r="B20" s="129" t="s">
        <v>73</v>
      </c>
      <c r="C20" s="130"/>
      <c r="D20" s="131"/>
      <c r="E20" s="123">
        <v>750000.0</v>
      </c>
      <c r="F20" s="123">
        <v>750000.0</v>
      </c>
      <c r="G20" s="123">
        <v>750000.0</v>
      </c>
      <c r="H20" s="123"/>
      <c r="I20" s="105"/>
      <c r="J20" s="105"/>
      <c r="K20" s="105"/>
      <c r="L20" s="105"/>
      <c r="M20" s="105"/>
      <c r="N20" s="105"/>
      <c r="O20" s="52"/>
      <c r="P20" s="52"/>
      <c r="Q20" s="52"/>
      <c r="R20" s="52"/>
      <c r="S20" s="52"/>
      <c r="T20" s="52"/>
      <c r="U20" s="52"/>
    </row>
    <row r="21">
      <c r="A21" s="106"/>
      <c r="B21" s="132" t="s">
        <v>74</v>
      </c>
      <c r="C21" s="122"/>
      <c r="D21" s="111"/>
      <c r="E21" s="133">
        <f>'12 Months 2025'!P18</f>
        <v>159.1712652</v>
      </c>
      <c r="F21" s="133">
        <f t="shared" ref="F21:G21" si="10">E21*(1+F22)</f>
        <v>175.0883917</v>
      </c>
      <c r="G21" s="133">
        <f t="shared" si="10"/>
        <v>192.5972309</v>
      </c>
      <c r="H21" s="133">
        <f>G21*(1+H22)*3</f>
        <v>577.7916927</v>
      </c>
      <c r="I21" s="92"/>
      <c r="J21" s="92"/>
      <c r="K21" s="92"/>
      <c r="L21" s="92"/>
      <c r="M21" s="92"/>
      <c r="N21" s="92"/>
    </row>
    <row r="22">
      <c r="A22" s="106"/>
      <c r="B22" s="124" t="s">
        <v>38</v>
      </c>
      <c r="C22" s="120"/>
      <c r="D22" s="92"/>
      <c r="E22" s="127"/>
      <c r="F22" s="134">
        <v>0.1</v>
      </c>
      <c r="G22" s="134">
        <v>0.1</v>
      </c>
      <c r="H22" s="135"/>
      <c r="I22" s="92"/>
      <c r="J22" s="92"/>
      <c r="K22" s="92"/>
      <c r="L22" s="92"/>
      <c r="M22" s="92"/>
      <c r="N22" s="92"/>
    </row>
    <row r="23">
      <c r="A23" s="100"/>
      <c r="B23" s="136" t="s">
        <v>41</v>
      </c>
      <c r="C23" s="137"/>
      <c r="D23" s="103"/>
      <c r="E23" s="138">
        <f>'12 Months 2025'!P21</f>
        <v>74585632.6</v>
      </c>
      <c r="F23" s="138">
        <f t="shared" ref="F23:G23" si="11">E23*(1+F24)</f>
        <v>77114085.55</v>
      </c>
      <c r="G23" s="138">
        <f t="shared" si="11"/>
        <v>79728253.05</v>
      </c>
      <c r="H23" s="138">
        <f>sum(E23:G23)</f>
        <v>231427971.2</v>
      </c>
      <c r="I23" s="105"/>
      <c r="J23" s="105"/>
      <c r="K23" s="105"/>
      <c r="L23" s="105"/>
      <c r="M23" s="105"/>
      <c r="N23" s="105"/>
      <c r="O23" s="52"/>
      <c r="P23" s="52"/>
      <c r="Q23" s="52"/>
      <c r="R23" s="52"/>
      <c r="S23" s="52"/>
      <c r="T23" s="52"/>
      <c r="U23" s="52"/>
    </row>
    <row r="24">
      <c r="A24" s="100"/>
      <c r="B24" s="139" t="s">
        <v>75</v>
      </c>
      <c r="C24" s="140"/>
      <c r="D24" s="105"/>
      <c r="E24" s="141"/>
      <c r="F24" s="142">
        <v>0.0339</v>
      </c>
      <c r="G24" s="142">
        <v>0.0339</v>
      </c>
      <c r="H24" s="143"/>
      <c r="I24" s="105"/>
      <c r="J24" s="105"/>
      <c r="K24" s="105"/>
      <c r="L24" s="105"/>
      <c r="M24" s="105"/>
      <c r="N24" s="105"/>
      <c r="O24" s="52"/>
      <c r="P24" s="52"/>
      <c r="Q24" s="52"/>
      <c r="R24" s="52"/>
      <c r="S24" s="52"/>
      <c r="T24" s="52"/>
      <c r="U24" s="52"/>
    </row>
    <row r="25">
      <c r="A25" s="91"/>
      <c r="B25" s="144" t="s">
        <v>76</v>
      </c>
      <c r="C25" s="145"/>
      <c r="D25" s="146"/>
      <c r="E25" s="104">
        <f t="shared" ref="E25:G25" si="12">E7-E23</f>
        <v>1201992816</v>
      </c>
      <c r="F25" s="104">
        <f t="shared" si="12"/>
        <v>1430095650</v>
      </c>
      <c r="G25" s="104">
        <f t="shared" si="12"/>
        <v>1700636334</v>
      </c>
      <c r="H25" s="104">
        <f>SUM(E25:G25)</f>
        <v>4332724801</v>
      </c>
      <c r="I25" s="147"/>
      <c r="J25" s="92"/>
      <c r="K25" s="92"/>
      <c r="L25" s="92"/>
      <c r="M25" s="92"/>
      <c r="N25" s="92"/>
    </row>
    <row r="26">
      <c r="A26" s="90"/>
      <c r="B26" s="72" t="s">
        <v>77</v>
      </c>
      <c r="C26" s="148"/>
      <c r="D26" s="111"/>
      <c r="E26" s="149">
        <f t="shared" ref="E26:G26" si="13">E25/E7</f>
        <v>0.9415737962</v>
      </c>
      <c r="F26" s="149">
        <f t="shared" si="13"/>
        <v>0.9488365264</v>
      </c>
      <c r="G26" s="149">
        <f t="shared" si="13"/>
        <v>0.955218019</v>
      </c>
      <c r="H26" s="149"/>
      <c r="I26" s="150"/>
      <c r="J26" s="92"/>
      <c r="K26" s="92"/>
      <c r="L26" s="92"/>
      <c r="M26" s="92"/>
      <c r="N26" s="92"/>
    </row>
    <row r="27">
      <c r="A27" s="91"/>
      <c r="B27" s="151"/>
      <c r="C27" s="15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</row>
    <row r="28">
      <c r="A28" s="91"/>
      <c r="B28" s="94" t="s">
        <v>78</v>
      </c>
      <c r="C28" s="15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</row>
    <row r="29">
      <c r="A29" s="91"/>
      <c r="B29" s="94" t="s">
        <v>79</v>
      </c>
      <c r="C29" s="94" t="s">
        <v>69</v>
      </c>
      <c r="D29" s="92"/>
      <c r="E29" s="153">
        <f>SUMPRODUCT(E31:E33,E36:E38)*9</f>
        <v>495000000</v>
      </c>
      <c r="F29" s="153">
        <f t="shared" ref="F29:G29" si="14">SUMPRODUCT(F31:F33,F36:F38)*12</f>
        <v>793800000</v>
      </c>
      <c r="G29" s="153">
        <f t="shared" si="14"/>
        <v>833490000</v>
      </c>
      <c r="H29" s="153">
        <f>sum(E29:G29)</f>
        <v>2122290000</v>
      </c>
      <c r="I29" s="154"/>
      <c r="J29" s="92"/>
      <c r="K29" s="92"/>
      <c r="L29" s="92"/>
      <c r="M29" s="92"/>
      <c r="N29" s="92"/>
    </row>
    <row r="30">
      <c r="A30" s="91"/>
      <c r="B30" s="72" t="s">
        <v>45</v>
      </c>
      <c r="C30" s="155"/>
      <c r="D30" s="111"/>
      <c r="E30" s="156">
        <v>6.0</v>
      </c>
      <c r="F30" s="156">
        <f t="shared" ref="F30:G30" si="15">SUM(F31:F33)</f>
        <v>7</v>
      </c>
      <c r="G30" s="156">
        <f t="shared" si="15"/>
        <v>7</v>
      </c>
      <c r="H30" s="156">
        <v>9.0</v>
      </c>
      <c r="I30" s="92"/>
      <c r="J30" s="92"/>
      <c r="K30" s="92"/>
      <c r="L30" s="92"/>
      <c r="M30" s="92"/>
      <c r="N30" s="92"/>
    </row>
    <row r="31">
      <c r="A31" s="91"/>
      <c r="B31" s="74" t="s">
        <v>46</v>
      </c>
      <c r="C31" s="72" t="s">
        <v>80</v>
      </c>
      <c r="D31" s="111"/>
      <c r="E31" s="156">
        <v>1.0</v>
      </c>
      <c r="F31" s="156">
        <v>1.0</v>
      </c>
      <c r="G31" s="156">
        <v>1.0</v>
      </c>
      <c r="H31" s="156">
        <v>1.0</v>
      </c>
      <c r="I31" s="92"/>
      <c r="J31" s="92"/>
      <c r="K31" s="92"/>
      <c r="L31" s="92"/>
      <c r="M31" s="92"/>
      <c r="N31" s="92"/>
    </row>
    <row r="32">
      <c r="A32" s="91"/>
      <c r="B32" s="74" t="s">
        <v>47</v>
      </c>
      <c r="C32" s="72" t="s">
        <v>80</v>
      </c>
      <c r="D32" s="111"/>
      <c r="E32" s="156">
        <v>2.0</v>
      </c>
      <c r="F32" s="156">
        <v>3.0</v>
      </c>
      <c r="G32" s="156">
        <v>3.0</v>
      </c>
      <c r="H32" s="156">
        <v>3.0</v>
      </c>
      <c r="I32" s="92"/>
      <c r="J32" s="92"/>
      <c r="K32" s="92"/>
      <c r="L32" s="92"/>
      <c r="M32" s="92"/>
      <c r="N32" s="92"/>
    </row>
    <row r="33">
      <c r="A33" s="91"/>
      <c r="B33" s="74" t="s">
        <v>48</v>
      </c>
      <c r="C33" s="72" t="s">
        <v>80</v>
      </c>
      <c r="D33" s="157"/>
      <c r="E33" s="156">
        <v>3.0</v>
      </c>
      <c r="F33" s="156">
        <v>3.0</v>
      </c>
      <c r="G33" s="156">
        <v>3.0</v>
      </c>
      <c r="H33" s="156">
        <v>3.0</v>
      </c>
      <c r="I33" s="92"/>
      <c r="J33" s="92"/>
      <c r="K33" s="92"/>
      <c r="L33" s="92"/>
      <c r="M33" s="92"/>
      <c r="N33" s="92"/>
    </row>
    <row r="34">
      <c r="A34" s="91"/>
      <c r="B34" s="75" t="s">
        <v>49</v>
      </c>
      <c r="C34" s="151"/>
      <c r="D34" s="115"/>
      <c r="E34" s="158"/>
      <c r="F34" s="158"/>
      <c r="G34" s="158"/>
      <c r="H34" s="158"/>
      <c r="I34" s="92"/>
      <c r="J34" s="92"/>
      <c r="K34" s="92"/>
      <c r="L34" s="92"/>
      <c r="M34" s="92"/>
      <c r="N34" s="92"/>
    </row>
    <row r="35">
      <c r="A35" s="91"/>
      <c r="B35" s="159"/>
      <c r="C35" s="90"/>
      <c r="D35" s="127"/>
      <c r="E35" s="127"/>
      <c r="F35" s="154"/>
      <c r="G35" s="154"/>
      <c r="H35" s="154"/>
      <c r="I35" s="92"/>
      <c r="J35" s="92"/>
      <c r="K35" s="92"/>
      <c r="L35" s="92"/>
      <c r="M35" s="92"/>
      <c r="N35" s="92"/>
    </row>
    <row r="36">
      <c r="A36" s="91"/>
      <c r="B36" s="74" t="s">
        <v>81</v>
      </c>
      <c r="C36" s="122" t="s">
        <v>69</v>
      </c>
      <c r="D36" s="133" t="s">
        <v>82</v>
      </c>
      <c r="E36" s="123">
        <v>1.2E7</v>
      </c>
      <c r="F36" s="123">
        <f t="shared" ref="F36:G36" si="16">E36*(1+F39)</f>
        <v>12600000</v>
      </c>
      <c r="G36" s="123">
        <f t="shared" si="16"/>
        <v>13230000</v>
      </c>
      <c r="H36" s="123">
        <f t="shared" ref="H36:H38" si="18">sum(E36:G36)</f>
        <v>37830000</v>
      </c>
      <c r="I36" s="92"/>
      <c r="J36" s="92"/>
      <c r="K36" s="92"/>
      <c r="L36" s="92"/>
      <c r="M36" s="92"/>
      <c r="N36" s="92"/>
    </row>
    <row r="37">
      <c r="A37" s="91"/>
      <c r="B37" s="74" t="s">
        <v>47</v>
      </c>
      <c r="C37" s="122" t="s">
        <v>69</v>
      </c>
      <c r="D37" s="133" t="s">
        <v>82</v>
      </c>
      <c r="E37" s="123">
        <v>8000000.0</v>
      </c>
      <c r="F37" s="123">
        <f t="shared" ref="F37:G37" si="17">E37*(1+F39)</f>
        <v>8400000</v>
      </c>
      <c r="G37" s="123">
        <f t="shared" si="17"/>
        <v>8820000</v>
      </c>
      <c r="H37" s="123">
        <f t="shared" si="18"/>
        <v>25220000</v>
      </c>
      <c r="I37" s="92"/>
      <c r="J37" s="92"/>
      <c r="K37" s="92"/>
      <c r="L37" s="92"/>
      <c r="M37" s="92"/>
      <c r="N37" s="92"/>
    </row>
    <row r="38">
      <c r="A38" s="91"/>
      <c r="B38" s="74" t="s">
        <v>48</v>
      </c>
      <c r="C38" s="122" t="s">
        <v>69</v>
      </c>
      <c r="D38" s="133" t="s">
        <v>82</v>
      </c>
      <c r="E38" s="123">
        <f>9000000</f>
        <v>9000000</v>
      </c>
      <c r="F38" s="123">
        <f t="shared" ref="F38:G38" si="19">E38*(1+F39)</f>
        <v>9450000</v>
      </c>
      <c r="G38" s="123">
        <f t="shared" si="19"/>
        <v>9922500</v>
      </c>
      <c r="H38" s="123">
        <f t="shared" si="18"/>
        <v>28372500</v>
      </c>
      <c r="I38" s="92"/>
      <c r="J38" s="92"/>
      <c r="K38" s="92"/>
      <c r="L38" s="92"/>
      <c r="M38" s="92"/>
      <c r="N38" s="92"/>
    </row>
    <row r="39">
      <c r="A39" s="91"/>
      <c r="B39" s="160" t="s">
        <v>83</v>
      </c>
      <c r="C39" s="91"/>
      <c r="D39" s="92"/>
      <c r="E39" s="121"/>
      <c r="F39" s="161">
        <v>0.05</v>
      </c>
      <c r="G39" s="161">
        <v>0.05</v>
      </c>
      <c r="H39" s="162"/>
      <c r="I39" s="92"/>
      <c r="J39" s="92"/>
      <c r="K39" s="92"/>
      <c r="L39" s="92"/>
      <c r="M39" s="92"/>
      <c r="N39" s="92"/>
    </row>
    <row r="40">
      <c r="A40" s="106"/>
      <c r="B40" s="163"/>
      <c r="C40" s="106"/>
      <c r="D40" s="92"/>
      <c r="E40" s="121"/>
      <c r="F40" s="164"/>
      <c r="G40" s="165"/>
      <c r="H40" s="165"/>
      <c r="I40" s="92"/>
      <c r="J40" s="92"/>
      <c r="K40" s="92"/>
      <c r="L40" s="92"/>
      <c r="M40" s="92"/>
      <c r="N40" s="92"/>
    </row>
    <row r="41">
      <c r="A41" s="128"/>
      <c r="B41" s="101" t="s">
        <v>84</v>
      </c>
      <c r="C41" s="166"/>
      <c r="D41" s="103"/>
      <c r="E41" s="167">
        <f>E42</f>
        <v>220840000</v>
      </c>
      <c r="F41" s="167">
        <f t="shared" ref="F41:G41" si="20">E41*(1+20%)</f>
        <v>265008000</v>
      </c>
      <c r="G41" s="167">
        <f t="shared" si="20"/>
        <v>318009600</v>
      </c>
      <c r="H41" s="167">
        <f t="shared" ref="H41:H42" si="22">SUM(E41:G41)</f>
        <v>803857600</v>
      </c>
      <c r="I41" s="105"/>
      <c r="J41" s="105"/>
      <c r="K41" s="105"/>
      <c r="L41" s="105"/>
      <c r="M41" s="105"/>
      <c r="N41" s="105"/>
      <c r="O41" s="52"/>
      <c r="P41" s="52"/>
      <c r="Q41" s="52"/>
      <c r="R41" s="52"/>
      <c r="S41" s="52"/>
      <c r="T41" s="52"/>
      <c r="U41" s="52"/>
    </row>
    <row r="42">
      <c r="A42" s="91"/>
      <c r="B42" s="122" t="s">
        <v>85</v>
      </c>
      <c r="C42" s="122"/>
      <c r="D42" s="111"/>
      <c r="E42" s="123">
        <f>'12 Months 2025'!P39</f>
        <v>220840000</v>
      </c>
      <c r="F42" s="123">
        <f t="shared" ref="F42:G42" si="21">E42*(1+20%)</f>
        <v>265008000</v>
      </c>
      <c r="G42" s="123">
        <f t="shared" si="21"/>
        <v>318009600</v>
      </c>
      <c r="H42" s="123">
        <f t="shared" si="22"/>
        <v>803857600</v>
      </c>
      <c r="I42" s="92"/>
      <c r="J42" s="92"/>
      <c r="K42" s="92"/>
      <c r="L42" s="92"/>
      <c r="M42" s="92"/>
      <c r="N42" s="92"/>
    </row>
    <row r="43">
      <c r="A43" s="100"/>
      <c r="B43" s="101" t="s">
        <v>50</v>
      </c>
      <c r="C43" s="101"/>
      <c r="D43" s="103"/>
      <c r="E43" s="104">
        <f t="shared" ref="E43:G43" si="23">sum(E44:E48)</f>
        <v>405705000</v>
      </c>
      <c r="F43" s="104">
        <f t="shared" si="23"/>
        <v>527915000</v>
      </c>
      <c r="G43" s="104">
        <f t="shared" si="23"/>
        <v>655989950</v>
      </c>
      <c r="H43" s="104">
        <f>sum(E43:G43)</f>
        <v>1589609950</v>
      </c>
      <c r="I43" s="105"/>
      <c r="J43" s="105"/>
      <c r="K43" s="105"/>
      <c r="L43" s="105"/>
      <c r="M43" s="105"/>
      <c r="N43" s="105"/>
      <c r="O43" s="105"/>
      <c r="P43" s="105"/>
      <c r="Q43" s="52"/>
      <c r="R43" s="52"/>
      <c r="S43" s="52"/>
      <c r="T43" s="52"/>
      <c r="U43" s="52"/>
    </row>
    <row r="44">
      <c r="A44" s="168"/>
      <c r="B44" s="130" t="s">
        <v>86</v>
      </c>
      <c r="C44" s="169"/>
      <c r="D44" s="131"/>
      <c r="E44" s="123">
        <f t="shared" ref="E44:G44" si="24">E29*21.5%</f>
        <v>106425000</v>
      </c>
      <c r="F44" s="123">
        <f t="shared" si="24"/>
        <v>170667000</v>
      </c>
      <c r="G44" s="123">
        <f t="shared" si="24"/>
        <v>179200350</v>
      </c>
      <c r="H44" s="123">
        <f t="shared" ref="H44:H48" si="26">SUM(E44:G44)</f>
        <v>456292350</v>
      </c>
      <c r="I44" s="105"/>
      <c r="J44" s="105"/>
      <c r="K44" s="105"/>
      <c r="L44" s="105"/>
      <c r="M44" s="105"/>
      <c r="N44" s="105"/>
      <c r="O44" s="52"/>
      <c r="P44" s="52"/>
      <c r="Q44" s="52"/>
      <c r="R44" s="52"/>
      <c r="S44" s="52"/>
      <c r="T44" s="52"/>
      <c r="U44" s="52"/>
    </row>
    <row r="45">
      <c r="A45" s="91"/>
      <c r="B45" s="170" t="s">
        <v>87</v>
      </c>
      <c r="C45" s="148"/>
      <c r="D45" s="111"/>
      <c r="E45" s="131">
        <f t="shared" ref="E45:G45" si="25">E41</f>
        <v>220840000</v>
      </c>
      <c r="F45" s="131">
        <f t="shared" si="25"/>
        <v>265008000</v>
      </c>
      <c r="G45" s="131">
        <f t="shared" si="25"/>
        <v>318009600</v>
      </c>
      <c r="H45" s="133">
        <f t="shared" si="26"/>
        <v>803857600</v>
      </c>
      <c r="I45" s="92"/>
      <c r="J45" s="92"/>
      <c r="K45" s="92"/>
      <c r="L45" s="92"/>
      <c r="M45" s="92"/>
      <c r="N45" s="92"/>
    </row>
    <row r="46">
      <c r="A46" s="100"/>
      <c r="B46" s="171" t="s">
        <v>53</v>
      </c>
      <c r="C46" s="169"/>
      <c r="D46" s="131"/>
      <c r="E46" s="123">
        <v>6120000.0</v>
      </c>
      <c r="F46" s="123">
        <v>6120000.0</v>
      </c>
      <c r="G46" s="123">
        <v>7500000.0</v>
      </c>
      <c r="H46" s="123">
        <f t="shared" si="26"/>
        <v>19740000</v>
      </c>
      <c r="I46" s="105"/>
      <c r="J46" s="105"/>
      <c r="K46" s="105"/>
      <c r="L46" s="105"/>
      <c r="M46" s="105"/>
      <c r="N46" s="105"/>
      <c r="O46" s="52"/>
      <c r="P46" s="52"/>
      <c r="Q46" s="52"/>
      <c r="R46" s="52"/>
      <c r="S46" s="52"/>
      <c r="T46" s="52"/>
      <c r="U46" s="52"/>
    </row>
    <row r="47">
      <c r="A47" s="100"/>
      <c r="B47" s="171" t="s">
        <v>55</v>
      </c>
      <c r="C47" s="169"/>
      <c r="D47" s="131"/>
      <c r="E47" s="123">
        <v>920000.0</v>
      </c>
      <c r="F47" s="123">
        <v>920000.0</v>
      </c>
      <c r="G47" s="123">
        <v>920000.0</v>
      </c>
      <c r="H47" s="123">
        <f t="shared" si="26"/>
        <v>2760000</v>
      </c>
      <c r="I47" s="141"/>
      <c r="J47" s="141"/>
      <c r="K47" s="141"/>
      <c r="L47" s="141"/>
      <c r="M47" s="141"/>
      <c r="N47" s="141"/>
      <c r="O47" s="52"/>
      <c r="P47" s="52"/>
      <c r="Q47" s="52"/>
      <c r="R47" s="52"/>
      <c r="S47" s="52"/>
      <c r="T47" s="52"/>
      <c r="U47" s="52"/>
    </row>
    <row r="48">
      <c r="A48" s="100"/>
      <c r="B48" s="171" t="s">
        <v>88</v>
      </c>
      <c r="C48" s="169"/>
      <c r="D48" s="131"/>
      <c r="E48" s="123">
        <v>7.14E7</v>
      </c>
      <c r="F48" s="123">
        <v>8.52E7</v>
      </c>
      <c r="G48" s="123">
        <v>1.5036E8</v>
      </c>
      <c r="H48" s="123">
        <f t="shared" si="26"/>
        <v>306960000</v>
      </c>
      <c r="I48" s="105"/>
      <c r="J48" s="105"/>
      <c r="K48" s="105"/>
      <c r="L48" s="105"/>
      <c r="M48" s="105"/>
      <c r="N48" s="105"/>
      <c r="O48" s="52"/>
      <c r="P48" s="52"/>
      <c r="Q48" s="52"/>
      <c r="R48" s="52"/>
      <c r="S48" s="52"/>
      <c r="T48" s="52"/>
      <c r="U48" s="52"/>
    </row>
    <row r="49">
      <c r="A49" s="91"/>
      <c r="B49" s="94" t="s">
        <v>89</v>
      </c>
      <c r="C49" s="94"/>
      <c r="D49" s="92"/>
      <c r="E49" s="172">
        <v>0.0</v>
      </c>
      <c r="F49" s="172">
        <v>0.0</v>
      </c>
      <c r="G49" s="172">
        <v>0.0</v>
      </c>
      <c r="H49" s="172">
        <v>0.0</v>
      </c>
      <c r="I49" s="92"/>
      <c r="J49" s="92"/>
      <c r="K49" s="92"/>
      <c r="L49" s="92"/>
      <c r="M49" s="92"/>
      <c r="N49" s="92"/>
    </row>
    <row r="50">
      <c r="A50" s="91"/>
      <c r="B50" s="94" t="s">
        <v>90</v>
      </c>
      <c r="C50" s="94"/>
      <c r="D50" s="92"/>
      <c r="E50" s="172">
        <v>0.0</v>
      </c>
      <c r="F50" s="172">
        <v>0.0</v>
      </c>
      <c r="G50" s="172">
        <v>0.0</v>
      </c>
      <c r="H50" s="172">
        <v>0.0</v>
      </c>
      <c r="I50" s="92"/>
      <c r="J50" s="92"/>
      <c r="K50" s="92"/>
      <c r="L50" s="92"/>
      <c r="M50" s="92"/>
      <c r="N50" s="92"/>
    </row>
    <row r="51">
      <c r="A51" s="91"/>
      <c r="B51" s="94" t="s">
        <v>91</v>
      </c>
      <c r="C51" s="91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</row>
    <row r="52">
      <c r="A52" s="91"/>
      <c r="B52" s="94" t="s">
        <v>92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</row>
    <row r="53">
      <c r="A53" s="91"/>
      <c r="B53" s="94" t="s">
        <v>93</v>
      </c>
      <c r="C53" s="91"/>
      <c r="D53" s="173">
        <v>0.0</v>
      </c>
      <c r="E53" s="173">
        <v>0.0</v>
      </c>
      <c r="F53" s="173">
        <v>0.0</v>
      </c>
      <c r="G53" s="173">
        <v>0.0</v>
      </c>
      <c r="H53" s="173">
        <v>0.0</v>
      </c>
      <c r="I53" s="92"/>
      <c r="J53" s="92"/>
      <c r="K53" s="92"/>
      <c r="L53" s="92"/>
      <c r="M53" s="92"/>
      <c r="N53" s="92"/>
    </row>
    <row r="54">
      <c r="A54" s="91"/>
      <c r="B54" s="94" t="s">
        <v>94</v>
      </c>
      <c r="C54" s="91"/>
      <c r="D54" s="92"/>
      <c r="E54" s="174">
        <v>1.0</v>
      </c>
      <c r="F54" s="174">
        <v>1.0</v>
      </c>
      <c r="G54" s="174">
        <v>1.0</v>
      </c>
      <c r="H54" s="174">
        <v>1.0</v>
      </c>
      <c r="I54" s="92"/>
      <c r="J54" s="92"/>
      <c r="K54" s="92"/>
      <c r="L54" s="92"/>
      <c r="M54" s="92"/>
      <c r="N54" s="92"/>
    </row>
    <row r="55">
      <c r="A55" s="91"/>
      <c r="B55" s="175" t="s">
        <v>95</v>
      </c>
      <c r="C55" s="175"/>
      <c r="D55" s="176">
        <v>3.0E8</v>
      </c>
      <c r="E55" s="177">
        <f t="shared" ref="E55:H55" si="27">0</f>
        <v>0</v>
      </c>
      <c r="F55" s="177">
        <f t="shared" si="27"/>
        <v>0</v>
      </c>
      <c r="G55" s="177">
        <f t="shared" si="27"/>
        <v>0</v>
      </c>
      <c r="H55" s="177">
        <f t="shared" si="27"/>
        <v>0</v>
      </c>
      <c r="I55" s="92"/>
      <c r="J55" s="92"/>
      <c r="K55" s="92"/>
      <c r="L55" s="92"/>
      <c r="M55" s="92"/>
      <c r="N55" s="92"/>
    </row>
    <row r="56">
      <c r="A56" s="91"/>
      <c r="B56" s="160" t="s">
        <v>96</v>
      </c>
      <c r="C56" s="91"/>
      <c r="D56" s="178"/>
      <c r="E56" s="178"/>
      <c r="F56" s="178"/>
      <c r="G56" s="178"/>
      <c r="H56" s="179"/>
      <c r="I56" s="92"/>
      <c r="J56" s="92"/>
      <c r="K56" s="92"/>
      <c r="L56" s="92"/>
      <c r="M56" s="92"/>
      <c r="N56" s="92"/>
    </row>
    <row r="57">
      <c r="A57" s="91"/>
      <c r="B57" s="160" t="s">
        <v>97</v>
      </c>
      <c r="C57" s="9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</row>
    <row r="58">
      <c r="A58" s="90"/>
      <c r="B58" s="94" t="s">
        <v>98</v>
      </c>
      <c r="C58" s="91"/>
      <c r="D58" s="180">
        <f>0</f>
        <v>0</v>
      </c>
      <c r="E58" s="92"/>
      <c r="F58" s="92"/>
      <c r="G58" s="92"/>
      <c r="H58" s="92"/>
      <c r="I58" s="92"/>
      <c r="J58" s="92"/>
      <c r="K58" s="92"/>
      <c r="L58" s="92"/>
      <c r="M58" s="92"/>
      <c r="N58" s="92"/>
    </row>
    <row r="59">
      <c r="A59" s="91"/>
      <c r="B59" s="94" t="s">
        <v>99</v>
      </c>
      <c r="C59" s="91"/>
      <c r="D59" s="181">
        <v>3.0E8</v>
      </c>
      <c r="E59" s="92"/>
      <c r="F59" s="92"/>
      <c r="G59" s="92"/>
      <c r="H59" s="92"/>
      <c r="I59" s="92"/>
      <c r="J59" s="92"/>
      <c r="K59" s="92"/>
      <c r="L59" s="92"/>
      <c r="M59" s="92"/>
      <c r="N59" s="92"/>
    </row>
    <row r="60">
      <c r="A60" s="91"/>
      <c r="B60" s="94" t="s">
        <v>100</v>
      </c>
      <c r="C60" s="91"/>
      <c r="D60" s="182">
        <f>SUM(D58:D59)</f>
        <v>300000000</v>
      </c>
      <c r="E60" s="92"/>
      <c r="F60" s="92"/>
      <c r="G60" s="92"/>
      <c r="H60" s="92"/>
      <c r="I60" s="92"/>
      <c r="J60" s="92"/>
      <c r="K60" s="92"/>
      <c r="L60" s="92"/>
      <c r="M60" s="92"/>
      <c r="N60" s="92"/>
    </row>
    <row r="61">
      <c r="A61" s="91"/>
      <c r="B61" s="91"/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</row>
    <row r="62">
      <c r="A62" s="91"/>
      <c r="B62" s="94" t="s">
        <v>101</v>
      </c>
      <c r="C62" s="91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</row>
    <row r="63">
      <c r="A63" s="100"/>
      <c r="B63" s="183" t="s">
        <v>102</v>
      </c>
      <c r="C63" s="184"/>
      <c r="D63" s="182"/>
      <c r="E63" s="176">
        <f t="shared" ref="E63:G63" si="28">D66</f>
        <v>0</v>
      </c>
      <c r="F63" s="182">
        <f t="shared" si="28"/>
        <v>241030253</v>
      </c>
      <c r="G63" s="182">
        <f t="shared" si="28"/>
        <v>327734773.2</v>
      </c>
      <c r="H63" s="182">
        <f t="shared" ref="H63:H64" si="29">sum(D63:G63)</f>
        <v>568765026.3</v>
      </c>
      <c r="I63" s="105"/>
      <c r="J63" s="105"/>
      <c r="K63" s="105"/>
      <c r="L63" s="105"/>
      <c r="M63" s="105"/>
      <c r="N63" s="105"/>
      <c r="O63" s="52"/>
      <c r="P63" s="52"/>
      <c r="Q63" s="52"/>
      <c r="R63" s="52"/>
      <c r="S63" s="52"/>
      <c r="T63" s="52"/>
      <c r="U63" s="52"/>
    </row>
    <row r="64">
      <c r="A64" s="100"/>
      <c r="B64" s="183" t="s">
        <v>103</v>
      </c>
      <c r="C64" s="184"/>
      <c r="D64" s="182">
        <f>Valuation!E20</f>
        <v>0</v>
      </c>
      <c r="E64" s="182">
        <f>Valuation!F20</f>
        <v>241030253</v>
      </c>
      <c r="F64" s="182">
        <f>Valuation!G20</f>
        <v>86704520.2</v>
      </c>
      <c r="G64" s="182">
        <f>Valuation!H20</f>
        <v>168925107.4</v>
      </c>
      <c r="H64" s="182">
        <f t="shared" si="29"/>
        <v>496659880.6</v>
      </c>
      <c r="I64" s="105"/>
      <c r="J64" s="105"/>
      <c r="K64" s="105"/>
      <c r="L64" s="105"/>
      <c r="M64" s="105"/>
      <c r="N64" s="105"/>
      <c r="O64" s="52"/>
      <c r="P64" s="52"/>
      <c r="Q64" s="52"/>
      <c r="R64" s="52"/>
      <c r="S64" s="52"/>
      <c r="T64" s="52"/>
      <c r="U64" s="52"/>
    </row>
    <row r="65">
      <c r="A65" s="100"/>
      <c r="B65" s="183" t="s">
        <v>104</v>
      </c>
      <c r="C65" s="184"/>
      <c r="D65" s="182"/>
      <c r="E65" s="182"/>
      <c r="F65" s="182"/>
      <c r="G65" s="182"/>
      <c r="H65" s="182"/>
      <c r="I65" s="105"/>
      <c r="J65" s="105"/>
      <c r="K65" s="105"/>
      <c r="L65" s="105"/>
      <c r="M65" s="105"/>
      <c r="N65" s="105"/>
      <c r="O65" s="52"/>
      <c r="P65" s="52"/>
      <c r="Q65" s="52"/>
      <c r="R65" s="52"/>
      <c r="S65" s="52"/>
      <c r="T65" s="52"/>
      <c r="U65" s="52"/>
    </row>
    <row r="66">
      <c r="A66" s="100"/>
      <c r="B66" s="183" t="s">
        <v>105</v>
      </c>
      <c r="C66" s="184"/>
      <c r="D66" s="182">
        <f t="shared" ref="D66:G66" si="30">D63+D64+D65</f>
        <v>0</v>
      </c>
      <c r="E66" s="182">
        <f t="shared" si="30"/>
        <v>241030253</v>
      </c>
      <c r="F66" s="182">
        <f t="shared" si="30"/>
        <v>327734773.2</v>
      </c>
      <c r="G66" s="182">
        <f t="shared" si="30"/>
        <v>496659880.6</v>
      </c>
      <c r="H66" s="182">
        <f>sum(D66:G66)</f>
        <v>1065424907</v>
      </c>
      <c r="I66" s="105"/>
      <c r="J66" s="105"/>
      <c r="K66" s="105"/>
      <c r="L66" s="105"/>
      <c r="M66" s="105"/>
      <c r="N66" s="105"/>
      <c r="O66" s="52"/>
      <c r="P66" s="52"/>
      <c r="Q66" s="52"/>
      <c r="R66" s="52"/>
      <c r="S66" s="52"/>
      <c r="T66" s="52"/>
      <c r="U66" s="52"/>
    </row>
    <row r="67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</row>
    <row r="68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</row>
    <row r="69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</row>
    <row r="70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</row>
    <row r="7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</row>
    <row r="7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</row>
    <row r="7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38"/>
    <col customWidth="1" min="2" max="2" width="9.63"/>
    <col customWidth="1" min="3" max="3" width="39.0"/>
    <col customWidth="1" min="4" max="4" width="10.5"/>
    <col customWidth="1" min="5" max="5" width="14.5"/>
    <col customWidth="1" min="6" max="6" width="15.38"/>
    <col customWidth="1" min="7" max="7" width="15.75"/>
    <col customWidth="1" min="8" max="8" width="15.13"/>
  </cols>
  <sheetData>
    <row r="1" ht="12.0" customHeight="1">
      <c r="A1" s="185"/>
      <c r="B1" s="186"/>
      <c r="C1" s="187"/>
      <c r="D1" s="187"/>
      <c r="E1" s="187"/>
      <c r="F1" s="187"/>
      <c r="G1" s="187"/>
      <c r="H1" s="187"/>
    </row>
    <row r="2" ht="24.75" customHeight="1">
      <c r="A2" s="185"/>
      <c r="B2" s="188"/>
      <c r="C2" s="189" t="s">
        <v>68</v>
      </c>
      <c r="D2" s="190"/>
      <c r="E2" s="191">
        <v>2024.0</v>
      </c>
      <c r="F2" s="191">
        <v>2025.0</v>
      </c>
      <c r="G2" s="191">
        <v>2026.0</v>
      </c>
      <c r="H2" s="191">
        <v>2027.0</v>
      </c>
    </row>
    <row r="3">
      <c r="A3" s="192"/>
      <c r="B3" s="186"/>
      <c r="C3" s="193" t="s">
        <v>31</v>
      </c>
      <c r="D3" s="194"/>
      <c r="E3" s="195"/>
      <c r="F3" s="196">
        <f>Assumption!E7</f>
        <v>1276578449</v>
      </c>
      <c r="G3" s="196">
        <f>Assumption!F7</f>
        <v>1507209736</v>
      </c>
      <c r="H3" s="196">
        <f>Assumption!G7</f>
        <v>1780364587</v>
      </c>
    </row>
    <row r="4">
      <c r="A4" s="192"/>
      <c r="B4" s="186"/>
      <c r="C4" s="193" t="s">
        <v>41</v>
      </c>
      <c r="D4" s="194"/>
      <c r="E4" s="195"/>
      <c r="F4" s="196">
        <f>Assumption!E23</f>
        <v>74585632.6</v>
      </c>
      <c r="G4" s="196">
        <f>Assumption!F23</f>
        <v>77114085.55</v>
      </c>
      <c r="H4" s="196">
        <f>Assumption!G23</f>
        <v>79728253.05</v>
      </c>
    </row>
    <row r="5">
      <c r="A5" s="185"/>
      <c r="B5" s="186"/>
      <c r="C5" s="197" t="s">
        <v>76</v>
      </c>
      <c r="D5" s="198"/>
      <c r="E5" s="199" t="str">
        <f>E3</f>
        <v/>
      </c>
      <c r="F5" s="199">
        <f>Assumption!E25</f>
        <v>1201992816</v>
      </c>
      <c r="G5" s="199">
        <f>Assumption!F25</f>
        <v>1430095650</v>
      </c>
      <c r="H5" s="199">
        <f>Assumption!G25</f>
        <v>1700636334</v>
      </c>
    </row>
    <row r="6">
      <c r="A6" s="185"/>
      <c r="B6" s="185"/>
      <c r="C6" s="198"/>
      <c r="D6" s="198"/>
      <c r="E6" s="200"/>
      <c r="F6" s="198"/>
      <c r="G6" s="198"/>
      <c r="H6" s="198"/>
    </row>
    <row r="7">
      <c r="A7" s="185"/>
      <c r="B7" s="186"/>
      <c r="C7" s="197" t="s">
        <v>78</v>
      </c>
      <c r="D7" s="198"/>
      <c r="E7" s="201">
        <f>SUM(E8)</f>
        <v>0</v>
      </c>
      <c r="F7" s="199">
        <f t="shared" ref="F7:H7" si="1">SUM(F8:F13)</f>
        <v>900705000</v>
      </c>
      <c r="G7" s="199">
        <f t="shared" si="1"/>
        <v>1321715000</v>
      </c>
      <c r="H7" s="199">
        <f t="shared" si="1"/>
        <v>1489479950</v>
      </c>
    </row>
    <row r="8">
      <c r="A8" s="192"/>
      <c r="B8" s="186"/>
      <c r="C8" s="193" t="s">
        <v>84</v>
      </c>
      <c r="D8" s="194"/>
      <c r="E8" s="202">
        <f>-Assumption!D41</f>
        <v>0</v>
      </c>
      <c r="F8" s="196">
        <f>Assumption!E41</f>
        <v>220840000</v>
      </c>
      <c r="G8" s="196">
        <f>Assumption!F41</f>
        <v>265008000</v>
      </c>
      <c r="H8" s="196">
        <f>Assumption!G41</f>
        <v>318009600</v>
      </c>
    </row>
    <row r="9">
      <c r="A9" s="192"/>
      <c r="B9" s="186"/>
      <c r="C9" s="193" t="s">
        <v>79</v>
      </c>
      <c r="D9" s="194"/>
      <c r="E9" s="202">
        <f>-Assumption!D28</f>
        <v>0</v>
      </c>
      <c r="F9" s="196">
        <f>Assumption!E29</f>
        <v>495000000</v>
      </c>
      <c r="G9" s="196">
        <f>Assumption!F29</f>
        <v>793800000</v>
      </c>
      <c r="H9" s="196">
        <f>Assumption!G29</f>
        <v>833490000</v>
      </c>
    </row>
    <row r="10">
      <c r="A10" s="185"/>
      <c r="B10" s="186"/>
      <c r="C10" s="203" t="s">
        <v>86</v>
      </c>
      <c r="D10" s="194"/>
      <c r="E10" s="202">
        <f>-Assumption!D44</f>
        <v>0</v>
      </c>
      <c r="F10" s="204">
        <f>Assumption!E44</f>
        <v>106425000</v>
      </c>
      <c r="G10" s="204">
        <f>Assumption!F44</f>
        <v>170667000</v>
      </c>
      <c r="H10" s="204">
        <f>Assumption!G44</f>
        <v>179200350</v>
      </c>
    </row>
    <row r="11">
      <c r="A11" s="205"/>
      <c r="B11" s="91"/>
      <c r="C11" s="206" t="s">
        <v>55</v>
      </c>
      <c r="D11" s="207"/>
      <c r="E11" s="202">
        <f>-Assumption!D47</f>
        <v>0</v>
      </c>
      <c r="F11" s="208">
        <f>Assumption!E47</f>
        <v>920000</v>
      </c>
      <c r="G11" s="208">
        <f>Assumption!F47</f>
        <v>920000</v>
      </c>
      <c r="H11" s="208">
        <f>Assumption!G47</f>
        <v>920000</v>
      </c>
      <c r="I11" s="179"/>
      <c r="J11" s="179"/>
      <c r="K11" s="179"/>
    </row>
    <row r="12">
      <c r="A12" s="205"/>
      <c r="B12" s="91"/>
      <c r="C12" s="206" t="s">
        <v>106</v>
      </c>
      <c r="D12" s="207"/>
      <c r="E12" s="202">
        <f>-Assumption!D46</f>
        <v>0</v>
      </c>
      <c r="F12" s="208">
        <f>Assumption!E46</f>
        <v>6120000</v>
      </c>
      <c r="G12" s="208">
        <f>Assumption!F46</f>
        <v>6120000</v>
      </c>
      <c r="H12" s="208">
        <f>Assumption!G46</f>
        <v>7500000</v>
      </c>
      <c r="I12" s="92"/>
      <c r="J12" s="92"/>
      <c r="K12" s="92"/>
    </row>
    <row r="13">
      <c r="A13" s="185"/>
      <c r="B13" s="186"/>
      <c r="C13" s="206" t="s">
        <v>107</v>
      </c>
      <c r="D13" s="207"/>
      <c r="E13" s="202">
        <f>-Assumption!D48</f>
        <v>0</v>
      </c>
      <c r="F13" s="208">
        <f>Assumption!E48</f>
        <v>71400000</v>
      </c>
      <c r="G13" s="208">
        <f>Assumption!F48</f>
        <v>85200000</v>
      </c>
      <c r="H13" s="208">
        <f>Assumption!G48</f>
        <v>150360000</v>
      </c>
    </row>
    <row r="14">
      <c r="A14" s="185"/>
      <c r="B14" s="186"/>
      <c r="C14" s="197" t="s">
        <v>50</v>
      </c>
      <c r="D14" s="198"/>
      <c r="E14" s="201">
        <f t="shared" ref="E14:H14" si="2">SUM(0)</f>
        <v>0</v>
      </c>
      <c r="F14" s="201">
        <f t="shared" si="2"/>
        <v>0</v>
      </c>
      <c r="G14" s="201">
        <f t="shared" si="2"/>
        <v>0</v>
      </c>
      <c r="H14" s="201">
        <f t="shared" si="2"/>
        <v>0</v>
      </c>
    </row>
    <row r="15">
      <c r="A15" s="185"/>
      <c r="B15" s="186"/>
      <c r="C15" s="197" t="s">
        <v>108</v>
      </c>
      <c r="D15" s="198"/>
      <c r="E15" s="201">
        <f t="shared" ref="E15:H15" si="3">SUM(E7,E14)</f>
        <v>0</v>
      </c>
      <c r="F15" s="199">
        <f t="shared" si="3"/>
        <v>900705000</v>
      </c>
      <c r="G15" s="199">
        <f t="shared" si="3"/>
        <v>1321715000</v>
      </c>
      <c r="H15" s="199">
        <f t="shared" si="3"/>
        <v>1489479950</v>
      </c>
    </row>
    <row r="16">
      <c r="A16" s="192"/>
      <c r="B16" s="185"/>
      <c r="C16" s="197" t="s">
        <v>109</v>
      </c>
      <c r="D16" s="198"/>
      <c r="E16" s="201">
        <f>E5+E15</f>
        <v>0</v>
      </c>
      <c r="F16" s="199">
        <f t="shared" ref="F16:H16" si="4">F5-F15</f>
        <v>301287816.3</v>
      </c>
      <c r="G16" s="199">
        <f t="shared" si="4"/>
        <v>108380650.2</v>
      </c>
      <c r="H16" s="199">
        <f t="shared" si="4"/>
        <v>211156384.3</v>
      </c>
    </row>
    <row r="17">
      <c r="A17" s="185"/>
      <c r="B17" s="186"/>
      <c r="C17" s="193" t="s">
        <v>110</v>
      </c>
      <c r="D17" s="194"/>
      <c r="E17" s="209">
        <f t="shared" ref="E17:H17" si="5">0</f>
        <v>0</v>
      </c>
      <c r="F17" s="209">
        <f t="shared" si="5"/>
        <v>0</v>
      </c>
      <c r="G17" s="209">
        <f t="shared" si="5"/>
        <v>0</v>
      </c>
      <c r="H17" s="209">
        <f t="shared" si="5"/>
        <v>0</v>
      </c>
    </row>
    <row r="18">
      <c r="A18" s="185"/>
      <c r="B18" s="210"/>
      <c r="C18" s="211" t="s">
        <v>111</v>
      </c>
      <c r="D18" s="212"/>
      <c r="E18" s="213">
        <f>E17</f>
        <v>0</v>
      </c>
      <c r="F18" s="214">
        <f t="shared" ref="F18:H18" si="6">F16+F17</f>
        <v>301287816.3</v>
      </c>
      <c r="G18" s="214">
        <f t="shared" si="6"/>
        <v>108380650.2</v>
      </c>
      <c r="H18" s="214">
        <f t="shared" si="6"/>
        <v>211156384.3</v>
      </c>
    </row>
    <row r="19">
      <c r="A19" s="185"/>
      <c r="B19" s="186"/>
      <c r="C19" s="193" t="s">
        <v>112</v>
      </c>
      <c r="D19" s="215">
        <v>0.2</v>
      </c>
      <c r="E19" s="216"/>
      <c r="F19" s="209">
        <f>F18*D19</f>
        <v>60257563.26</v>
      </c>
      <c r="G19" s="209">
        <f>G18*D19</f>
        <v>21676130.05</v>
      </c>
      <c r="H19" s="209">
        <f>H18*D19</f>
        <v>42231276.85</v>
      </c>
    </row>
    <row r="20">
      <c r="A20" s="185"/>
      <c r="B20" s="186"/>
      <c r="C20" s="211" t="s">
        <v>113</v>
      </c>
      <c r="D20" s="212"/>
      <c r="E20" s="213">
        <f>E18+E19</f>
        <v>0</v>
      </c>
      <c r="F20" s="214">
        <f t="shared" ref="F20:H20" si="7">F18-F19</f>
        <v>241030253</v>
      </c>
      <c r="G20" s="214">
        <f t="shared" si="7"/>
        <v>86704520.2</v>
      </c>
      <c r="H20" s="214">
        <f t="shared" si="7"/>
        <v>168925107.4</v>
      </c>
    </row>
    <row r="21">
      <c r="A21" s="185"/>
      <c r="B21" s="186"/>
      <c r="C21" s="187"/>
      <c r="D21" s="187"/>
      <c r="E21" s="187"/>
      <c r="F21" s="187"/>
      <c r="G21" s="187"/>
      <c r="H21" s="187"/>
    </row>
    <row r="22">
      <c r="A22" s="185"/>
      <c r="B22" s="186"/>
      <c r="C22" s="217" t="s">
        <v>91</v>
      </c>
      <c r="D22" s="218"/>
      <c r="E22" s="218"/>
      <c r="F22" s="218"/>
      <c r="G22" s="218"/>
      <c r="H22" s="218"/>
    </row>
    <row r="23">
      <c r="A23" s="219"/>
      <c r="B23" s="220"/>
      <c r="C23" s="221" t="s">
        <v>114</v>
      </c>
      <c r="D23" s="187"/>
      <c r="E23" s="187"/>
      <c r="F23" s="187"/>
      <c r="G23" s="187"/>
      <c r="H23" s="187"/>
      <c r="I23" s="52"/>
      <c r="J23" s="52"/>
      <c r="K23" s="52"/>
      <c r="L23" s="52"/>
      <c r="M23" s="52"/>
      <c r="N23" s="52"/>
      <c r="O23" s="52"/>
      <c r="P23" s="52"/>
      <c r="Q23" s="52"/>
      <c r="R23" s="52"/>
    </row>
    <row r="24">
      <c r="A24" s="222">
        <v>105.0</v>
      </c>
      <c r="B24" s="219"/>
      <c r="C24" s="223" t="s">
        <v>115</v>
      </c>
      <c r="D24" s="220"/>
      <c r="E24" s="224">
        <f>Assumption!D59</f>
        <v>300000000</v>
      </c>
      <c r="F24" s="224">
        <f t="shared" ref="F24:H24" si="8">F49</f>
        <v>541030253</v>
      </c>
      <c r="G24" s="224">
        <f t="shared" si="8"/>
        <v>627734773.2</v>
      </c>
      <c r="H24" s="224">
        <f t="shared" si="8"/>
        <v>796659880.6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>
      <c r="A25" s="219"/>
      <c r="B25" s="219"/>
      <c r="C25" s="225" t="s">
        <v>116</v>
      </c>
      <c r="D25" s="220"/>
      <c r="E25" s="226">
        <v>0.0</v>
      </c>
      <c r="F25" s="226">
        <v>0.0</v>
      </c>
      <c r="G25" s="226">
        <v>0.0</v>
      </c>
      <c r="H25" s="226">
        <v>0.0</v>
      </c>
      <c r="I25" s="52"/>
      <c r="J25" s="52"/>
      <c r="K25" s="52"/>
      <c r="L25" s="52"/>
      <c r="M25" s="52"/>
      <c r="N25" s="52"/>
      <c r="O25" s="52"/>
      <c r="P25" s="52"/>
      <c r="Q25" s="52"/>
      <c r="R25" s="52"/>
    </row>
    <row r="26">
      <c r="A26" s="185"/>
      <c r="B26" s="186"/>
      <c r="C26" s="227" t="s">
        <v>117</v>
      </c>
      <c r="D26" s="220"/>
      <c r="E26" s="228">
        <f t="shared" ref="E26:H26" si="9">sum(E24:E25)</f>
        <v>300000000</v>
      </c>
      <c r="F26" s="228">
        <f t="shared" si="9"/>
        <v>541030253</v>
      </c>
      <c r="G26" s="228">
        <f t="shared" si="9"/>
        <v>627734773.2</v>
      </c>
      <c r="H26" s="228">
        <f t="shared" si="9"/>
        <v>796659880.6</v>
      </c>
    </row>
    <row r="27">
      <c r="A27" s="222">
        <v>107.0</v>
      </c>
      <c r="B27" s="219"/>
      <c r="C27" s="229" t="s">
        <v>118</v>
      </c>
      <c r="D27" s="187"/>
      <c r="E27" s="187"/>
      <c r="F27" s="187"/>
      <c r="G27" s="187"/>
      <c r="H27" s="187"/>
      <c r="I27" s="52"/>
      <c r="J27" s="52"/>
      <c r="K27" s="52"/>
      <c r="L27" s="52"/>
      <c r="M27" s="52"/>
      <c r="N27" s="52"/>
      <c r="O27" s="52"/>
      <c r="P27" s="52"/>
      <c r="Q27" s="52"/>
      <c r="R27" s="52"/>
    </row>
    <row r="28">
      <c r="A28" s="219"/>
      <c r="B28" s="219"/>
      <c r="C28" s="225" t="s">
        <v>119</v>
      </c>
      <c r="D28" s="220"/>
      <c r="E28" s="230">
        <v>0.0</v>
      </c>
      <c r="F28" s="230">
        <v>0.0</v>
      </c>
      <c r="G28" s="230">
        <v>0.0</v>
      </c>
      <c r="H28" s="230">
        <v>0.0</v>
      </c>
      <c r="I28" s="52"/>
      <c r="J28" s="52"/>
      <c r="K28" s="52"/>
      <c r="L28" s="52"/>
      <c r="M28" s="52"/>
      <c r="N28" s="52"/>
      <c r="O28" s="52"/>
      <c r="P28" s="52"/>
      <c r="Q28" s="52"/>
      <c r="R28" s="52"/>
    </row>
    <row r="29">
      <c r="A29" s="219"/>
      <c r="B29" s="219"/>
      <c r="C29" s="227" t="s">
        <v>120</v>
      </c>
      <c r="D29" s="220"/>
      <c r="E29" s="231">
        <f t="shared" ref="E29:H29" si="10">sum(E28)</f>
        <v>0</v>
      </c>
      <c r="F29" s="231">
        <f t="shared" si="10"/>
        <v>0</v>
      </c>
      <c r="G29" s="231">
        <f t="shared" si="10"/>
        <v>0</v>
      </c>
      <c r="H29" s="231">
        <f t="shared" si="10"/>
        <v>0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>
      <c r="A30" s="185"/>
      <c r="B30" s="186"/>
      <c r="C30" s="232" t="s">
        <v>121</v>
      </c>
      <c r="D30" s="233"/>
      <c r="E30" s="234">
        <f t="shared" ref="E30:H30" si="11">sum(E26,E29)</f>
        <v>300000000</v>
      </c>
      <c r="F30" s="234">
        <f t="shared" si="11"/>
        <v>541030253</v>
      </c>
      <c r="G30" s="234">
        <f t="shared" si="11"/>
        <v>627734773.2</v>
      </c>
      <c r="H30" s="234">
        <f t="shared" si="11"/>
        <v>796659880.6</v>
      </c>
    </row>
    <row r="31">
      <c r="A31" s="185"/>
      <c r="B31" s="186"/>
      <c r="C31" s="221" t="s">
        <v>122</v>
      </c>
      <c r="D31" s="187"/>
      <c r="E31" s="187"/>
      <c r="F31" s="187"/>
      <c r="G31" s="187"/>
      <c r="H31" s="187"/>
    </row>
    <row r="32">
      <c r="A32" s="192">
        <v>121.0</v>
      </c>
      <c r="B32" s="186"/>
      <c r="C32" s="229" t="s">
        <v>123</v>
      </c>
      <c r="D32" s="187"/>
      <c r="E32" s="235">
        <v>0.0</v>
      </c>
      <c r="F32" s="235">
        <v>0.0</v>
      </c>
      <c r="G32" s="235">
        <v>0.0</v>
      </c>
      <c r="H32" s="235">
        <v>0.0</v>
      </c>
    </row>
    <row r="33">
      <c r="A33" s="185"/>
      <c r="B33" s="186"/>
      <c r="C33" s="236" t="s">
        <v>124</v>
      </c>
      <c r="D33" s="187"/>
      <c r="E33" s="237">
        <v>0.0</v>
      </c>
      <c r="F33" s="237">
        <v>0.0</v>
      </c>
      <c r="G33" s="237">
        <v>0.0</v>
      </c>
      <c r="H33" s="237">
        <v>0.0</v>
      </c>
    </row>
    <row r="34">
      <c r="A34" s="185"/>
      <c r="B34" s="186"/>
      <c r="C34" s="238" t="s">
        <v>125</v>
      </c>
      <c r="D34" s="239"/>
      <c r="E34" s="240">
        <f t="shared" ref="E34:H34" si="12">E33</f>
        <v>0</v>
      </c>
      <c r="F34" s="240">
        <f t="shared" si="12"/>
        <v>0</v>
      </c>
      <c r="G34" s="240">
        <f t="shared" si="12"/>
        <v>0</v>
      </c>
      <c r="H34" s="240">
        <f t="shared" si="12"/>
        <v>0</v>
      </c>
    </row>
    <row r="35">
      <c r="A35" s="222">
        <v>125.0</v>
      </c>
      <c r="B35" s="219"/>
      <c r="C35" s="229" t="s">
        <v>126</v>
      </c>
      <c r="D35" s="187"/>
      <c r="E35" s="187"/>
      <c r="F35" s="187"/>
      <c r="G35" s="187"/>
      <c r="H35" s="187"/>
      <c r="I35" s="52"/>
      <c r="J35" s="52"/>
      <c r="K35" s="52"/>
      <c r="L35" s="52"/>
      <c r="M35" s="52"/>
      <c r="N35" s="52"/>
      <c r="O35" s="52"/>
      <c r="P35" s="52"/>
      <c r="Q35" s="52"/>
      <c r="R35" s="52"/>
    </row>
    <row r="36">
      <c r="A36" s="192">
        <v>137.0</v>
      </c>
      <c r="B36" s="185"/>
      <c r="C36" s="225" t="s">
        <v>95</v>
      </c>
      <c r="D36" s="220"/>
      <c r="E36" s="224">
        <f>Assumption!D55</f>
        <v>300000000</v>
      </c>
      <c r="F36" s="224">
        <f>Assumption!E55</f>
        <v>0</v>
      </c>
      <c r="G36" s="224">
        <f>Assumption!F55</f>
        <v>0</v>
      </c>
      <c r="H36" s="224">
        <f>Assumption!G55</f>
        <v>0</v>
      </c>
    </row>
    <row r="37">
      <c r="A37" s="219"/>
      <c r="B37" s="219"/>
      <c r="C37" s="225" t="s">
        <v>101</v>
      </c>
      <c r="D37" s="220"/>
      <c r="E37" s="224">
        <f>Assumption!D66</f>
        <v>0</v>
      </c>
      <c r="F37" s="224">
        <f>Assumption!E66</f>
        <v>241030253</v>
      </c>
      <c r="G37" s="224">
        <f>Assumption!F66</f>
        <v>327734773.2</v>
      </c>
      <c r="H37" s="224">
        <f>Assumption!G66</f>
        <v>496659880.6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</row>
    <row r="38">
      <c r="A38" s="219"/>
      <c r="B38" s="219"/>
      <c r="C38" s="232" t="s">
        <v>127</v>
      </c>
      <c r="D38" s="241"/>
      <c r="E38" s="234">
        <f t="shared" ref="E38:H38" si="13">sum(E36:E37)</f>
        <v>300000000</v>
      </c>
      <c r="F38" s="234">
        <f t="shared" si="13"/>
        <v>241030253</v>
      </c>
      <c r="G38" s="234">
        <f t="shared" si="13"/>
        <v>327734773.2</v>
      </c>
      <c r="H38" s="234">
        <f t="shared" si="13"/>
        <v>496659880.6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</row>
    <row r="39">
      <c r="A39" s="219"/>
      <c r="B39" s="219"/>
      <c r="C39" s="232" t="s">
        <v>128</v>
      </c>
      <c r="D39" s="241"/>
      <c r="E39" s="234">
        <f t="shared" ref="E39:H39" si="14">sum(E34,E38)</f>
        <v>300000000</v>
      </c>
      <c r="F39" s="234">
        <f t="shared" si="14"/>
        <v>241030253</v>
      </c>
      <c r="G39" s="234">
        <f t="shared" si="14"/>
        <v>327734773.2</v>
      </c>
      <c r="H39" s="234">
        <f t="shared" si="14"/>
        <v>496659880.6</v>
      </c>
      <c r="I39" s="52"/>
      <c r="J39" s="52"/>
      <c r="K39" s="52"/>
      <c r="L39" s="52"/>
      <c r="M39" s="52"/>
      <c r="N39" s="52"/>
      <c r="O39" s="52"/>
      <c r="P39" s="52"/>
      <c r="Q39" s="52"/>
      <c r="R39" s="52"/>
    </row>
    <row r="40">
      <c r="A40" s="219"/>
      <c r="B40" s="219"/>
      <c r="C40" s="242" t="s">
        <v>129</v>
      </c>
      <c r="D40" s="243"/>
      <c r="E40" s="242">
        <f t="shared" ref="E40:H40" si="15">E30-E39</f>
        <v>0</v>
      </c>
      <c r="F40" s="242">
        <f t="shared" si="15"/>
        <v>300000000</v>
      </c>
      <c r="G40" s="242">
        <f t="shared" si="15"/>
        <v>300000000</v>
      </c>
      <c r="H40" s="242">
        <f t="shared" si="15"/>
        <v>300000000</v>
      </c>
      <c r="I40" s="52"/>
      <c r="J40" s="52"/>
      <c r="K40" s="52"/>
      <c r="L40" s="52"/>
      <c r="M40" s="52"/>
      <c r="N40" s="52"/>
      <c r="O40" s="52"/>
      <c r="P40" s="52"/>
      <c r="Q40" s="52"/>
      <c r="R40" s="52"/>
    </row>
    <row r="41">
      <c r="A41" s="185"/>
      <c r="B41" s="186"/>
      <c r="C41" s="187"/>
      <c r="D41" s="187"/>
      <c r="E41" s="187"/>
      <c r="F41" s="187"/>
      <c r="G41" s="187"/>
      <c r="H41" s="187"/>
    </row>
    <row r="42">
      <c r="A42" s="185"/>
      <c r="B42" s="186"/>
      <c r="C42" s="244" t="s">
        <v>130</v>
      </c>
      <c r="D42" s="245"/>
      <c r="E42" s="245"/>
      <c r="F42" s="245"/>
      <c r="G42" s="245"/>
      <c r="H42" s="245"/>
    </row>
    <row r="43">
      <c r="A43" s="185"/>
      <c r="B43" s="186"/>
      <c r="C43" s="246" t="s">
        <v>131</v>
      </c>
      <c r="D43" s="187"/>
      <c r="E43" s="247"/>
      <c r="F43" s="187"/>
      <c r="G43" s="187"/>
      <c r="H43" s="187"/>
    </row>
    <row r="44">
      <c r="A44" s="219"/>
      <c r="B44" s="219"/>
      <c r="C44" s="248" t="s">
        <v>132</v>
      </c>
      <c r="D44" s="220"/>
      <c r="E44" s="249">
        <f t="shared" ref="E44:H44" si="16">E20</f>
        <v>0</v>
      </c>
      <c r="F44" s="249">
        <f t="shared" si="16"/>
        <v>241030253</v>
      </c>
      <c r="G44" s="249">
        <f t="shared" si="16"/>
        <v>86704520.2</v>
      </c>
      <c r="H44" s="249">
        <f t="shared" si="16"/>
        <v>168925107.4</v>
      </c>
      <c r="I44" s="52"/>
      <c r="J44" s="52"/>
      <c r="K44" s="52"/>
      <c r="L44" s="52"/>
      <c r="M44" s="52"/>
      <c r="N44" s="52"/>
      <c r="O44" s="52"/>
      <c r="P44" s="52"/>
      <c r="Q44" s="52"/>
      <c r="R44" s="52"/>
    </row>
    <row r="45">
      <c r="A45" s="219"/>
      <c r="B45" s="219"/>
      <c r="C45" s="250" t="s">
        <v>133</v>
      </c>
      <c r="D45" s="251"/>
      <c r="E45" s="252"/>
      <c r="F45" s="253">
        <f t="shared" ref="F45:H45" si="17">SUM(F44)</f>
        <v>241030253</v>
      </c>
      <c r="G45" s="253">
        <f t="shared" si="17"/>
        <v>86704520.2</v>
      </c>
      <c r="H45" s="253">
        <f t="shared" si="17"/>
        <v>168925107.4</v>
      </c>
      <c r="I45" s="52"/>
      <c r="J45" s="52"/>
      <c r="K45" s="52"/>
      <c r="L45" s="52"/>
      <c r="M45" s="52"/>
      <c r="N45" s="52"/>
      <c r="O45" s="52"/>
      <c r="P45" s="52"/>
      <c r="Q45" s="52"/>
      <c r="R45" s="52"/>
    </row>
    <row r="46">
      <c r="A46" s="219"/>
      <c r="B46" s="219"/>
      <c r="C46" s="250" t="s">
        <v>134</v>
      </c>
      <c r="D46" s="251"/>
      <c r="E46" s="252"/>
      <c r="F46" s="253">
        <f t="shared" ref="F46:H46" si="18">SUM(0)</f>
        <v>0</v>
      </c>
      <c r="G46" s="253">
        <f t="shared" si="18"/>
        <v>0</v>
      </c>
      <c r="H46" s="253">
        <f t="shared" si="18"/>
        <v>0</v>
      </c>
      <c r="I46" s="52"/>
      <c r="J46" s="52"/>
      <c r="K46" s="52"/>
      <c r="L46" s="52"/>
      <c r="M46" s="52"/>
      <c r="N46" s="52"/>
      <c r="O46" s="52"/>
      <c r="P46" s="52"/>
      <c r="Q46" s="52"/>
      <c r="R46" s="52"/>
    </row>
    <row r="47">
      <c r="A47" s="219"/>
      <c r="B47" s="219"/>
      <c r="C47" s="254" t="s">
        <v>135</v>
      </c>
      <c r="D47" s="220"/>
      <c r="E47" s="220"/>
      <c r="F47" s="226">
        <f t="shared" ref="F47:H47" si="19">E49</f>
        <v>300000000</v>
      </c>
      <c r="G47" s="226">
        <f t="shared" si="19"/>
        <v>541030253</v>
      </c>
      <c r="H47" s="226">
        <f t="shared" si="19"/>
        <v>627734773.2</v>
      </c>
      <c r="I47" s="52"/>
      <c r="J47" s="52"/>
      <c r="K47" s="52"/>
      <c r="L47" s="52"/>
      <c r="M47" s="52"/>
      <c r="N47" s="52"/>
      <c r="O47" s="52"/>
      <c r="P47" s="52"/>
      <c r="Q47" s="52"/>
      <c r="R47" s="52"/>
    </row>
    <row r="48">
      <c r="A48" s="219"/>
      <c r="B48" s="219"/>
      <c r="C48" s="254" t="s">
        <v>136</v>
      </c>
      <c r="D48" s="220"/>
      <c r="E48" s="226"/>
      <c r="F48" s="226">
        <f t="shared" ref="F48:H48" si="20">SUM(F46,F45)</f>
        <v>241030253</v>
      </c>
      <c r="G48" s="226">
        <f t="shared" si="20"/>
        <v>86704520.2</v>
      </c>
      <c r="H48" s="226">
        <f t="shared" si="20"/>
        <v>168925107.4</v>
      </c>
      <c r="I48" s="52"/>
      <c r="J48" s="52"/>
      <c r="K48" s="52"/>
      <c r="L48" s="52"/>
      <c r="M48" s="52"/>
      <c r="N48" s="52"/>
      <c r="O48" s="52"/>
      <c r="P48" s="52"/>
      <c r="Q48" s="52"/>
      <c r="R48" s="52"/>
    </row>
    <row r="49">
      <c r="A49" s="219"/>
      <c r="B49" s="219"/>
      <c r="C49" s="255" t="s">
        <v>137</v>
      </c>
      <c r="D49" s="256"/>
      <c r="E49" s="257">
        <f>E24</f>
        <v>300000000</v>
      </c>
      <c r="F49" s="257">
        <f>F47+F48</f>
        <v>541030253</v>
      </c>
      <c r="G49" s="257">
        <f>SUM(G47:G48)</f>
        <v>627734773.2</v>
      </c>
      <c r="H49" s="257">
        <f>sum(H47:H48)</f>
        <v>796659880.6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</row>
    <row r="50">
      <c r="A50" s="185"/>
      <c r="B50" s="186"/>
      <c r="C50" s="187"/>
      <c r="D50" s="187"/>
      <c r="E50" s="187"/>
      <c r="F50" s="187"/>
      <c r="G50" s="187"/>
      <c r="H50" s="187"/>
    </row>
    <row r="51">
      <c r="A51" s="185"/>
      <c r="B51" s="186"/>
      <c r="C51" s="187"/>
      <c r="D51" s="187"/>
      <c r="E51" s="187"/>
      <c r="F51" s="187"/>
      <c r="G51" s="187"/>
      <c r="H51" s="187"/>
    </row>
    <row r="52" hidden="1">
      <c r="A52" s="219"/>
      <c r="B52" s="219"/>
      <c r="C52" s="258" t="s">
        <v>138</v>
      </c>
      <c r="D52" s="239"/>
      <c r="E52" s="239"/>
      <c r="F52" s="239"/>
      <c r="G52" s="239"/>
      <c r="H52" s="239"/>
      <c r="I52" s="52"/>
      <c r="J52" s="52"/>
      <c r="K52" s="52"/>
      <c r="L52" s="52"/>
      <c r="M52" s="52"/>
      <c r="N52" s="52"/>
      <c r="O52" s="52"/>
      <c r="P52" s="52"/>
      <c r="Q52" s="52"/>
      <c r="R52" s="52"/>
    </row>
    <row r="53" hidden="1">
      <c r="A53" s="219"/>
      <c r="B53" s="219"/>
      <c r="C53" s="226" t="s">
        <v>139</v>
      </c>
      <c r="D53" s="220"/>
      <c r="E53" s="226"/>
      <c r="F53" s="226">
        <f t="shared" ref="F53:H53" si="21">F16</f>
        <v>301287816.3</v>
      </c>
      <c r="G53" s="226">
        <f t="shared" si="21"/>
        <v>108380650.2</v>
      </c>
      <c r="H53" s="226">
        <f t="shared" si="21"/>
        <v>211156384.3</v>
      </c>
      <c r="I53" s="52"/>
      <c r="J53" s="52"/>
      <c r="K53" s="52"/>
      <c r="L53" s="52"/>
      <c r="M53" s="52"/>
      <c r="N53" s="52"/>
      <c r="O53" s="52"/>
      <c r="P53" s="52"/>
      <c r="Q53" s="52"/>
      <c r="R53" s="52"/>
    </row>
    <row r="54" hidden="1">
      <c r="A54" s="185"/>
      <c r="B54" s="186"/>
      <c r="C54" s="224" t="s">
        <v>112</v>
      </c>
      <c r="D54" s="259">
        <v>0.2</v>
      </c>
      <c r="E54" s="224">
        <f>20%*E53</f>
        <v>0</v>
      </c>
      <c r="F54" s="260">
        <v>0.0</v>
      </c>
      <c r="G54" s="224">
        <f>20%*G53</f>
        <v>21676130.05</v>
      </c>
      <c r="H54" s="224">
        <f>H53*20%</f>
        <v>42231276.85</v>
      </c>
    </row>
    <row r="55" hidden="1">
      <c r="A55" s="219"/>
      <c r="B55" s="219"/>
      <c r="C55" s="226" t="s">
        <v>140</v>
      </c>
      <c r="D55" s="220"/>
      <c r="E55" s="226"/>
      <c r="F55" s="226">
        <f>F53+F54</f>
        <v>301287816.3</v>
      </c>
      <c r="G55" s="226">
        <f t="shared" ref="G55:H55" si="22">G53-G54</f>
        <v>86704520.2</v>
      </c>
      <c r="H55" s="226">
        <f t="shared" si="22"/>
        <v>168925107.4</v>
      </c>
      <c r="I55" s="52"/>
      <c r="J55" s="52"/>
      <c r="K55" s="52"/>
      <c r="L55" s="52"/>
      <c r="M55" s="52"/>
      <c r="N55" s="52"/>
      <c r="O55" s="52"/>
      <c r="P55" s="52"/>
      <c r="Q55" s="52"/>
      <c r="R55" s="52"/>
    </row>
    <row r="56" hidden="1">
      <c r="A56" s="185"/>
      <c r="B56" s="186"/>
      <c r="C56" s="230" t="s">
        <v>141</v>
      </c>
      <c r="D56" s="187"/>
      <c r="E56" s="230"/>
      <c r="F56" s="237">
        <f t="shared" ref="F56:H56" si="23">-0</f>
        <v>0</v>
      </c>
      <c r="G56" s="237">
        <f t="shared" si="23"/>
        <v>0</v>
      </c>
      <c r="H56" s="237">
        <f t="shared" si="23"/>
        <v>0</v>
      </c>
    </row>
    <row r="57" hidden="1">
      <c r="A57" s="185"/>
      <c r="B57" s="261" t="s">
        <v>142</v>
      </c>
      <c r="C57" s="230" t="s">
        <v>143</v>
      </c>
      <c r="D57" s="187"/>
      <c r="E57" s="262">
        <f t="shared" ref="E57:H57" si="24">-SUM(E25)</f>
        <v>0</v>
      </c>
      <c r="F57" s="262">
        <f t="shared" si="24"/>
        <v>0</v>
      </c>
      <c r="G57" s="262">
        <f t="shared" si="24"/>
        <v>0</v>
      </c>
      <c r="H57" s="262">
        <f t="shared" si="24"/>
        <v>0</v>
      </c>
    </row>
    <row r="58" hidden="1">
      <c r="A58" s="185"/>
      <c r="B58" s="186"/>
      <c r="C58" s="230" t="s">
        <v>144</v>
      </c>
      <c r="D58" s="187"/>
      <c r="E58" s="262">
        <f t="shared" ref="E58:H58" si="25">-0</f>
        <v>0</v>
      </c>
      <c r="F58" s="262">
        <f t="shared" si="25"/>
        <v>0</v>
      </c>
      <c r="G58" s="262">
        <f t="shared" si="25"/>
        <v>0</v>
      </c>
      <c r="H58" s="262">
        <f t="shared" si="25"/>
        <v>0</v>
      </c>
    </row>
    <row r="59" hidden="1">
      <c r="A59" s="219"/>
      <c r="B59" s="219"/>
      <c r="C59" s="226" t="s">
        <v>138</v>
      </c>
      <c r="D59" s="220"/>
      <c r="E59" s="226">
        <f t="shared" ref="E59:H59" si="26">SUM(E55:E58)</f>
        <v>0</v>
      </c>
      <c r="F59" s="226">
        <f t="shared" si="26"/>
        <v>301287816.3</v>
      </c>
      <c r="G59" s="226">
        <f t="shared" si="26"/>
        <v>86704520.2</v>
      </c>
      <c r="H59" s="226">
        <f t="shared" si="26"/>
        <v>168925107.4</v>
      </c>
      <c r="I59" s="52"/>
      <c r="J59" s="52"/>
      <c r="K59" s="52"/>
      <c r="L59" s="52"/>
      <c r="M59" s="52"/>
      <c r="N59" s="52"/>
      <c r="O59" s="52"/>
      <c r="P59" s="52"/>
      <c r="Q59" s="52"/>
      <c r="R59" s="52"/>
    </row>
    <row r="60" hidden="1">
      <c r="A60" s="185"/>
      <c r="B60" s="186"/>
      <c r="C60" s="263" t="s">
        <v>145</v>
      </c>
      <c r="D60" s="259">
        <v>0.005</v>
      </c>
      <c r="E60" s="264"/>
      <c r="F60" s="264"/>
      <c r="G60" s="264"/>
      <c r="H60" s="264"/>
    </row>
    <row r="61" hidden="1">
      <c r="A61" s="185"/>
      <c r="B61" s="186"/>
      <c r="C61" s="230" t="s">
        <v>146</v>
      </c>
      <c r="D61" s="187"/>
      <c r="E61" s="264"/>
      <c r="F61" s="264"/>
      <c r="G61" s="264"/>
      <c r="H61" s="264"/>
    </row>
    <row r="62" hidden="1">
      <c r="A62" s="219"/>
      <c r="B62" s="219"/>
      <c r="C62" s="224" t="s">
        <v>147</v>
      </c>
      <c r="D62" s="220"/>
      <c r="E62" s="226">
        <v>-3.0E8</v>
      </c>
      <c r="F62" s="226">
        <f t="shared" ref="F62:H62" si="27">SUM(F59:F61)</f>
        <v>301287816.3</v>
      </c>
      <c r="G62" s="226">
        <f t="shared" si="27"/>
        <v>86704520.2</v>
      </c>
      <c r="H62" s="226">
        <f t="shared" si="27"/>
        <v>168925107.4</v>
      </c>
      <c r="I62" s="52"/>
      <c r="J62" s="52"/>
      <c r="K62" s="52"/>
      <c r="L62" s="52"/>
      <c r="M62" s="52"/>
      <c r="N62" s="52"/>
      <c r="O62" s="52"/>
      <c r="P62" s="52"/>
      <c r="Q62" s="52"/>
      <c r="R62" s="52"/>
    </row>
    <row r="63" hidden="1">
      <c r="A63" s="185"/>
      <c r="B63" s="186"/>
      <c r="C63" s="231" t="s">
        <v>148</v>
      </c>
      <c r="D63" s="187"/>
      <c r="E63" s="265">
        <f t="array" ref="E63">SUM(NPV(D67,F62:H62),E62)</f>
        <v>256917443.9</v>
      </c>
      <c r="F63" s="264"/>
      <c r="G63" s="264"/>
      <c r="H63" s="264"/>
    </row>
    <row r="64" hidden="1">
      <c r="A64" s="185"/>
      <c r="B64" s="186"/>
      <c r="C64" s="231" t="s">
        <v>149</v>
      </c>
      <c r="D64" s="187"/>
      <c r="E64" s="266">
        <f>IRR(E62:H62,10%)</f>
        <v>0.4642851923</v>
      </c>
      <c r="F64" s="264"/>
      <c r="G64" s="264"/>
      <c r="H64" s="264"/>
    </row>
    <row r="65">
      <c r="A65" s="185"/>
      <c r="B65" s="186"/>
      <c r="C65" s="187"/>
      <c r="D65" s="187"/>
      <c r="E65" s="267"/>
      <c r="F65" s="268"/>
      <c r="G65" s="268"/>
      <c r="H65" s="268"/>
    </row>
    <row r="66">
      <c r="A66" s="185"/>
      <c r="B66" s="269"/>
      <c r="C66" s="270"/>
      <c r="D66" s="271"/>
      <c r="E66" s="272"/>
      <c r="F66" s="272"/>
      <c r="G66" s="272"/>
      <c r="H66" s="272"/>
    </row>
    <row r="67">
      <c r="A67" s="185"/>
      <c r="B67" s="269"/>
      <c r="C67" s="273"/>
      <c r="D67" s="266"/>
      <c r="E67" s="271"/>
      <c r="F67" s="271"/>
      <c r="G67" s="271"/>
      <c r="H67" s="271"/>
    </row>
    <row r="68">
      <c r="A68" s="185"/>
      <c r="B68" s="269"/>
      <c r="C68" s="274"/>
      <c r="D68" s="275"/>
      <c r="E68" s="271"/>
      <c r="F68" s="271"/>
      <c r="G68" s="271"/>
      <c r="H68" s="271"/>
    </row>
    <row r="69">
      <c r="A69" s="185"/>
      <c r="B69" s="276"/>
      <c r="C69" s="274"/>
      <c r="D69" s="275"/>
      <c r="E69" s="275"/>
      <c r="F69" s="275"/>
      <c r="G69" s="275"/>
      <c r="H69" s="275"/>
    </row>
    <row r="70">
      <c r="A70" s="185"/>
      <c r="B70" s="276"/>
      <c r="C70" s="274"/>
      <c r="D70" s="277"/>
      <c r="E70" s="271"/>
      <c r="F70" s="271"/>
      <c r="G70" s="271"/>
      <c r="H70" s="271"/>
    </row>
    <row r="71">
      <c r="A71" s="185"/>
      <c r="B71" s="276"/>
      <c r="C71" s="274"/>
      <c r="D71" s="277"/>
      <c r="E71" s="271"/>
      <c r="F71" s="271"/>
      <c r="G71" s="271"/>
      <c r="H71" s="271"/>
    </row>
    <row r="72">
      <c r="A72" s="185"/>
      <c r="B72" s="276"/>
      <c r="C72" s="274"/>
      <c r="D72" s="278"/>
      <c r="E72" s="271"/>
      <c r="F72" s="271"/>
      <c r="G72" s="271"/>
      <c r="H72" s="271"/>
    </row>
    <row r="73">
      <c r="A73" s="185"/>
      <c r="B73" s="276"/>
      <c r="C73" s="274"/>
      <c r="D73" s="277"/>
      <c r="E73" s="271"/>
      <c r="F73" s="271"/>
      <c r="G73" s="271"/>
      <c r="H73" s="271"/>
    </row>
    <row r="74">
      <c r="A74" s="185"/>
      <c r="B74" s="185"/>
      <c r="C74" s="187"/>
      <c r="D74" s="187"/>
      <c r="E74" s="187"/>
      <c r="F74" s="187"/>
      <c r="G74" s="187"/>
      <c r="H74" s="187"/>
    </row>
    <row r="75">
      <c r="A75" s="185"/>
      <c r="B75" s="185"/>
      <c r="C75" s="187"/>
      <c r="D75" s="187"/>
      <c r="E75" s="187"/>
      <c r="F75" s="187"/>
      <c r="G75" s="187"/>
      <c r="H75" s="187"/>
    </row>
    <row r="76">
      <c r="A76" s="185"/>
      <c r="B76" s="185"/>
      <c r="C76" s="187"/>
      <c r="D76" s="187"/>
      <c r="E76" s="187"/>
      <c r="F76" s="187"/>
      <c r="G76" s="187"/>
      <c r="H76" s="187"/>
    </row>
    <row r="77">
      <c r="A77" s="185"/>
      <c r="B77" s="185"/>
      <c r="C77" s="187"/>
      <c r="D77" s="187"/>
      <c r="E77" s="187"/>
      <c r="F77" s="187"/>
      <c r="G77" s="187"/>
      <c r="H77" s="187"/>
    </row>
    <row r="78">
      <c r="C78" s="187"/>
      <c r="D78" s="187"/>
      <c r="E78" s="187"/>
      <c r="F78" s="187"/>
    </row>
    <row r="80">
      <c r="F80" s="279"/>
      <c r="G80" s="279"/>
      <c r="H80" s="279"/>
    </row>
    <row r="82">
      <c r="E82" s="279"/>
    </row>
    <row r="83">
      <c r="E83" s="279"/>
    </row>
    <row r="84">
      <c r="E84" s="280"/>
      <c r="G84" s="280"/>
    </row>
    <row r="85">
      <c r="E85" s="279"/>
    </row>
    <row r="86">
      <c r="E86" s="279"/>
    </row>
    <row r="87">
      <c r="E87" s="279"/>
    </row>
    <row r="88">
      <c r="E88" s="279"/>
    </row>
    <row r="135">
      <c r="I135" s="262"/>
      <c r="J135" s="262"/>
      <c r="K135" s="262"/>
      <c r="L135" s="262"/>
      <c r="M135" s="262"/>
    </row>
    <row r="136">
      <c r="I136" s="89"/>
      <c r="J136" s="89"/>
      <c r="K136" s="89"/>
      <c r="L136" s="89"/>
      <c r="M136" s="89"/>
    </row>
    <row r="183">
      <c r="C183" s="51"/>
    </row>
    <row r="184">
      <c r="C184" s="51"/>
    </row>
    <row r="185">
      <c r="C185" s="51"/>
    </row>
    <row r="186">
      <c r="C186" s="51"/>
    </row>
    <row r="187">
      <c r="C187" s="51"/>
    </row>
    <row r="188">
      <c r="C188" s="51"/>
    </row>
    <row r="189">
      <c r="C189" s="51"/>
    </row>
    <row r="190">
      <c r="C190" s="51"/>
    </row>
    <row r="191">
      <c r="C191" s="51"/>
    </row>
    <row r="192">
      <c r="C192" s="51"/>
    </row>
    <row r="193">
      <c r="C193" s="51"/>
    </row>
    <row r="194">
      <c r="C194" s="51"/>
    </row>
    <row r="195">
      <c r="C195" s="51"/>
    </row>
    <row r="196">
      <c r="C196" s="51"/>
    </row>
    <row r="197">
      <c r="C197" s="51"/>
    </row>
    <row r="198">
      <c r="C198" s="5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1.75"/>
    <col customWidth="1" min="3" max="3" width="23.88"/>
    <col customWidth="1" min="4" max="4" width="35.63"/>
    <col customWidth="1" min="5" max="5" width="29.0"/>
    <col customWidth="1" min="6" max="6" width="38.25"/>
  </cols>
  <sheetData>
    <row r="2">
      <c r="A2" s="6"/>
      <c r="B2" s="281"/>
      <c r="C2" s="281"/>
      <c r="D2" s="281"/>
      <c r="E2" s="281"/>
    </row>
    <row r="3">
      <c r="A3" s="282"/>
      <c r="B3" s="283"/>
      <c r="C3" s="284">
        <v>2025.0</v>
      </c>
      <c r="D3" s="284">
        <v>2026.0</v>
      </c>
      <c r="E3" s="284">
        <v>2027.0</v>
      </c>
    </row>
    <row r="4">
      <c r="A4" s="285"/>
      <c r="B4" s="286" t="s">
        <v>150</v>
      </c>
      <c r="C4" s="287">
        <f>Assumption!E7</f>
        <v>1276578449</v>
      </c>
      <c r="D4" s="287">
        <f>Valuation!G3</f>
        <v>1507209736</v>
      </c>
      <c r="E4" s="287">
        <f>Valuation!H3</f>
        <v>1780364587</v>
      </c>
    </row>
    <row r="5">
      <c r="A5" s="288"/>
      <c r="B5" s="289" t="s">
        <v>151</v>
      </c>
      <c r="C5" s="290">
        <f t="shared" ref="C5:E5" si="1">C4*2</f>
        <v>2553156898</v>
      </c>
      <c r="D5" s="290">
        <f t="shared" si="1"/>
        <v>3014419472</v>
      </c>
      <c r="E5" s="290">
        <f t="shared" si="1"/>
        <v>3560729175</v>
      </c>
    </row>
    <row r="6">
      <c r="A6" s="288"/>
      <c r="B6" s="289" t="s">
        <v>152</v>
      </c>
      <c r="C6" s="291" t="s">
        <v>153</v>
      </c>
      <c r="D6" s="292">
        <v>0.15</v>
      </c>
      <c r="E6" s="292">
        <v>0.1</v>
      </c>
    </row>
    <row r="7">
      <c r="A7" s="288"/>
      <c r="B7" s="289" t="s">
        <v>154</v>
      </c>
      <c r="C7" s="291" t="s">
        <v>153</v>
      </c>
      <c r="D7" s="290">
        <f t="shared" ref="D7:E7" si="2">D5*D6</f>
        <v>452162920.7</v>
      </c>
      <c r="E7" s="290">
        <f t="shared" si="2"/>
        <v>356072917.5</v>
      </c>
    </row>
    <row r="8">
      <c r="A8" s="293"/>
      <c r="B8" s="294" t="s">
        <v>155</v>
      </c>
      <c r="C8" s="291" t="s">
        <v>153</v>
      </c>
      <c r="D8" s="295" t="s">
        <v>156</v>
      </c>
      <c r="E8" s="296" t="s">
        <v>157</v>
      </c>
    </row>
    <row r="9">
      <c r="A9" s="288"/>
      <c r="B9" s="289" t="s">
        <v>158</v>
      </c>
      <c r="C9" s="291" t="s">
        <v>159</v>
      </c>
      <c r="D9" s="291" t="s">
        <v>153</v>
      </c>
      <c r="E9" s="291" t="s">
        <v>153</v>
      </c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13"/>
  </cols>
  <sheetData>
    <row r="1">
      <c r="A1" s="297" t="s">
        <v>160</v>
      </c>
      <c r="B1" s="88">
        <v>2024.0</v>
      </c>
      <c r="C1" s="88">
        <v>2025.0</v>
      </c>
      <c r="D1" s="88">
        <v>2026.0</v>
      </c>
      <c r="E1" s="88">
        <v>2027.0</v>
      </c>
      <c r="F1" s="298"/>
      <c r="G1" s="298"/>
      <c r="H1" s="298"/>
      <c r="I1" s="298"/>
      <c r="J1" s="298"/>
    </row>
    <row r="2">
      <c r="A2" s="299" t="s">
        <v>161</v>
      </c>
      <c r="B2" s="70"/>
      <c r="C2" s="70"/>
      <c r="D2" s="70"/>
      <c r="E2" s="70"/>
    </row>
    <row r="3">
      <c r="A3" s="300" t="s">
        <v>162</v>
      </c>
      <c r="C3" s="89">
        <f>Valuation!F5/Valuation!F3</f>
        <v>0.9415737962</v>
      </c>
      <c r="D3" s="89">
        <f>Valuation!G5/Valuation!G3</f>
        <v>0.9488365264</v>
      </c>
      <c r="E3" s="89">
        <f>Valuation!H5/Valuation!H3</f>
        <v>0.955218019</v>
      </c>
      <c r="F3" s="89"/>
      <c r="G3" s="89"/>
      <c r="H3" s="89"/>
      <c r="I3" s="89"/>
      <c r="J3" s="89"/>
    </row>
    <row r="4">
      <c r="A4" s="300" t="s">
        <v>163</v>
      </c>
      <c r="C4" s="301">
        <f>Valuation!F53/Valuation!F5</f>
        <v>0.2506569193</v>
      </c>
      <c r="D4" s="301">
        <f>Valuation!G53/Valuation!G5</f>
        <v>0.07578559534</v>
      </c>
      <c r="E4" s="302">
        <f>Valuation!H53/Valuation!H5</f>
        <v>0.1241631618</v>
      </c>
      <c r="F4" s="302"/>
      <c r="G4" s="302"/>
      <c r="H4" s="302"/>
      <c r="I4" s="302"/>
      <c r="J4" s="302"/>
    </row>
    <row r="5">
      <c r="A5" s="300" t="s">
        <v>164</v>
      </c>
      <c r="C5" s="301">
        <f>Valuation!F20/Valuation!F3</f>
        <v>0.1888095896</v>
      </c>
      <c r="D5" s="301">
        <f>Valuation!G20/Valuation!G3</f>
        <v>0.05752651283</v>
      </c>
      <c r="E5" s="302">
        <f>Valuation!H20/Valuation!H3</f>
        <v>0.09488231153</v>
      </c>
      <c r="F5" s="302"/>
      <c r="G5" s="302"/>
      <c r="H5" s="302"/>
      <c r="I5" s="302"/>
      <c r="J5" s="302"/>
    </row>
    <row r="6">
      <c r="A6" s="300" t="s">
        <v>165</v>
      </c>
      <c r="C6" s="89">
        <f>Valuation!F20/Valuation!E30</f>
        <v>0.8034341768</v>
      </c>
      <c r="D6" s="89">
        <f>Valuation!G20/Valuation!F30</f>
        <v>0.1602581736</v>
      </c>
      <c r="E6" s="89">
        <f>Valuation!H20/Valuation!G30</f>
        <v>0.2691026762</v>
      </c>
      <c r="F6" s="89"/>
      <c r="G6" s="89"/>
      <c r="H6" s="89"/>
      <c r="I6" s="89"/>
      <c r="J6" s="89"/>
    </row>
    <row r="7">
      <c r="A7" s="300" t="s">
        <v>166</v>
      </c>
      <c r="C7" s="89">
        <f>Valuation!F20/Valuation!F38</f>
        <v>1</v>
      </c>
      <c r="D7" s="89">
        <f>Valuation!G20/Valuation!G38</f>
        <v>0.264556975</v>
      </c>
      <c r="E7" s="89">
        <f>Valuation!H20/Valuation!H38</f>
        <v>0.3401223131</v>
      </c>
      <c r="F7" s="89"/>
      <c r="G7" s="89"/>
      <c r="H7" s="89"/>
      <c r="I7" s="89"/>
      <c r="J7" s="89"/>
    </row>
    <row r="8">
      <c r="A8" s="303"/>
    </row>
    <row r="9">
      <c r="A9" s="300"/>
    </row>
    <row r="10">
      <c r="A10" s="300"/>
    </row>
    <row r="11">
      <c r="A11" s="300"/>
    </row>
    <row r="12">
      <c r="A12" s="30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  <col customWidth="1" min="5" max="6" width="14.75"/>
  </cols>
  <sheetData>
    <row r="3">
      <c r="C3" s="305"/>
      <c r="D3" s="306">
        <v>2025.0</v>
      </c>
      <c r="E3" s="306">
        <v>2026.0</v>
      </c>
      <c r="F3" s="306">
        <v>2027.0</v>
      </c>
      <c r="G3" s="307"/>
      <c r="H3" s="307"/>
      <c r="I3" s="307"/>
      <c r="J3" s="307"/>
      <c r="K3" s="307"/>
    </row>
    <row r="4">
      <c r="C4" s="308" t="s">
        <v>31</v>
      </c>
      <c r="D4" s="309">
        <f>Valuation!F3</f>
        <v>1276578449</v>
      </c>
      <c r="E4" s="309">
        <f>Valuation!G3</f>
        <v>1507209736</v>
      </c>
      <c r="F4" s="309">
        <f>Valuation!H3</f>
        <v>1780364587</v>
      </c>
    </row>
    <row r="26">
      <c r="D26" s="305"/>
      <c r="E26" s="305"/>
      <c r="F26" s="306">
        <v>2025.0</v>
      </c>
      <c r="G26" s="306">
        <v>2026.0</v>
      </c>
      <c r="H26" s="306">
        <v>2027.0</v>
      </c>
      <c r="I26" s="307"/>
      <c r="J26" s="307"/>
      <c r="K26" s="307"/>
      <c r="L26" s="307"/>
      <c r="M26" s="307"/>
    </row>
    <row r="27">
      <c r="C27" s="310"/>
      <c r="D27" s="311" t="s">
        <v>50</v>
      </c>
      <c r="E27" s="312"/>
      <c r="F27" s="313">
        <f>Assumption!E43</f>
        <v>405705000</v>
      </c>
      <c r="G27" s="313">
        <f>Assumption!F43</f>
        <v>527915000</v>
      </c>
      <c r="H27" s="313">
        <f>Assumption!G43</f>
        <v>655989950</v>
      </c>
      <c r="I27" s="314"/>
      <c r="J27" s="314"/>
      <c r="K27" s="314"/>
      <c r="L27" s="314"/>
      <c r="M27" s="314"/>
    </row>
    <row r="51">
      <c r="C51" s="315"/>
      <c r="D51" s="315"/>
      <c r="E51" s="315"/>
      <c r="F51" s="306">
        <v>2025.0</v>
      </c>
      <c r="G51" s="306">
        <v>2026.0</v>
      </c>
      <c r="H51" s="306">
        <v>2027.0</v>
      </c>
      <c r="I51" s="307"/>
      <c r="J51" s="307"/>
      <c r="K51" s="307"/>
      <c r="L51" s="307"/>
      <c r="M51" s="307"/>
    </row>
    <row r="52">
      <c r="C52" s="316" t="s">
        <v>111</v>
      </c>
      <c r="D52" s="317"/>
      <c r="E52" s="318" t="str">
        <f>E51</f>
        <v/>
      </c>
      <c r="F52" s="319">
        <f>Valuation!C18:H18</f>
        <v>301287816.3</v>
      </c>
      <c r="G52" s="319">
        <f>Valuation!D18:H18</f>
        <v>108380650.2</v>
      </c>
      <c r="H52" s="319">
        <f>Valuation!E18:H18</f>
        <v>211156384.3</v>
      </c>
      <c r="I52" s="320"/>
      <c r="J52" s="320"/>
      <c r="K52" s="320"/>
      <c r="L52" s="320"/>
      <c r="M52" s="320"/>
    </row>
    <row r="74">
      <c r="C74" s="321"/>
      <c r="D74" s="321"/>
      <c r="E74" s="306">
        <v>2025.0</v>
      </c>
      <c r="F74" s="306">
        <v>2026.0</v>
      </c>
      <c r="G74" s="306">
        <v>2027.0</v>
      </c>
      <c r="H74" s="322"/>
      <c r="I74" s="322"/>
      <c r="J74" s="322"/>
      <c r="K74" s="322"/>
      <c r="L74" s="322"/>
    </row>
    <row r="75">
      <c r="C75" s="323" t="s">
        <v>138</v>
      </c>
      <c r="D75" s="324"/>
      <c r="E75" s="325">
        <f>Valuation!F59</f>
        <v>301287816.3</v>
      </c>
      <c r="F75" s="325">
        <f>Valuation!G59</f>
        <v>86704520.2</v>
      </c>
      <c r="G75" s="325">
        <f>Valuation!H59</f>
        <v>168925107.4</v>
      </c>
      <c r="H75" s="326"/>
      <c r="I75" s="326"/>
      <c r="J75" s="326"/>
      <c r="K75" s="326"/>
      <c r="L75" s="326"/>
      <c r="M75" s="326"/>
    </row>
    <row r="138">
      <c r="F138" s="306">
        <v>2025.0</v>
      </c>
      <c r="G138" s="306">
        <v>2026.0</v>
      </c>
      <c r="H138" s="306">
        <v>2027.0</v>
      </c>
      <c r="I138" s="307"/>
      <c r="J138" s="307"/>
      <c r="K138" s="307"/>
      <c r="L138" s="307"/>
      <c r="M138" s="307"/>
    </row>
    <row r="139">
      <c r="C139" s="327" t="s">
        <v>77</v>
      </c>
      <c r="D139" s="328"/>
      <c r="E139" s="329"/>
      <c r="F139" s="330">
        <f>Assumption!E26</f>
        <v>0.9415737962</v>
      </c>
      <c r="G139" s="330">
        <f>Assumption!F26</f>
        <v>0.9488365264</v>
      </c>
      <c r="H139" s="330">
        <f>Assumption!G26</f>
        <v>0.955218019</v>
      </c>
      <c r="I139" s="150"/>
      <c r="J139" s="150"/>
      <c r="K139" s="150"/>
      <c r="L139" s="150"/>
      <c r="M139" s="150"/>
    </row>
  </sheetData>
  <mergeCells count="1">
    <mergeCell ref="D27:E2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38"/>
    <col customWidth="1" min="2" max="2" width="89.88"/>
  </cols>
  <sheetData>
    <row r="1">
      <c r="A1" s="297" t="s">
        <v>167</v>
      </c>
      <c r="B1" s="331" t="s">
        <v>168</v>
      </c>
      <c r="D1" s="332"/>
    </row>
    <row r="2">
      <c r="A2" s="297" t="s">
        <v>169</v>
      </c>
      <c r="B2" s="331" t="s">
        <v>170</v>
      </c>
    </row>
    <row r="3">
      <c r="A3" s="297" t="s">
        <v>171</v>
      </c>
      <c r="B3" s="331" t="s">
        <v>172</v>
      </c>
    </row>
    <row r="4">
      <c r="A4" s="333" t="s">
        <v>173</v>
      </c>
    </row>
    <row r="5">
      <c r="A5" s="297" t="s">
        <v>174</v>
      </c>
      <c r="B5" s="334" t="s">
        <v>175</v>
      </c>
    </row>
    <row r="6">
      <c r="A6" s="297" t="s">
        <v>176</v>
      </c>
      <c r="B6" s="335" t="s">
        <v>177</v>
      </c>
    </row>
    <row r="7">
      <c r="A7" s="297" t="s">
        <v>178</v>
      </c>
      <c r="B7" s="335" t="s">
        <v>179</v>
      </c>
    </row>
    <row r="8">
      <c r="A8" s="336"/>
    </row>
    <row r="9">
      <c r="A9" s="297" t="s">
        <v>180</v>
      </c>
      <c r="B9" s="337" t="s">
        <v>181</v>
      </c>
    </row>
    <row r="10">
      <c r="B10" s="338" t="s">
        <v>182</v>
      </c>
    </row>
    <row r="11">
      <c r="A11" s="297" t="s">
        <v>183</v>
      </c>
      <c r="B11" s="331" t="s">
        <v>184</v>
      </c>
    </row>
    <row r="12">
      <c r="A12" s="339" t="s">
        <v>185</v>
      </c>
      <c r="B12" s="335" t="s">
        <v>186</v>
      </c>
    </row>
    <row r="13">
      <c r="B13" s="335" t="s">
        <v>187</v>
      </c>
    </row>
    <row r="14">
      <c r="A14" s="339"/>
    </row>
    <row r="15">
      <c r="A15" s="340"/>
    </row>
    <row r="16">
      <c r="A16" s="339"/>
      <c r="B16" s="331" t="s">
        <v>186</v>
      </c>
    </row>
    <row r="17">
      <c r="A17" s="341"/>
      <c r="B17" s="335" t="s">
        <v>187</v>
      </c>
    </row>
    <row r="19">
      <c r="A19" s="340"/>
    </row>
    <row r="22">
      <c r="A22" s="342"/>
    </row>
    <row r="33">
      <c r="A33" s="297" t="s">
        <v>188</v>
      </c>
      <c r="B33" s="335" t="s">
        <v>189</v>
      </c>
    </row>
    <row r="34">
      <c r="A34" s="297" t="s">
        <v>190</v>
      </c>
    </row>
    <row r="35">
      <c r="A35" s="297" t="s">
        <v>191</v>
      </c>
      <c r="B35" s="331" t="s">
        <v>192</v>
      </c>
    </row>
  </sheetData>
  <mergeCells count="2">
    <mergeCell ref="A9:A10"/>
    <mergeCell ref="A12:A13"/>
  </mergeCells>
  <hyperlinks>
    <hyperlink r:id="rId1" ref="B1"/>
    <hyperlink r:id="rId2" ref="B2"/>
    <hyperlink r:id="rId3" ref="B3"/>
    <hyperlink r:id="rId4" ref="B5"/>
    <hyperlink r:id="rId5" ref="B6"/>
    <hyperlink r:id="rId6" ref="B7"/>
    <hyperlink r:id="rId7" ref="B9"/>
    <hyperlink r:id="rId8" location=":~:text=Google%20Ads%20costs%20%24100%20%E2%80%93%20%2410%2C000,campaign%20targeting%2C%20and%20ad%20network." ref="B10"/>
    <hyperlink r:id="rId9" ref="B11"/>
    <hyperlink r:id="rId10" ref="B12"/>
    <hyperlink r:id="rId11" ref="B13"/>
    <hyperlink r:id="rId12" ref="B16"/>
    <hyperlink r:id="rId13" ref="B17"/>
    <hyperlink r:id="rId14" ref="B33"/>
    <hyperlink r:id="rId15" ref="B35"/>
  </hyperlinks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343" t="s">
        <v>193</v>
      </c>
      <c r="B1" s="344"/>
      <c r="C1" s="344"/>
      <c r="D1" s="344"/>
      <c r="E1" s="344"/>
      <c r="F1" s="6"/>
      <c r="G1" s="6"/>
    </row>
    <row r="2">
      <c r="A2" s="345" t="s">
        <v>194</v>
      </c>
      <c r="B2" s="284" t="s">
        <v>195</v>
      </c>
      <c r="C2" s="284" t="s">
        <v>196</v>
      </c>
      <c r="D2" s="284" t="s">
        <v>197</v>
      </c>
      <c r="E2" s="284" t="s">
        <v>198</v>
      </c>
      <c r="F2" s="6"/>
      <c r="G2" s="6"/>
    </row>
    <row r="3">
      <c r="A3" s="346" t="s">
        <v>199</v>
      </c>
      <c r="B3" s="347">
        <f>8000000*6</f>
        <v>48000000</v>
      </c>
      <c r="C3" s="348">
        <v>5.0</v>
      </c>
      <c r="D3" s="349">
        <f t="shared" ref="D3:D6" si="1">B3/C3</f>
        <v>9600000</v>
      </c>
      <c r="E3" s="350">
        <v>46023.0</v>
      </c>
      <c r="F3" s="6"/>
      <c r="G3" s="6"/>
    </row>
    <row r="4">
      <c r="A4" s="346" t="s">
        <v>200</v>
      </c>
      <c r="B4" s="347">
        <f>8000000*2</f>
        <v>16000000</v>
      </c>
      <c r="C4" s="348">
        <v>5.0</v>
      </c>
      <c r="D4" s="349">
        <f t="shared" si="1"/>
        <v>3200000</v>
      </c>
      <c r="E4" s="350">
        <v>46023.0</v>
      </c>
      <c r="F4" s="6"/>
      <c r="G4" s="6"/>
    </row>
    <row r="5">
      <c r="A5" s="346" t="s">
        <v>201</v>
      </c>
      <c r="B5" s="349">
        <v>2.5E7</v>
      </c>
      <c r="C5" s="348">
        <v>5.0</v>
      </c>
      <c r="D5" s="349">
        <f t="shared" si="1"/>
        <v>5000000</v>
      </c>
      <c r="E5" s="350">
        <v>46023.0</v>
      </c>
      <c r="F5" s="6"/>
      <c r="G5" s="6"/>
    </row>
    <row r="6">
      <c r="A6" s="346" t="s">
        <v>202</v>
      </c>
      <c r="B6" s="347">
        <v>1.7E7</v>
      </c>
      <c r="C6" s="348">
        <v>4.0</v>
      </c>
      <c r="D6" s="349">
        <f t="shared" si="1"/>
        <v>4250000</v>
      </c>
      <c r="E6" s="350">
        <v>46023.0</v>
      </c>
      <c r="F6" s="6"/>
      <c r="G6" s="6"/>
    </row>
    <row r="7">
      <c r="A7" s="6"/>
      <c r="B7" s="6"/>
      <c r="C7" s="6"/>
      <c r="D7" s="6"/>
      <c r="E7" s="6"/>
      <c r="F7" s="6"/>
      <c r="G7" s="6"/>
    </row>
    <row r="8">
      <c r="A8" s="351" t="s">
        <v>203</v>
      </c>
      <c r="B8" s="352"/>
      <c r="C8" s="352"/>
      <c r="D8" s="352"/>
      <c r="E8" s="352"/>
      <c r="F8" s="352"/>
      <c r="G8" s="352"/>
    </row>
    <row r="9">
      <c r="A9" s="353" t="s">
        <v>204</v>
      </c>
      <c r="B9" s="354">
        <v>1.0</v>
      </c>
      <c r="C9" s="354">
        <v>2.0</v>
      </c>
      <c r="D9" s="354">
        <v>3.0</v>
      </c>
      <c r="E9" s="354">
        <v>4.0</v>
      </c>
      <c r="F9" s="355">
        <v>5.0</v>
      </c>
      <c r="G9" s="355" t="s">
        <v>17</v>
      </c>
    </row>
    <row r="10">
      <c r="A10" s="356" t="s">
        <v>199</v>
      </c>
      <c r="B10" s="357">
        <f t="shared" ref="B10:B13" si="2">B3-D3</f>
        <v>38400000</v>
      </c>
      <c r="C10" s="357">
        <f t="shared" ref="C10:C13" si="3">B10-D3</f>
        <v>28800000</v>
      </c>
      <c r="D10" s="357">
        <f t="shared" ref="D10:D13" si="4">C10-D3</f>
        <v>19200000</v>
      </c>
      <c r="E10" s="357">
        <f t="shared" ref="E10:E13" si="5">D10-D3</f>
        <v>9600000</v>
      </c>
      <c r="F10" s="357">
        <f t="shared" ref="F10:F12" si="6">E10-D3</f>
        <v>0</v>
      </c>
      <c r="G10" s="358">
        <f t="shared" ref="G10:G12" si="7">sum(B10:E10)</f>
        <v>96000000</v>
      </c>
    </row>
    <row r="11">
      <c r="A11" s="356" t="s">
        <v>200</v>
      </c>
      <c r="B11" s="357">
        <f t="shared" si="2"/>
        <v>12800000</v>
      </c>
      <c r="C11" s="357">
        <f t="shared" si="3"/>
        <v>9600000</v>
      </c>
      <c r="D11" s="357">
        <f t="shared" si="4"/>
        <v>6400000</v>
      </c>
      <c r="E11" s="357">
        <f t="shared" si="5"/>
        <v>3200000</v>
      </c>
      <c r="F11" s="357">
        <f t="shared" si="6"/>
        <v>0</v>
      </c>
      <c r="G11" s="358">
        <f t="shared" si="7"/>
        <v>32000000</v>
      </c>
    </row>
    <row r="12">
      <c r="A12" s="359" t="s">
        <v>201</v>
      </c>
      <c r="B12" s="360">
        <f t="shared" si="2"/>
        <v>20000000</v>
      </c>
      <c r="C12" s="360">
        <f t="shared" si="3"/>
        <v>15000000</v>
      </c>
      <c r="D12" s="360">
        <f t="shared" si="4"/>
        <v>10000000</v>
      </c>
      <c r="E12" s="360">
        <f t="shared" si="5"/>
        <v>5000000</v>
      </c>
      <c r="F12" s="357">
        <f t="shared" si="6"/>
        <v>0</v>
      </c>
      <c r="G12" s="358">
        <f t="shared" si="7"/>
        <v>50000000</v>
      </c>
    </row>
    <row r="13">
      <c r="A13" s="359" t="s">
        <v>202</v>
      </c>
      <c r="B13" s="360">
        <f t="shared" si="2"/>
        <v>12750000</v>
      </c>
      <c r="C13" s="360">
        <f t="shared" si="3"/>
        <v>8500000</v>
      </c>
      <c r="D13" s="360">
        <f t="shared" si="4"/>
        <v>4250000</v>
      </c>
      <c r="E13" s="360">
        <f t="shared" si="5"/>
        <v>0</v>
      </c>
      <c r="F13" s="361">
        <v>0.0</v>
      </c>
      <c r="G13" s="358">
        <f>sum(B13:F13)</f>
        <v>25500000</v>
      </c>
    </row>
    <row r="14">
      <c r="A14" s="362"/>
      <c r="B14" s="363"/>
      <c r="C14" s="363"/>
      <c r="D14" s="363"/>
      <c r="E14" s="363"/>
      <c r="F14" s="363"/>
      <c r="G14" s="364">
        <f>sum(G10:G13)</f>
        <v>203500000</v>
      </c>
    </row>
    <row r="15">
      <c r="A15" s="365"/>
      <c r="B15" s="366"/>
      <c r="C15" s="366"/>
      <c r="D15" s="366"/>
      <c r="E15" s="6"/>
      <c r="F15" s="6"/>
      <c r="G15" s="6"/>
    </row>
  </sheetData>
  <mergeCells count="1">
    <mergeCell ref="A8:G8"/>
  </mergeCells>
  <drawing r:id="rId1"/>
</worksheet>
</file>